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tables/table4.xml" ContentType="application/vnd.openxmlformats-officedocument.spreadsheetml.table+xml"/>
  <Override PartName="/xl/tables/table3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ACCD - DHCD\HOUDIV\Mobile Home Parks\Risk Assessment Tool\"/>
    </mc:Choice>
  </mc:AlternateContent>
  <xr:revisionPtr revIDLastSave="0" documentId="13_ncr:1_{8A3D6BB5-1B13-435E-B1CF-11231211F95E}" xr6:coauthVersionLast="47" xr6:coauthVersionMax="47" xr10:uidLastSave="{00000000-0000-0000-0000-000000000000}"/>
  <bookViews>
    <workbookView xWindow="3975" yWindow="315" windowWidth="21420" windowHeight="10845" xr2:uid="{00000000-000D-0000-FFFF-FFFF00000000}"/>
  </bookViews>
  <sheets>
    <sheet name="Summary" sheetId="4" r:id="rId1"/>
    <sheet name="Registry" sheetId="1" r:id="rId2"/>
    <sheet name="Infrastructure" sheetId="2" r:id="rId3"/>
    <sheet name="Flood Hazards" sheetId="3" r:id="rId4"/>
    <sheet name="Vacancy &amp; Rent" sheetId="6" r:id="rId5"/>
    <sheet name="Credits &amp; Sources" sheetId="7" r:id="rId6"/>
  </sheets>
  <definedNames>
    <definedName name="_xlnm._FilterDatabase" localSheetId="3" hidden="1">'Flood Hazards'!$A$1:$A$1</definedName>
    <definedName name="MHPRegistry2012" localSheetId="1">Registry!$A$3:$AA$241</definedName>
    <definedName name="_xlnm.Print_Area" localSheetId="3">Table3[[MHP ID]:[Mobile Home Park Name]]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41" i="2" l="1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AK241" i="6"/>
  <c r="AK240" i="6"/>
  <c r="AK239" i="6"/>
  <c r="AK238" i="6"/>
  <c r="AK237" i="6"/>
  <c r="AK236" i="6"/>
  <c r="AK235" i="6"/>
  <c r="AK234" i="6"/>
  <c r="AK233" i="6"/>
  <c r="AK232" i="6"/>
  <c r="AK231" i="6"/>
  <c r="AK230" i="6"/>
  <c r="AK229" i="6"/>
  <c r="AK228" i="6"/>
  <c r="AK227" i="6"/>
  <c r="AK226" i="6"/>
  <c r="AK225" i="6"/>
  <c r="AK224" i="6"/>
  <c r="AK223" i="6"/>
  <c r="AK222" i="6"/>
  <c r="AK221" i="6"/>
  <c r="AK220" i="6"/>
  <c r="AK219" i="6"/>
  <c r="AK218" i="6"/>
  <c r="AK217" i="6"/>
  <c r="AK216" i="6"/>
  <c r="AK215" i="6"/>
  <c r="AK214" i="6"/>
  <c r="AK213" i="6"/>
  <c r="AK212" i="6"/>
  <c r="AK211" i="6"/>
  <c r="AK210" i="6"/>
  <c r="AK209" i="6"/>
  <c r="AK208" i="6"/>
  <c r="AK207" i="6"/>
  <c r="AK206" i="6"/>
  <c r="AK205" i="6"/>
  <c r="AK204" i="6"/>
  <c r="AK203" i="6"/>
  <c r="AK202" i="6"/>
  <c r="AK201" i="6"/>
  <c r="AK200" i="6"/>
  <c r="AK199" i="6"/>
  <c r="AK198" i="6"/>
  <c r="AK197" i="6"/>
  <c r="AK196" i="6"/>
  <c r="AK195" i="6"/>
  <c r="AK194" i="6"/>
  <c r="AK193" i="6"/>
  <c r="AK192" i="6"/>
  <c r="AK191" i="6"/>
  <c r="AK190" i="6"/>
  <c r="AK189" i="6"/>
  <c r="AK188" i="6"/>
  <c r="AK187" i="6"/>
  <c r="AK186" i="6"/>
  <c r="AK185" i="6"/>
  <c r="AK184" i="6"/>
  <c r="AK183" i="6"/>
  <c r="AK182" i="6"/>
  <c r="AK181" i="6"/>
  <c r="AK180" i="6"/>
  <c r="AK179" i="6"/>
  <c r="AK178" i="6"/>
  <c r="AK177" i="6"/>
  <c r="AK176" i="6"/>
  <c r="AK175" i="6"/>
  <c r="AK174" i="6"/>
  <c r="AK173" i="6"/>
  <c r="AK172" i="6"/>
  <c r="AK171" i="6"/>
  <c r="AK170" i="6"/>
  <c r="AK169" i="6"/>
  <c r="AK168" i="6"/>
  <c r="AK167" i="6"/>
  <c r="AK166" i="6"/>
  <c r="AK165" i="6"/>
  <c r="AK164" i="6"/>
  <c r="AK163" i="6"/>
  <c r="AK162" i="6"/>
  <c r="AK161" i="6"/>
  <c r="AK160" i="6"/>
  <c r="AK159" i="6"/>
  <c r="AK158" i="6"/>
  <c r="AK157" i="6"/>
  <c r="AK156" i="6"/>
  <c r="AK155" i="6"/>
  <c r="AK154" i="6"/>
  <c r="AK153" i="6"/>
  <c r="AK152" i="6"/>
  <c r="AK151" i="6"/>
  <c r="AK150" i="6"/>
  <c r="AK149" i="6"/>
  <c r="AK148" i="6"/>
  <c r="AK147" i="6"/>
  <c r="AK146" i="6"/>
  <c r="AK145" i="6"/>
  <c r="AK144" i="6"/>
  <c r="AK143" i="6"/>
  <c r="AK142" i="6"/>
  <c r="AK141" i="6"/>
  <c r="AK140" i="6"/>
  <c r="AK139" i="6"/>
  <c r="AK138" i="6"/>
  <c r="AK137" i="6"/>
  <c r="AK136" i="6"/>
  <c r="AK135" i="6"/>
  <c r="AK134" i="6"/>
  <c r="AK133" i="6"/>
  <c r="AK132" i="6"/>
  <c r="AK131" i="6"/>
  <c r="AK130" i="6"/>
  <c r="AK129" i="6"/>
  <c r="AK128" i="6"/>
  <c r="AK127" i="6"/>
  <c r="AK126" i="6"/>
  <c r="AK125" i="6"/>
  <c r="AK124" i="6"/>
  <c r="AK123" i="6"/>
  <c r="AK122" i="6"/>
  <c r="AK121" i="6"/>
  <c r="AK120" i="6"/>
  <c r="AK119" i="6"/>
  <c r="AK118" i="6"/>
  <c r="AK117" i="6"/>
  <c r="AK116" i="6"/>
  <c r="AK115" i="6"/>
  <c r="AK114" i="6"/>
  <c r="AK113" i="6"/>
  <c r="AK112" i="6"/>
  <c r="AK111" i="6"/>
  <c r="AK110" i="6"/>
  <c r="AK109" i="6"/>
  <c r="AK108" i="6"/>
  <c r="AK107" i="6"/>
  <c r="AK106" i="6"/>
  <c r="AK105" i="6"/>
  <c r="AK104" i="6"/>
  <c r="AK103" i="6"/>
  <c r="AK102" i="6"/>
  <c r="AK101" i="6"/>
  <c r="AK100" i="6"/>
  <c r="AK99" i="6"/>
  <c r="AK98" i="6"/>
  <c r="AK97" i="6"/>
  <c r="AK96" i="6"/>
  <c r="AK95" i="6"/>
  <c r="AK94" i="6"/>
  <c r="AK93" i="6"/>
  <c r="AK92" i="6"/>
  <c r="AK91" i="6"/>
  <c r="AK90" i="6"/>
  <c r="AK89" i="6"/>
  <c r="AK88" i="6"/>
  <c r="AK87" i="6"/>
  <c r="AK86" i="6"/>
  <c r="AK85" i="6"/>
  <c r="AK84" i="6"/>
  <c r="AK83" i="6"/>
  <c r="AK82" i="6"/>
  <c r="AK81" i="6"/>
  <c r="AK80" i="6"/>
  <c r="AK79" i="6"/>
  <c r="AK78" i="6"/>
  <c r="AK77" i="6"/>
  <c r="AK76" i="6"/>
  <c r="AK75" i="6"/>
  <c r="AK74" i="6"/>
  <c r="AK73" i="6"/>
  <c r="AK72" i="6"/>
  <c r="AK71" i="6"/>
  <c r="AK70" i="6"/>
  <c r="AK69" i="6"/>
  <c r="AK68" i="6"/>
  <c r="AK67" i="6"/>
  <c r="AK66" i="6"/>
  <c r="AK65" i="6"/>
  <c r="AK64" i="6"/>
  <c r="AK63" i="6"/>
  <c r="AK62" i="6"/>
  <c r="AK61" i="6"/>
  <c r="AK60" i="6"/>
  <c r="AK59" i="6"/>
  <c r="AK58" i="6"/>
  <c r="AK57" i="6"/>
  <c r="AK56" i="6"/>
  <c r="AK55" i="6"/>
  <c r="AK54" i="6"/>
  <c r="AK53" i="6"/>
  <c r="AK52" i="6"/>
  <c r="AK51" i="6"/>
  <c r="AK50" i="6"/>
  <c r="AK49" i="6"/>
  <c r="AK48" i="6"/>
  <c r="AK47" i="6"/>
  <c r="AK46" i="6"/>
  <c r="AK45" i="6"/>
  <c r="AK44" i="6"/>
  <c r="AK43" i="6"/>
  <c r="AK42" i="6"/>
  <c r="AK41" i="6"/>
  <c r="AK40" i="6"/>
  <c r="AK39" i="6"/>
  <c r="AK38" i="6"/>
  <c r="AK37" i="6"/>
  <c r="AK36" i="6"/>
  <c r="AK35" i="6"/>
  <c r="AK34" i="6"/>
  <c r="AK33" i="6"/>
  <c r="AK32" i="6"/>
  <c r="AK31" i="6"/>
  <c r="AK30" i="6"/>
  <c r="AK29" i="6"/>
  <c r="AK28" i="6"/>
  <c r="AK27" i="6"/>
  <c r="AK26" i="6"/>
  <c r="AK25" i="6"/>
  <c r="AK24" i="6"/>
  <c r="AK23" i="6"/>
  <c r="AK22" i="6"/>
  <c r="AK21" i="6"/>
  <c r="AK20" i="6"/>
  <c r="AK19" i="6"/>
  <c r="AK18" i="6"/>
  <c r="AK17" i="6"/>
  <c r="AK16" i="6"/>
  <c r="AK15" i="6"/>
  <c r="AK14" i="6"/>
  <c r="AK13" i="6"/>
  <c r="AK12" i="6"/>
  <c r="AK11" i="6"/>
  <c r="AK10" i="6"/>
  <c r="AK9" i="6"/>
  <c r="AK8" i="6"/>
  <c r="AK7" i="6"/>
  <c r="AK6" i="6"/>
  <c r="AK5" i="6"/>
  <c r="AK4" i="6"/>
  <c r="S241" i="6"/>
  <c r="S240" i="6"/>
  <c r="S239" i="6"/>
  <c r="S238" i="6"/>
  <c r="S237" i="6"/>
  <c r="S236" i="6"/>
  <c r="S235" i="6"/>
  <c r="S234" i="6"/>
  <c r="S233" i="6"/>
  <c r="S232" i="6"/>
  <c r="S231" i="6"/>
  <c r="S230" i="6"/>
  <c r="S229" i="6"/>
  <c r="S228" i="6"/>
  <c r="S227" i="6"/>
  <c r="S226" i="6"/>
  <c r="S225" i="6"/>
  <c r="S224" i="6"/>
  <c r="S223" i="6"/>
  <c r="S222" i="6"/>
  <c r="S221" i="6"/>
  <c r="S220" i="6"/>
  <c r="S219" i="6"/>
  <c r="S218" i="6"/>
  <c r="S217" i="6"/>
  <c r="S216" i="6"/>
  <c r="S215" i="6"/>
  <c r="S214" i="6"/>
  <c r="S213" i="6"/>
  <c r="S212" i="6"/>
  <c r="S211" i="6"/>
  <c r="S210" i="6"/>
  <c r="S209" i="6"/>
  <c r="S208" i="6"/>
  <c r="S207" i="6"/>
  <c r="S206" i="6"/>
  <c r="S205" i="6"/>
  <c r="S204" i="6"/>
  <c r="S203" i="6"/>
  <c r="S202" i="6"/>
  <c r="S201" i="6"/>
  <c r="S200" i="6"/>
  <c r="S199" i="6"/>
  <c r="S198" i="6"/>
  <c r="S197" i="6"/>
  <c r="S196" i="6"/>
  <c r="S195" i="6"/>
  <c r="S194" i="6"/>
  <c r="S193" i="6"/>
  <c r="S192" i="6"/>
  <c r="S191" i="6"/>
  <c r="S190" i="6"/>
  <c r="S189" i="6"/>
  <c r="S188" i="6"/>
  <c r="S187" i="6"/>
  <c r="S186" i="6"/>
  <c r="S185" i="6"/>
  <c r="S184" i="6"/>
  <c r="S183" i="6"/>
  <c r="S182" i="6"/>
  <c r="S181" i="6"/>
  <c r="S180" i="6"/>
  <c r="S179" i="6"/>
  <c r="S178" i="6"/>
  <c r="S177" i="6"/>
  <c r="S176" i="6"/>
  <c r="S175" i="6"/>
  <c r="S174" i="6"/>
  <c r="S173" i="6"/>
  <c r="S172" i="6"/>
  <c r="S171" i="6"/>
  <c r="S170" i="6"/>
  <c r="S169" i="6"/>
  <c r="S168" i="6"/>
  <c r="S167" i="6"/>
  <c r="S166" i="6"/>
  <c r="S165" i="6"/>
  <c r="S164" i="6"/>
  <c r="S163" i="6"/>
  <c r="S162" i="6"/>
  <c r="S161" i="6"/>
  <c r="S160" i="6"/>
  <c r="S159" i="6"/>
  <c r="S158" i="6"/>
  <c r="S157" i="6"/>
  <c r="S156" i="6"/>
  <c r="S155" i="6"/>
  <c r="S154" i="6"/>
  <c r="S153" i="6"/>
  <c r="S152" i="6"/>
  <c r="S151" i="6"/>
  <c r="S150" i="6"/>
  <c r="S149" i="6"/>
  <c r="S148" i="6"/>
  <c r="S147" i="6"/>
  <c r="S146" i="6"/>
  <c r="S145" i="6"/>
  <c r="S144" i="6"/>
  <c r="S143" i="6"/>
  <c r="S142" i="6"/>
  <c r="S141" i="6"/>
  <c r="S140" i="6"/>
  <c r="S139" i="6"/>
  <c r="S138" i="6"/>
  <c r="S137" i="6"/>
  <c r="S136" i="6"/>
  <c r="S135" i="6"/>
  <c r="S134" i="6"/>
  <c r="S133" i="6"/>
  <c r="S132" i="6"/>
  <c r="S131" i="6"/>
  <c r="S130" i="6"/>
  <c r="S129" i="6"/>
  <c r="S128" i="6"/>
  <c r="S127" i="6"/>
  <c r="S126" i="6"/>
  <c r="S125" i="6"/>
  <c r="S124" i="6"/>
  <c r="S123" i="6"/>
  <c r="S122" i="6"/>
  <c r="S121" i="6"/>
  <c r="S120" i="6"/>
  <c r="S119" i="6"/>
  <c r="S118" i="6"/>
  <c r="S117" i="6"/>
  <c r="S116" i="6"/>
  <c r="S115" i="6"/>
  <c r="S114" i="6"/>
  <c r="S113" i="6"/>
  <c r="S112" i="6"/>
  <c r="S111" i="6"/>
  <c r="S110" i="6"/>
  <c r="S109" i="6"/>
  <c r="S108" i="6"/>
  <c r="S107" i="6"/>
  <c r="S106" i="6"/>
  <c r="S105" i="6"/>
  <c r="S104" i="6"/>
  <c r="S103" i="6"/>
  <c r="S102" i="6"/>
  <c r="S101" i="6"/>
  <c r="S100" i="6"/>
  <c r="S99" i="6"/>
  <c r="S98" i="6"/>
  <c r="S97" i="6"/>
  <c r="S96" i="6"/>
  <c r="S95" i="6"/>
  <c r="S94" i="6"/>
  <c r="S93" i="6"/>
  <c r="S92" i="6"/>
  <c r="S91" i="6"/>
  <c r="S90" i="6"/>
  <c r="S89" i="6"/>
  <c r="S88" i="6"/>
  <c r="S87" i="6"/>
  <c r="S86" i="6"/>
  <c r="S85" i="6"/>
  <c r="S84" i="6"/>
  <c r="S83" i="6"/>
  <c r="S82" i="6"/>
  <c r="S81" i="6"/>
  <c r="S80" i="6"/>
  <c r="S79" i="6"/>
  <c r="S78" i="6"/>
  <c r="S77" i="6"/>
  <c r="S76" i="6"/>
  <c r="S75" i="6"/>
  <c r="S74" i="6"/>
  <c r="S73" i="6"/>
  <c r="S72" i="6"/>
  <c r="S71" i="6"/>
  <c r="S70" i="6"/>
  <c r="S69" i="6"/>
  <c r="S68" i="6"/>
  <c r="S67" i="6"/>
  <c r="S66" i="6"/>
  <c r="S65" i="6"/>
  <c r="S64" i="6"/>
  <c r="S63" i="6"/>
  <c r="S62" i="6"/>
  <c r="S61" i="6"/>
  <c r="S60" i="6"/>
  <c r="S59" i="6"/>
  <c r="S58" i="6"/>
  <c r="S57" i="6"/>
  <c r="S56" i="6"/>
  <c r="S55" i="6"/>
  <c r="S54" i="6"/>
  <c r="S53" i="6"/>
  <c r="S52" i="6"/>
  <c r="S51" i="6"/>
  <c r="S50" i="6"/>
  <c r="S49" i="6"/>
  <c r="S48" i="6"/>
  <c r="S47" i="6"/>
  <c r="S46" i="6"/>
  <c r="S45" i="6"/>
  <c r="S44" i="6"/>
  <c r="S43" i="6"/>
  <c r="S42" i="6"/>
  <c r="S41" i="6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S6" i="6"/>
  <c r="S5" i="6"/>
  <c r="S4" i="6"/>
  <c r="J241" i="6"/>
  <c r="J240" i="6"/>
  <c r="J239" i="6"/>
  <c r="J238" i="6"/>
  <c r="J237" i="6"/>
  <c r="J236" i="6"/>
  <c r="J235" i="6"/>
  <c r="J234" i="6"/>
  <c r="J233" i="6"/>
  <c r="J232" i="6"/>
  <c r="J231" i="6"/>
  <c r="J230" i="6"/>
  <c r="J229" i="6"/>
  <c r="J228" i="6"/>
  <c r="J227" i="6"/>
  <c r="J226" i="6"/>
  <c r="J225" i="6"/>
  <c r="J224" i="6"/>
  <c r="J223" i="6"/>
  <c r="J222" i="6"/>
  <c r="J221" i="6"/>
  <c r="J220" i="6"/>
  <c r="J219" i="6"/>
  <c r="J218" i="6"/>
  <c r="J217" i="6"/>
  <c r="J216" i="6"/>
  <c r="J215" i="6"/>
  <c r="J214" i="6"/>
  <c r="J213" i="6"/>
  <c r="J212" i="6"/>
  <c r="J211" i="6"/>
  <c r="J210" i="6"/>
  <c r="J209" i="6"/>
  <c r="J208" i="6"/>
  <c r="J207" i="6"/>
  <c r="J206" i="6"/>
  <c r="J205" i="6"/>
  <c r="J204" i="6"/>
  <c r="J203" i="6"/>
  <c r="J202" i="6"/>
  <c r="J201" i="6"/>
  <c r="J200" i="6"/>
  <c r="J199" i="6"/>
  <c r="J198" i="6"/>
  <c r="J197" i="6"/>
  <c r="J196" i="6"/>
  <c r="J195" i="6"/>
  <c r="J194" i="6"/>
  <c r="J193" i="6"/>
  <c r="J192" i="6"/>
  <c r="J191" i="6"/>
  <c r="J190" i="6"/>
  <c r="J189" i="6"/>
  <c r="J188" i="6"/>
  <c r="J187" i="6"/>
  <c r="J186" i="6"/>
  <c r="J185" i="6"/>
  <c r="J184" i="6"/>
  <c r="J183" i="6"/>
  <c r="J182" i="6"/>
  <c r="J181" i="6"/>
  <c r="J180" i="6"/>
  <c r="J179" i="6"/>
  <c r="J178" i="6"/>
  <c r="J177" i="6"/>
  <c r="J176" i="6"/>
  <c r="J175" i="6"/>
  <c r="J174" i="6"/>
  <c r="J173" i="6"/>
  <c r="J172" i="6"/>
  <c r="J171" i="6"/>
  <c r="J170" i="6"/>
  <c r="J169" i="6"/>
  <c r="J168" i="6"/>
  <c r="J167" i="6"/>
  <c r="J166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I241" i="6"/>
  <c r="I240" i="6"/>
  <c r="I239" i="6"/>
  <c r="I238" i="6"/>
  <c r="I237" i="6"/>
  <c r="I236" i="6"/>
  <c r="I235" i="6"/>
  <c r="I234" i="6"/>
  <c r="I233" i="6"/>
  <c r="I232" i="6"/>
  <c r="I231" i="6"/>
  <c r="I230" i="6"/>
  <c r="I229" i="6"/>
  <c r="I228" i="6"/>
  <c r="I227" i="6"/>
  <c r="I226" i="6"/>
  <c r="I225" i="6"/>
  <c r="I224" i="6"/>
  <c r="I223" i="6"/>
  <c r="I222" i="6"/>
  <c r="I221" i="6"/>
  <c r="I220" i="6"/>
  <c r="I219" i="6"/>
  <c r="I218" i="6"/>
  <c r="I217" i="6"/>
  <c r="I216" i="6"/>
  <c r="I215" i="6"/>
  <c r="I214" i="6"/>
  <c r="I213" i="6"/>
  <c r="I212" i="6"/>
  <c r="I211" i="6"/>
  <c r="I210" i="6"/>
  <c r="I209" i="6"/>
  <c r="I208" i="6"/>
  <c r="I207" i="6"/>
  <c r="I206" i="6"/>
  <c r="I205" i="6"/>
  <c r="I204" i="6"/>
  <c r="I203" i="6"/>
  <c r="I202" i="6"/>
  <c r="I201" i="6"/>
  <c r="I200" i="6"/>
  <c r="I199" i="6"/>
  <c r="I198" i="6"/>
  <c r="I197" i="6"/>
  <c r="I196" i="6"/>
  <c r="I195" i="6"/>
  <c r="I194" i="6"/>
  <c r="I193" i="6"/>
  <c r="I192" i="6"/>
  <c r="I191" i="6"/>
  <c r="I190" i="6"/>
  <c r="I189" i="6"/>
  <c r="I188" i="6"/>
  <c r="I187" i="6"/>
  <c r="I186" i="6"/>
  <c r="I185" i="6"/>
  <c r="I184" i="6"/>
  <c r="I183" i="6"/>
  <c r="I182" i="6"/>
  <c r="I181" i="6"/>
  <c r="I180" i="6"/>
  <c r="I179" i="6"/>
  <c r="I178" i="6"/>
  <c r="I177" i="6"/>
  <c r="I176" i="6"/>
  <c r="I175" i="6"/>
  <c r="I174" i="6"/>
  <c r="I173" i="6"/>
  <c r="I172" i="6"/>
  <c r="I171" i="6"/>
  <c r="I170" i="6"/>
  <c r="I169" i="6"/>
  <c r="I168" i="6"/>
  <c r="I167" i="6"/>
  <c r="I166" i="6"/>
  <c r="I165" i="6"/>
  <c r="I164" i="6"/>
  <c r="I163" i="6"/>
  <c r="I162" i="6"/>
  <c r="I161" i="6"/>
  <c r="I160" i="6"/>
  <c r="I159" i="6"/>
  <c r="I158" i="6"/>
  <c r="I157" i="6"/>
  <c r="I156" i="6"/>
  <c r="I155" i="6"/>
  <c r="I154" i="6"/>
  <c r="I153" i="6"/>
  <c r="I152" i="6"/>
  <c r="I151" i="6"/>
  <c r="I150" i="6"/>
  <c r="I149" i="6"/>
  <c r="I148" i="6"/>
  <c r="I147" i="6"/>
  <c r="I146" i="6"/>
  <c r="I145" i="6"/>
  <c r="I144" i="6"/>
  <c r="I143" i="6"/>
  <c r="I142" i="6"/>
  <c r="I141" i="6"/>
  <c r="I140" i="6"/>
  <c r="I139" i="6"/>
  <c r="I138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C241" i="6"/>
  <c r="C240" i="6"/>
  <c r="C239" i="6"/>
  <c r="C238" i="6"/>
  <c r="C237" i="6"/>
  <c r="C236" i="6"/>
  <c r="C235" i="6"/>
  <c r="C234" i="6"/>
  <c r="C233" i="6"/>
  <c r="C232" i="6"/>
  <c r="C231" i="6"/>
  <c r="C230" i="6"/>
  <c r="C229" i="6"/>
  <c r="C228" i="6"/>
  <c r="C227" i="6"/>
  <c r="C226" i="6"/>
  <c r="C225" i="6"/>
  <c r="C224" i="6"/>
  <c r="C223" i="6"/>
  <c r="C222" i="6"/>
  <c r="C221" i="6"/>
  <c r="C220" i="6"/>
  <c r="C219" i="6"/>
  <c r="C218" i="6"/>
  <c r="C217" i="6"/>
  <c r="C216" i="6"/>
  <c r="C215" i="6"/>
  <c r="C214" i="6"/>
  <c r="C213" i="6"/>
  <c r="C212" i="6"/>
  <c r="C211" i="6"/>
  <c r="C210" i="6"/>
  <c r="C209" i="6"/>
  <c r="C208" i="6"/>
  <c r="C207" i="6"/>
  <c r="C206" i="6"/>
  <c r="C205" i="6"/>
  <c r="C204" i="6"/>
  <c r="C203" i="6"/>
  <c r="C202" i="6"/>
  <c r="C201" i="6"/>
  <c r="C200" i="6"/>
  <c r="C199" i="6"/>
  <c r="C198" i="6"/>
  <c r="C197" i="6"/>
  <c r="C196" i="6"/>
  <c r="C195" i="6"/>
  <c r="C194" i="6"/>
  <c r="C193" i="6"/>
  <c r="C192" i="6"/>
  <c r="C191" i="6"/>
  <c r="C190" i="6"/>
  <c r="C189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B241" i="6"/>
  <c r="B240" i="6"/>
  <c r="B239" i="6"/>
  <c r="B238" i="6"/>
  <c r="B237" i="6"/>
  <c r="B236" i="6"/>
  <c r="B235" i="6"/>
  <c r="B234" i="6"/>
  <c r="B233" i="6"/>
  <c r="B232" i="6"/>
  <c r="B231" i="6"/>
  <c r="B230" i="6"/>
  <c r="B229" i="6"/>
  <c r="B228" i="6"/>
  <c r="B227" i="6"/>
  <c r="B226" i="6"/>
  <c r="B225" i="6"/>
  <c r="B224" i="6"/>
  <c r="B223" i="6"/>
  <c r="B222" i="6"/>
  <c r="B221" i="6"/>
  <c r="B220" i="6"/>
  <c r="B219" i="6"/>
  <c r="B218" i="6"/>
  <c r="B217" i="6"/>
  <c r="B216" i="6"/>
  <c r="B215" i="6"/>
  <c r="B214" i="6"/>
  <c r="B213" i="6"/>
  <c r="B212" i="6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H241" i="6"/>
  <c r="H240" i="6"/>
  <c r="H239" i="6"/>
  <c r="H238" i="6"/>
  <c r="H237" i="6"/>
  <c r="H236" i="6"/>
  <c r="H235" i="6"/>
  <c r="AJ235" i="6" s="1"/>
  <c r="H234" i="6"/>
  <c r="AJ234" i="6" s="1"/>
  <c r="H233" i="6"/>
  <c r="H232" i="6"/>
  <c r="H231" i="6"/>
  <c r="H230" i="6"/>
  <c r="H229" i="6"/>
  <c r="H228" i="6"/>
  <c r="H227" i="6"/>
  <c r="AJ227" i="6" s="1"/>
  <c r="H226" i="6"/>
  <c r="AJ226" i="6" s="1"/>
  <c r="H225" i="6"/>
  <c r="H224" i="6"/>
  <c r="H223" i="6"/>
  <c r="H222" i="6"/>
  <c r="H221" i="6"/>
  <c r="H220" i="6"/>
  <c r="H219" i="6"/>
  <c r="AJ219" i="6" s="1"/>
  <c r="H218" i="6"/>
  <c r="AJ218" i="6" s="1"/>
  <c r="H217" i="6"/>
  <c r="H216" i="6"/>
  <c r="H215" i="6"/>
  <c r="H214" i="6"/>
  <c r="H213" i="6"/>
  <c r="H212" i="6"/>
  <c r="H211" i="6"/>
  <c r="AJ211" i="6" s="1"/>
  <c r="H210" i="6"/>
  <c r="AJ210" i="6" s="1"/>
  <c r="H209" i="6"/>
  <c r="H208" i="6"/>
  <c r="H207" i="6"/>
  <c r="H206" i="6"/>
  <c r="H205" i="6"/>
  <c r="H204" i="6"/>
  <c r="H203" i="6"/>
  <c r="AJ203" i="6" s="1"/>
  <c r="H202" i="6"/>
  <c r="AJ202" i="6" s="1"/>
  <c r="H201" i="6"/>
  <c r="H200" i="6"/>
  <c r="H199" i="6"/>
  <c r="H198" i="6"/>
  <c r="H197" i="6"/>
  <c r="H196" i="6"/>
  <c r="H195" i="6"/>
  <c r="AJ195" i="6" s="1"/>
  <c r="H194" i="6"/>
  <c r="AJ194" i="6" s="1"/>
  <c r="H193" i="6"/>
  <c r="H192" i="6"/>
  <c r="H191" i="6"/>
  <c r="H190" i="6"/>
  <c r="H189" i="6"/>
  <c r="H188" i="6"/>
  <c r="H187" i="6"/>
  <c r="AJ187" i="6" s="1"/>
  <c r="H186" i="6"/>
  <c r="AJ186" i="6" s="1"/>
  <c r="H185" i="6"/>
  <c r="H184" i="6"/>
  <c r="H183" i="6"/>
  <c r="H182" i="6"/>
  <c r="H181" i="6"/>
  <c r="H180" i="6"/>
  <c r="H179" i="6"/>
  <c r="AJ179" i="6" s="1"/>
  <c r="H178" i="6"/>
  <c r="AJ178" i="6" s="1"/>
  <c r="H177" i="6"/>
  <c r="H176" i="6"/>
  <c r="H175" i="6"/>
  <c r="H174" i="6"/>
  <c r="H173" i="6"/>
  <c r="H172" i="6"/>
  <c r="H171" i="6"/>
  <c r="AJ171" i="6" s="1"/>
  <c r="H170" i="6"/>
  <c r="AJ170" i="6" s="1"/>
  <c r="H169" i="6"/>
  <c r="H168" i="6"/>
  <c r="H167" i="6"/>
  <c r="H166" i="6"/>
  <c r="H165" i="6"/>
  <c r="H164" i="6"/>
  <c r="H163" i="6"/>
  <c r="AJ163" i="6" s="1"/>
  <c r="H162" i="6"/>
  <c r="AJ162" i="6" s="1"/>
  <c r="H161" i="6"/>
  <c r="H160" i="6"/>
  <c r="H159" i="6"/>
  <c r="H158" i="6"/>
  <c r="H157" i="6"/>
  <c r="H156" i="6"/>
  <c r="H155" i="6"/>
  <c r="AJ155" i="6" s="1"/>
  <c r="H154" i="6"/>
  <c r="AJ154" i="6" s="1"/>
  <c r="H153" i="6"/>
  <c r="H152" i="6"/>
  <c r="H151" i="6"/>
  <c r="H150" i="6"/>
  <c r="H149" i="6"/>
  <c r="H148" i="6"/>
  <c r="H147" i="6"/>
  <c r="AJ147" i="6" s="1"/>
  <c r="H146" i="6"/>
  <c r="AJ146" i="6" s="1"/>
  <c r="H145" i="6"/>
  <c r="H144" i="6"/>
  <c r="H143" i="6"/>
  <c r="H142" i="6"/>
  <c r="H141" i="6"/>
  <c r="H140" i="6"/>
  <c r="H139" i="6"/>
  <c r="AJ139" i="6" s="1"/>
  <c r="H138" i="6"/>
  <c r="AJ138" i="6" s="1"/>
  <c r="H137" i="6"/>
  <c r="H136" i="6"/>
  <c r="H135" i="6"/>
  <c r="H134" i="6"/>
  <c r="H133" i="6"/>
  <c r="H132" i="6"/>
  <c r="H131" i="6"/>
  <c r="AJ131" i="6" s="1"/>
  <c r="H130" i="6"/>
  <c r="AJ130" i="6" s="1"/>
  <c r="H129" i="6"/>
  <c r="H128" i="6"/>
  <c r="H127" i="6"/>
  <c r="H126" i="6"/>
  <c r="H125" i="6"/>
  <c r="H124" i="6"/>
  <c r="H123" i="6"/>
  <c r="AJ123" i="6" s="1"/>
  <c r="H122" i="6"/>
  <c r="AJ122" i="6" s="1"/>
  <c r="H121" i="6"/>
  <c r="H120" i="6"/>
  <c r="H119" i="6"/>
  <c r="H118" i="6"/>
  <c r="H117" i="6"/>
  <c r="H116" i="6"/>
  <c r="H115" i="6"/>
  <c r="AJ115" i="6" s="1"/>
  <c r="H114" i="6"/>
  <c r="AJ114" i="6" s="1"/>
  <c r="H113" i="6"/>
  <c r="H112" i="6"/>
  <c r="AJ112" i="6" s="1"/>
  <c r="H111" i="6"/>
  <c r="H110" i="6"/>
  <c r="H109" i="6"/>
  <c r="H108" i="6"/>
  <c r="H107" i="6"/>
  <c r="AJ107" i="6" s="1"/>
  <c r="H106" i="6"/>
  <c r="AJ106" i="6" s="1"/>
  <c r="H105" i="6"/>
  <c r="H104" i="6"/>
  <c r="H103" i="6"/>
  <c r="H102" i="6"/>
  <c r="H101" i="6"/>
  <c r="H100" i="6"/>
  <c r="H99" i="6"/>
  <c r="AJ99" i="6" s="1"/>
  <c r="H98" i="6"/>
  <c r="AJ98" i="6" s="1"/>
  <c r="H97" i="6"/>
  <c r="H96" i="6"/>
  <c r="H95" i="6"/>
  <c r="H94" i="6"/>
  <c r="H93" i="6"/>
  <c r="H92" i="6"/>
  <c r="H91" i="6"/>
  <c r="AJ91" i="6" s="1"/>
  <c r="H90" i="6"/>
  <c r="AJ90" i="6" s="1"/>
  <c r="H89" i="6"/>
  <c r="H88" i="6"/>
  <c r="H87" i="6"/>
  <c r="H86" i="6"/>
  <c r="H85" i="6"/>
  <c r="H84" i="6"/>
  <c r="H83" i="6"/>
  <c r="AJ83" i="6" s="1"/>
  <c r="H82" i="6"/>
  <c r="AJ82" i="6" s="1"/>
  <c r="H81" i="6"/>
  <c r="H80" i="6"/>
  <c r="H79" i="6"/>
  <c r="H78" i="6"/>
  <c r="H77" i="6"/>
  <c r="H76" i="6"/>
  <c r="H75" i="6"/>
  <c r="AJ75" i="6" s="1"/>
  <c r="H74" i="6"/>
  <c r="AJ74" i="6" s="1"/>
  <c r="H73" i="6"/>
  <c r="H72" i="6"/>
  <c r="H71" i="6"/>
  <c r="H70" i="6"/>
  <c r="H69" i="6"/>
  <c r="H68" i="6"/>
  <c r="H67" i="6"/>
  <c r="AJ67" i="6" s="1"/>
  <c r="H66" i="6"/>
  <c r="AJ66" i="6" s="1"/>
  <c r="H65" i="6"/>
  <c r="H64" i="6"/>
  <c r="H63" i="6"/>
  <c r="H62" i="6"/>
  <c r="H61" i="6"/>
  <c r="H60" i="6"/>
  <c r="H59" i="6"/>
  <c r="AJ59" i="6" s="1"/>
  <c r="H58" i="6"/>
  <c r="AJ58" i="6" s="1"/>
  <c r="H57" i="6"/>
  <c r="H56" i="6"/>
  <c r="H55" i="6"/>
  <c r="H54" i="6"/>
  <c r="H53" i="6"/>
  <c r="H52" i="6"/>
  <c r="H51" i="6"/>
  <c r="AJ51" i="6" s="1"/>
  <c r="H50" i="6"/>
  <c r="AJ50" i="6" s="1"/>
  <c r="H49" i="6"/>
  <c r="H48" i="6"/>
  <c r="H47" i="6"/>
  <c r="H46" i="6"/>
  <c r="H45" i="6"/>
  <c r="H44" i="6"/>
  <c r="H43" i="6"/>
  <c r="AJ43" i="6" s="1"/>
  <c r="H42" i="6"/>
  <c r="AJ42" i="6" s="1"/>
  <c r="H41" i="6"/>
  <c r="H40" i="6"/>
  <c r="H39" i="6"/>
  <c r="H38" i="6"/>
  <c r="H37" i="6"/>
  <c r="H36" i="6"/>
  <c r="H35" i="6"/>
  <c r="AJ35" i="6" s="1"/>
  <c r="H34" i="6"/>
  <c r="AJ34" i="6" s="1"/>
  <c r="H33" i="6"/>
  <c r="H32" i="6"/>
  <c r="H31" i="6"/>
  <c r="H30" i="6"/>
  <c r="H29" i="6"/>
  <c r="H28" i="6"/>
  <c r="H27" i="6"/>
  <c r="AJ27" i="6" s="1"/>
  <c r="H26" i="6"/>
  <c r="AJ26" i="6" s="1"/>
  <c r="H25" i="6"/>
  <c r="H24" i="6"/>
  <c r="H23" i="6"/>
  <c r="H22" i="6"/>
  <c r="H21" i="6"/>
  <c r="AJ21" i="6" s="1"/>
  <c r="H20" i="6"/>
  <c r="H19" i="6"/>
  <c r="AJ19" i="6" s="1"/>
  <c r="H18" i="6"/>
  <c r="AJ18" i="6" s="1"/>
  <c r="H17" i="6"/>
  <c r="H16" i="6"/>
  <c r="H15" i="6"/>
  <c r="H14" i="6"/>
  <c r="H13" i="6"/>
  <c r="AJ13" i="6" s="1"/>
  <c r="H12" i="6"/>
  <c r="H11" i="6"/>
  <c r="AJ11" i="6" s="1"/>
  <c r="H10" i="6"/>
  <c r="AJ10" i="6" s="1"/>
  <c r="H9" i="6"/>
  <c r="H8" i="6"/>
  <c r="H7" i="6"/>
  <c r="H6" i="6"/>
  <c r="H5" i="6"/>
  <c r="AJ5" i="6" s="1"/>
  <c r="H4" i="6"/>
  <c r="AJ240" i="6"/>
  <c r="AJ241" i="6"/>
  <c r="AJ239" i="6"/>
  <c r="AJ238" i="6"/>
  <c r="AJ237" i="6"/>
  <c r="AJ236" i="6"/>
  <c r="AJ233" i="6"/>
  <c r="AJ232" i="6"/>
  <c r="AJ231" i="6"/>
  <c r="AJ230" i="6"/>
  <c r="AJ229" i="6"/>
  <c r="AJ228" i="6"/>
  <c r="AJ225" i="6"/>
  <c r="AJ224" i="6"/>
  <c r="AJ223" i="6"/>
  <c r="AJ222" i="6"/>
  <c r="AJ221" i="6"/>
  <c r="AJ220" i="6"/>
  <c r="AJ217" i="6"/>
  <c r="AJ216" i="6"/>
  <c r="AJ215" i="6"/>
  <c r="AJ214" i="6"/>
  <c r="AJ213" i="6"/>
  <c r="AJ212" i="6"/>
  <c r="AJ209" i="6"/>
  <c r="AJ208" i="6"/>
  <c r="AJ207" i="6"/>
  <c r="AJ206" i="6"/>
  <c r="AJ205" i="6"/>
  <c r="AJ204" i="6"/>
  <c r="AJ201" i="6"/>
  <c r="AJ200" i="6"/>
  <c r="AJ199" i="6"/>
  <c r="AJ198" i="6"/>
  <c r="AJ197" i="6"/>
  <c r="AJ196" i="6"/>
  <c r="AJ193" i="6"/>
  <c r="AJ192" i="6"/>
  <c r="AJ191" i="6"/>
  <c r="AJ190" i="6"/>
  <c r="AJ189" i="6"/>
  <c r="AJ188" i="6"/>
  <c r="AJ185" i="6"/>
  <c r="AJ184" i="6"/>
  <c r="AJ183" i="6"/>
  <c r="AJ182" i="6"/>
  <c r="AJ181" i="6"/>
  <c r="AJ180" i="6"/>
  <c r="AJ177" i="6"/>
  <c r="AJ176" i="6"/>
  <c r="AJ175" i="6"/>
  <c r="AJ174" i="6"/>
  <c r="AJ173" i="6"/>
  <c r="AJ172" i="6"/>
  <c r="AJ169" i="6"/>
  <c r="AJ168" i="6"/>
  <c r="AJ167" i="6"/>
  <c r="AJ166" i="6"/>
  <c r="AJ165" i="6"/>
  <c r="AJ164" i="6"/>
  <c r="AJ161" i="6"/>
  <c r="AJ160" i="6"/>
  <c r="AJ159" i="6"/>
  <c r="AJ158" i="6"/>
  <c r="AJ157" i="6"/>
  <c r="AJ156" i="6"/>
  <c r="AJ153" i="6"/>
  <c r="AJ152" i="6"/>
  <c r="AJ151" i="6"/>
  <c r="AJ150" i="6"/>
  <c r="AJ149" i="6"/>
  <c r="AJ148" i="6"/>
  <c r="AJ145" i="6"/>
  <c r="AJ144" i="6"/>
  <c r="AJ143" i="6"/>
  <c r="AJ142" i="6"/>
  <c r="AJ141" i="6"/>
  <c r="AJ140" i="6"/>
  <c r="AJ137" i="6"/>
  <c r="AJ136" i="6"/>
  <c r="AJ135" i="6"/>
  <c r="AJ134" i="6"/>
  <c r="AJ133" i="6"/>
  <c r="AJ132" i="6"/>
  <c r="AJ129" i="6"/>
  <c r="AJ128" i="6"/>
  <c r="AJ127" i="6"/>
  <c r="AJ126" i="6"/>
  <c r="AJ125" i="6"/>
  <c r="AJ124" i="6"/>
  <c r="AJ121" i="6"/>
  <c r="AJ120" i="6"/>
  <c r="AJ119" i="6"/>
  <c r="AJ118" i="6"/>
  <c r="AJ117" i="6"/>
  <c r="AJ116" i="6"/>
  <c r="AJ113" i="6"/>
  <c r="AJ111" i="6"/>
  <c r="AJ110" i="6"/>
  <c r="AJ109" i="6"/>
  <c r="AJ108" i="6"/>
  <c r="AJ105" i="6"/>
  <c r="AJ104" i="6"/>
  <c r="AJ103" i="6"/>
  <c r="AJ102" i="6"/>
  <c r="AJ101" i="6"/>
  <c r="AJ100" i="6"/>
  <c r="AJ97" i="6"/>
  <c r="AJ96" i="6"/>
  <c r="AJ95" i="6"/>
  <c r="AJ94" i="6"/>
  <c r="AJ93" i="6"/>
  <c r="AJ92" i="6"/>
  <c r="AJ89" i="6"/>
  <c r="AJ88" i="6"/>
  <c r="AJ87" i="6"/>
  <c r="AJ86" i="6"/>
  <c r="AJ85" i="6"/>
  <c r="AJ84" i="6"/>
  <c r="AJ81" i="6"/>
  <c r="AJ80" i="6"/>
  <c r="AJ79" i="6"/>
  <c r="AJ78" i="6"/>
  <c r="AJ77" i="6"/>
  <c r="AJ76" i="6"/>
  <c r="AJ73" i="6"/>
  <c r="AJ72" i="6"/>
  <c r="AJ71" i="6"/>
  <c r="AJ70" i="6"/>
  <c r="AJ69" i="6"/>
  <c r="AJ68" i="6"/>
  <c r="AJ65" i="6"/>
  <c r="AJ64" i="6"/>
  <c r="AJ63" i="6"/>
  <c r="AJ62" i="6"/>
  <c r="AJ61" i="6"/>
  <c r="AJ60" i="6"/>
  <c r="AJ57" i="6"/>
  <c r="AJ56" i="6"/>
  <c r="AJ55" i="6"/>
  <c r="AJ54" i="6"/>
  <c r="AJ53" i="6"/>
  <c r="AJ52" i="6"/>
  <c r="AJ49" i="6"/>
  <c r="AJ48" i="6"/>
  <c r="AJ47" i="6"/>
  <c r="AJ46" i="6"/>
  <c r="AJ45" i="6"/>
  <c r="AJ44" i="6"/>
  <c r="AJ41" i="6"/>
  <c r="AJ40" i="6"/>
  <c r="AJ39" i="6"/>
  <c r="AJ38" i="6"/>
  <c r="AJ37" i="6"/>
  <c r="AJ36" i="6"/>
  <c r="AJ33" i="6"/>
  <c r="AJ32" i="6"/>
  <c r="AJ31" i="6"/>
  <c r="AJ30" i="6"/>
  <c r="AJ29" i="6"/>
  <c r="AJ28" i="6"/>
  <c r="AJ25" i="6"/>
  <c r="AJ24" i="6"/>
  <c r="AJ23" i="6"/>
  <c r="AJ22" i="6"/>
  <c r="AJ20" i="6"/>
  <c r="AJ17" i="6"/>
  <c r="AJ16" i="6"/>
  <c r="AJ15" i="6"/>
  <c r="AJ14" i="6"/>
  <c r="AJ12" i="6"/>
  <c r="AJ9" i="6"/>
  <c r="AJ8" i="6"/>
  <c r="AJ7" i="6"/>
  <c r="AJ6" i="6"/>
  <c r="H198" i="4"/>
  <c r="AA198" i="6"/>
  <c r="AI198" i="6"/>
  <c r="AO198" i="6"/>
  <c r="I198" i="4" s="1"/>
  <c r="N56" i="3"/>
  <c r="U198" i="4" s="1"/>
  <c r="U56" i="3"/>
  <c r="V198" i="4" s="1"/>
  <c r="B198" i="4"/>
  <c r="C198" i="4"/>
  <c r="D198" i="4"/>
  <c r="E198" i="4"/>
  <c r="F198" i="4"/>
  <c r="G198" i="4"/>
  <c r="J198" i="4"/>
  <c r="K198" i="4"/>
  <c r="L198" i="4"/>
  <c r="M198" i="4"/>
  <c r="N198" i="4"/>
  <c r="O198" i="4"/>
  <c r="P198" i="4"/>
  <c r="Q198" i="4"/>
  <c r="R198" i="4"/>
  <c r="S198" i="4"/>
  <c r="T198" i="4"/>
  <c r="T198" i="6" l="1"/>
  <c r="AC198" i="6"/>
  <c r="V56" i="3"/>
  <c r="W198" i="4" s="1"/>
  <c r="T56" i="3"/>
  <c r="R56" i="3"/>
  <c r="P56" i="3"/>
  <c r="G4" i="4"/>
  <c r="AO32" i="6"/>
  <c r="I32" i="4" s="1"/>
  <c r="H240" i="4"/>
  <c r="H239" i="4"/>
  <c r="H32" i="4"/>
  <c r="H31" i="4"/>
  <c r="L226" i="4"/>
  <c r="K226" i="4"/>
  <c r="L223" i="4"/>
  <c r="K223" i="4"/>
  <c r="L221" i="4"/>
  <c r="K221" i="4"/>
  <c r="I196" i="4"/>
  <c r="I176" i="4"/>
  <c r="I168" i="4"/>
  <c r="I145" i="4"/>
  <c r="I142" i="4"/>
  <c r="I125" i="4"/>
  <c r="I121" i="4"/>
  <c r="L32" i="4"/>
  <c r="K32" i="4"/>
  <c r="L31" i="4"/>
  <c r="K31" i="4"/>
  <c r="AC32" i="6"/>
  <c r="AI32" i="6"/>
  <c r="AC31" i="6"/>
  <c r="AI31" i="6"/>
  <c r="AO31" i="6"/>
  <c r="I31" i="4" s="1"/>
  <c r="P15" i="3"/>
  <c r="U15" i="3"/>
  <c r="N14" i="3"/>
  <c r="U31" i="4" s="1"/>
  <c r="U14" i="3"/>
  <c r="V14" i="3" s="1"/>
  <c r="W31" i="4" s="1"/>
  <c r="B32" i="4"/>
  <c r="C32" i="4"/>
  <c r="D32" i="4"/>
  <c r="E32" i="4"/>
  <c r="F32" i="4"/>
  <c r="G32" i="4"/>
  <c r="M32" i="4"/>
  <c r="N32" i="4"/>
  <c r="O32" i="4"/>
  <c r="P32" i="4"/>
  <c r="Q32" i="4"/>
  <c r="R32" i="4"/>
  <c r="S32" i="4"/>
  <c r="T32" i="4"/>
  <c r="V32" i="4"/>
  <c r="B31" i="4"/>
  <c r="C31" i="4"/>
  <c r="D31" i="4"/>
  <c r="E31" i="4"/>
  <c r="F31" i="4"/>
  <c r="G31" i="4"/>
  <c r="M31" i="4"/>
  <c r="N31" i="4"/>
  <c r="O31" i="4"/>
  <c r="P31" i="4"/>
  <c r="Q31" i="4"/>
  <c r="R31" i="4"/>
  <c r="S31" i="4"/>
  <c r="T31" i="4"/>
  <c r="AD32" i="6" l="1"/>
  <c r="J32" i="4" s="1"/>
  <c r="AD31" i="6"/>
  <c r="J31" i="4" s="1"/>
  <c r="AA31" i="6"/>
  <c r="AB31" i="6" s="1"/>
  <c r="AA32" i="6"/>
  <c r="AB32" i="6" s="1"/>
  <c r="N15" i="3"/>
  <c r="U32" i="4" s="1"/>
  <c r="V31" i="4"/>
  <c r="V15" i="3"/>
  <c r="W32" i="4" s="1"/>
  <c r="T14" i="3"/>
  <c r="T32" i="6"/>
  <c r="T31" i="6"/>
  <c r="T15" i="3"/>
  <c r="R15" i="3"/>
  <c r="R14" i="3"/>
  <c r="P14" i="3"/>
  <c r="B4" i="4" l="1"/>
  <c r="C4" i="4"/>
  <c r="D4" i="4"/>
  <c r="E4" i="4"/>
  <c r="F4" i="4"/>
  <c r="B5" i="4"/>
  <c r="C5" i="4"/>
  <c r="D5" i="4"/>
  <c r="E5" i="4"/>
  <c r="F5" i="4"/>
  <c r="G5" i="4"/>
  <c r="B6" i="4"/>
  <c r="C6" i="4"/>
  <c r="D6" i="4"/>
  <c r="E6" i="4"/>
  <c r="F6" i="4"/>
  <c r="G6" i="4"/>
  <c r="B7" i="4"/>
  <c r="C7" i="4"/>
  <c r="D7" i="4"/>
  <c r="E7" i="4"/>
  <c r="F7" i="4"/>
  <c r="G7" i="4"/>
  <c r="B8" i="4"/>
  <c r="C8" i="4"/>
  <c r="D8" i="4"/>
  <c r="E8" i="4"/>
  <c r="F8" i="4"/>
  <c r="G8" i="4"/>
  <c r="B9" i="4"/>
  <c r="C9" i="4"/>
  <c r="D9" i="4"/>
  <c r="E9" i="4"/>
  <c r="F9" i="4"/>
  <c r="G9" i="4"/>
  <c r="B10" i="4"/>
  <c r="C10" i="4"/>
  <c r="D10" i="4"/>
  <c r="E10" i="4"/>
  <c r="F10" i="4"/>
  <c r="G10" i="4"/>
  <c r="B11" i="4"/>
  <c r="C11" i="4"/>
  <c r="D11" i="4"/>
  <c r="E11" i="4"/>
  <c r="F11" i="4"/>
  <c r="G11" i="4"/>
  <c r="B12" i="4"/>
  <c r="C12" i="4"/>
  <c r="D12" i="4"/>
  <c r="E12" i="4"/>
  <c r="F12" i="4"/>
  <c r="G12" i="4"/>
  <c r="B13" i="4"/>
  <c r="C13" i="4"/>
  <c r="D13" i="4"/>
  <c r="E13" i="4"/>
  <c r="F13" i="4"/>
  <c r="G13" i="4"/>
  <c r="B14" i="4"/>
  <c r="C14" i="4"/>
  <c r="D14" i="4"/>
  <c r="E14" i="4"/>
  <c r="F14" i="4"/>
  <c r="G14" i="4"/>
  <c r="B15" i="4"/>
  <c r="C15" i="4"/>
  <c r="D15" i="4"/>
  <c r="E15" i="4"/>
  <c r="F15" i="4"/>
  <c r="G15" i="4"/>
  <c r="B16" i="4"/>
  <c r="C16" i="4"/>
  <c r="D16" i="4"/>
  <c r="E16" i="4"/>
  <c r="F16" i="4"/>
  <c r="G16" i="4"/>
  <c r="B17" i="4"/>
  <c r="C17" i="4"/>
  <c r="D17" i="4"/>
  <c r="E17" i="4"/>
  <c r="F17" i="4"/>
  <c r="G17" i="4"/>
  <c r="B18" i="4"/>
  <c r="C18" i="4"/>
  <c r="D18" i="4"/>
  <c r="E18" i="4"/>
  <c r="F18" i="4"/>
  <c r="G18" i="4"/>
  <c r="B19" i="4"/>
  <c r="C19" i="4"/>
  <c r="D19" i="4"/>
  <c r="E19" i="4"/>
  <c r="F19" i="4"/>
  <c r="G19" i="4"/>
  <c r="B20" i="4"/>
  <c r="C20" i="4"/>
  <c r="D20" i="4"/>
  <c r="E20" i="4"/>
  <c r="F20" i="4"/>
  <c r="G20" i="4"/>
  <c r="B21" i="4"/>
  <c r="C21" i="4"/>
  <c r="D21" i="4"/>
  <c r="E21" i="4"/>
  <c r="F21" i="4"/>
  <c r="G21" i="4"/>
  <c r="B22" i="4"/>
  <c r="C22" i="4"/>
  <c r="D22" i="4"/>
  <c r="E22" i="4"/>
  <c r="F22" i="4"/>
  <c r="G22" i="4"/>
  <c r="B23" i="4"/>
  <c r="C23" i="4"/>
  <c r="D23" i="4"/>
  <c r="E23" i="4"/>
  <c r="F23" i="4"/>
  <c r="G23" i="4"/>
  <c r="B24" i="4"/>
  <c r="C24" i="4"/>
  <c r="D24" i="4"/>
  <c r="E24" i="4"/>
  <c r="F24" i="4"/>
  <c r="G24" i="4"/>
  <c r="B25" i="4"/>
  <c r="C25" i="4"/>
  <c r="D25" i="4"/>
  <c r="E25" i="4"/>
  <c r="F25" i="4"/>
  <c r="G25" i="4"/>
  <c r="B26" i="4"/>
  <c r="C26" i="4"/>
  <c r="D26" i="4"/>
  <c r="E26" i="4"/>
  <c r="F26" i="4"/>
  <c r="G26" i="4"/>
  <c r="B27" i="4"/>
  <c r="C27" i="4"/>
  <c r="D27" i="4"/>
  <c r="E27" i="4"/>
  <c r="F27" i="4"/>
  <c r="G27" i="4"/>
  <c r="B28" i="4"/>
  <c r="C28" i="4"/>
  <c r="D28" i="4"/>
  <c r="E28" i="4"/>
  <c r="F28" i="4"/>
  <c r="G28" i="4"/>
  <c r="B29" i="4"/>
  <c r="C29" i="4"/>
  <c r="D29" i="4"/>
  <c r="E29" i="4"/>
  <c r="F29" i="4"/>
  <c r="G29" i="4"/>
  <c r="B30" i="4"/>
  <c r="C30" i="4"/>
  <c r="D30" i="4"/>
  <c r="E30" i="4"/>
  <c r="F30" i="4"/>
  <c r="G30" i="4"/>
  <c r="B33" i="4"/>
  <c r="C33" i="4"/>
  <c r="D33" i="4"/>
  <c r="E33" i="4"/>
  <c r="F33" i="4"/>
  <c r="G33" i="4"/>
  <c r="B34" i="4"/>
  <c r="C34" i="4"/>
  <c r="D34" i="4"/>
  <c r="E34" i="4"/>
  <c r="F34" i="4"/>
  <c r="G34" i="4"/>
  <c r="B35" i="4"/>
  <c r="C35" i="4"/>
  <c r="D35" i="4"/>
  <c r="E35" i="4"/>
  <c r="F35" i="4"/>
  <c r="G35" i="4"/>
  <c r="B36" i="4"/>
  <c r="C36" i="4"/>
  <c r="D36" i="4"/>
  <c r="E36" i="4"/>
  <c r="F36" i="4"/>
  <c r="G36" i="4"/>
  <c r="B37" i="4"/>
  <c r="C37" i="4"/>
  <c r="D37" i="4"/>
  <c r="E37" i="4"/>
  <c r="F37" i="4"/>
  <c r="G37" i="4"/>
  <c r="B38" i="4"/>
  <c r="C38" i="4"/>
  <c r="D38" i="4"/>
  <c r="E38" i="4"/>
  <c r="F38" i="4"/>
  <c r="G38" i="4"/>
  <c r="B39" i="4"/>
  <c r="C39" i="4"/>
  <c r="D39" i="4"/>
  <c r="E39" i="4"/>
  <c r="F39" i="4"/>
  <c r="G39" i="4"/>
  <c r="B40" i="4"/>
  <c r="C40" i="4"/>
  <c r="D40" i="4"/>
  <c r="E40" i="4"/>
  <c r="F40" i="4"/>
  <c r="G40" i="4"/>
  <c r="B41" i="4"/>
  <c r="C41" i="4"/>
  <c r="D41" i="4"/>
  <c r="E41" i="4"/>
  <c r="F41" i="4"/>
  <c r="G41" i="4"/>
  <c r="B42" i="4"/>
  <c r="C42" i="4"/>
  <c r="D42" i="4"/>
  <c r="E42" i="4"/>
  <c r="F42" i="4"/>
  <c r="G42" i="4"/>
  <c r="B43" i="4"/>
  <c r="C43" i="4"/>
  <c r="D43" i="4"/>
  <c r="E43" i="4"/>
  <c r="F43" i="4"/>
  <c r="G43" i="4"/>
  <c r="B44" i="4"/>
  <c r="C44" i="4"/>
  <c r="D44" i="4"/>
  <c r="E44" i="4"/>
  <c r="F44" i="4"/>
  <c r="G44" i="4"/>
  <c r="B45" i="4"/>
  <c r="C45" i="4"/>
  <c r="D45" i="4"/>
  <c r="E45" i="4"/>
  <c r="F45" i="4"/>
  <c r="G45" i="4"/>
  <c r="B46" i="4"/>
  <c r="C46" i="4"/>
  <c r="D46" i="4"/>
  <c r="E46" i="4"/>
  <c r="F46" i="4"/>
  <c r="G46" i="4"/>
  <c r="B47" i="4"/>
  <c r="C47" i="4"/>
  <c r="D47" i="4"/>
  <c r="E47" i="4"/>
  <c r="F47" i="4"/>
  <c r="G47" i="4"/>
  <c r="B48" i="4"/>
  <c r="C48" i="4"/>
  <c r="D48" i="4"/>
  <c r="E48" i="4"/>
  <c r="F48" i="4"/>
  <c r="G48" i="4"/>
  <c r="B49" i="4"/>
  <c r="C49" i="4"/>
  <c r="D49" i="4"/>
  <c r="E49" i="4"/>
  <c r="F49" i="4"/>
  <c r="G49" i="4"/>
  <c r="B50" i="4"/>
  <c r="C50" i="4"/>
  <c r="D50" i="4"/>
  <c r="E50" i="4"/>
  <c r="F50" i="4"/>
  <c r="G50" i="4"/>
  <c r="B51" i="4"/>
  <c r="C51" i="4"/>
  <c r="D51" i="4"/>
  <c r="E51" i="4"/>
  <c r="F51" i="4"/>
  <c r="G51" i="4"/>
  <c r="B52" i="4"/>
  <c r="C52" i="4"/>
  <c r="D52" i="4"/>
  <c r="E52" i="4"/>
  <c r="F52" i="4"/>
  <c r="G52" i="4"/>
  <c r="B53" i="4"/>
  <c r="C53" i="4"/>
  <c r="D53" i="4"/>
  <c r="E53" i="4"/>
  <c r="F53" i="4"/>
  <c r="G53" i="4"/>
  <c r="B54" i="4"/>
  <c r="C54" i="4"/>
  <c r="D54" i="4"/>
  <c r="E54" i="4"/>
  <c r="F54" i="4"/>
  <c r="G54" i="4"/>
  <c r="B55" i="4"/>
  <c r="C55" i="4"/>
  <c r="D55" i="4"/>
  <c r="E55" i="4"/>
  <c r="F55" i="4"/>
  <c r="G55" i="4"/>
  <c r="B56" i="4"/>
  <c r="C56" i="4"/>
  <c r="D56" i="4"/>
  <c r="E56" i="4"/>
  <c r="F56" i="4"/>
  <c r="G56" i="4"/>
  <c r="B57" i="4"/>
  <c r="C57" i="4"/>
  <c r="D57" i="4"/>
  <c r="E57" i="4"/>
  <c r="F57" i="4"/>
  <c r="G57" i="4"/>
  <c r="B58" i="4"/>
  <c r="C58" i="4"/>
  <c r="D58" i="4"/>
  <c r="E58" i="4"/>
  <c r="F58" i="4"/>
  <c r="G58" i="4"/>
  <c r="B59" i="4"/>
  <c r="C59" i="4"/>
  <c r="D59" i="4"/>
  <c r="E59" i="4"/>
  <c r="F59" i="4"/>
  <c r="G59" i="4"/>
  <c r="B60" i="4"/>
  <c r="C60" i="4"/>
  <c r="D60" i="4"/>
  <c r="E60" i="4"/>
  <c r="F60" i="4"/>
  <c r="G60" i="4"/>
  <c r="B61" i="4"/>
  <c r="C61" i="4"/>
  <c r="D61" i="4"/>
  <c r="E61" i="4"/>
  <c r="F61" i="4"/>
  <c r="G61" i="4"/>
  <c r="B62" i="4"/>
  <c r="C62" i="4"/>
  <c r="D62" i="4"/>
  <c r="E62" i="4"/>
  <c r="F62" i="4"/>
  <c r="G62" i="4"/>
  <c r="B63" i="4"/>
  <c r="C63" i="4"/>
  <c r="D63" i="4"/>
  <c r="E63" i="4"/>
  <c r="F63" i="4"/>
  <c r="G63" i="4"/>
  <c r="B64" i="4"/>
  <c r="C64" i="4"/>
  <c r="D64" i="4"/>
  <c r="E64" i="4"/>
  <c r="F64" i="4"/>
  <c r="G64" i="4"/>
  <c r="B65" i="4"/>
  <c r="C65" i="4"/>
  <c r="D65" i="4"/>
  <c r="E65" i="4"/>
  <c r="F65" i="4"/>
  <c r="G65" i="4"/>
  <c r="B66" i="4"/>
  <c r="C66" i="4"/>
  <c r="D66" i="4"/>
  <c r="E66" i="4"/>
  <c r="F66" i="4"/>
  <c r="G66" i="4"/>
  <c r="B67" i="4"/>
  <c r="C67" i="4"/>
  <c r="D67" i="4"/>
  <c r="E67" i="4"/>
  <c r="F67" i="4"/>
  <c r="G67" i="4"/>
  <c r="B68" i="4"/>
  <c r="C68" i="4"/>
  <c r="D68" i="4"/>
  <c r="E68" i="4"/>
  <c r="F68" i="4"/>
  <c r="G68" i="4"/>
  <c r="B69" i="4"/>
  <c r="C69" i="4"/>
  <c r="D69" i="4"/>
  <c r="E69" i="4"/>
  <c r="F69" i="4"/>
  <c r="G69" i="4"/>
  <c r="B70" i="4"/>
  <c r="C70" i="4"/>
  <c r="D70" i="4"/>
  <c r="E70" i="4"/>
  <c r="F70" i="4"/>
  <c r="G70" i="4"/>
  <c r="B71" i="4"/>
  <c r="C71" i="4"/>
  <c r="D71" i="4"/>
  <c r="E71" i="4"/>
  <c r="F71" i="4"/>
  <c r="G71" i="4"/>
  <c r="B72" i="4"/>
  <c r="C72" i="4"/>
  <c r="D72" i="4"/>
  <c r="E72" i="4"/>
  <c r="F72" i="4"/>
  <c r="G72" i="4"/>
  <c r="B73" i="4"/>
  <c r="C73" i="4"/>
  <c r="D73" i="4"/>
  <c r="E73" i="4"/>
  <c r="F73" i="4"/>
  <c r="G73" i="4"/>
  <c r="B74" i="4"/>
  <c r="C74" i="4"/>
  <c r="D74" i="4"/>
  <c r="E74" i="4"/>
  <c r="F74" i="4"/>
  <c r="G74" i="4"/>
  <c r="B75" i="4"/>
  <c r="C75" i="4"/>
  <c r="D75" i="4"/>
  <c r="E75" i="4"/>
  <c r="F75" i="4"/>
  <c r="G75" i="4"/>
  <c r="B76" i="4"/>
  <c r="C76" i="4"/>
  <c r="D76" i="4"/>
  <c r="E76" i="4"/>
  <c r="F76" i="4"/>
  <c r="G76" i="4"/>
  <c r="B77" i="4"/>
  <c r="C77" i="4"/>
  <c r="D77" i="4"/>
  <c r="E77" i="4"/>
  <c r="F77" i="4"/>
  <c r="G77" i="4"/>
  <c r="B78" i="4"/>
  <c r="C78" i="4"/>
  <c r="D78" i="4"/>
  <c r="E78" i="4"/>
  <c r="F78" i="4"/>
  <c r="G78" i="4"/>
  <c r="B79" i="4"/>
  <c r="C79" i="4"/>
  <c r="D79" i="4"/>
  <c r="E79" i="4"/>
  <c r="F79" i="4"/>
  <c r="G79" i="4"/>
  <c r="B80" i="4"/>
  <c r="C80" i="4"/>
  <c r="D80" i="4"/>
  <c r="E80" i="4"/>
  <c r="F80" i="4"/>
  <c r="G80" i="4"/>
  <c r="B81" i="4"/>
  <c r="C81" i="4"/>
  <c r="D81" i="4"/>
  <c r="E81" i="4"/>
  <c r="F81" i="4"/>
  <c r="G81" i="4"/>
  <c r="B82" i="4"/>
  <c r="C82" i="4"/>
  <c r="D82" i="4"/>
  <c r="E82" i="4"/>
  <c r="F82" i="4"/>
  <c r="G82" i="4"/>
  <c r="B83" i="4"/>
  <c r="C83" i="4"/>
  <c r="D83" i="4"/>
  <c r="E83" i="4"/>
  <c r="F83" i="4"/>
  <c r="G83" i="4"/>
  <c r="B84" i="4"/>
  <c r="C84" i="4"/>
  <c r="D84" i="4"/>
  <c r="E84" i="4"/>
  <c r="F84" i="4"/>
  <c r="G84" i="4"/>
  <c r="B85" i="4"/>
  <c r="C85" i="4"/>
  <c r="D85" i="4"/>
  <c r="E85" i="4"/>
  <c r="F85" i="4"/>
  <c r="G85" i="4"/>
  <c r="B86" i="4"/>
  <c r="C86" i="4"/>
  <c r="D86" i="4"/>
  <c r="E86" i="4"/>
  <c r="F86" i="4"/>
  <c r="G86" i="4"/>
  <c r="B87" i="4"/>
  <c r="C87" i="4"/>
  <c r="D87" i="4"/>
  <c r="E87" i="4"/>
  <c r="F87" i="4"/>
  <c r="G87" i="4"/>
  <c r="B88" i="4"/>
  <c r="C88" i="4"/>
  <c r="D88" i="4"/>
  <c r="E88" i="4"/>
  <c r="F88" i="4"/>
  <c r="G88" i="4"/>
  <c r="B89" i="4"/>
  <c r="C89" i="4"/>
  <c r="D89" i="4"/>
  <c r="E89" i="4"/>
  <c r="F89" i="4"/>
  <c r="G89" i="4"/>
  <c r="B90" i="4"/>
  <c r="C90" i="4"/>
  <c r="D90" i="4"/>
  <c r="E90" i="4"/>
  <c r="F90" i="4"/>
  <c r="G90" i="4"/>
  <c r="B91" i="4"/>
  <c r="C91" i="4"/>
  <c r="D91" i="4"/>
  <c r="E91" i="4"/>
  <c r="F91" i="4"/>
  <c r="G91" i="4"/>
  <c r="B92" i="4"/>
  <c r="C92" i="4"/>
  <c r="D92" i="4"/>
  <c r="E92" i="4"/>
  <c r="F92" i="4"/>
  <c r="G92" i="4"/>
  <c r="B93" i="4"/>
  <c r="C93" i="4"/>
  <c r="D93" i="4"/>
  <c r="E93" i="4"/>
  <c r="F93" i="4"/>
  <c r="G93" i="4"/>
  <c r="B94" i="4"/>
  <c r="C94" i="4"/>
  <c r="D94" i="4"/>
  <c r="E94" i="4"/>
  <c r="F94" i="4"/>
  <c r="G94" i="4"/>
  <c r="B95" i="4"/>
  <c r="C95" i="4"/>
  <c r="D95" i="4"/>
  <c r="E95" i="4"/>
  <c r="F95" i="4"/>
  <c r="G95" i="4"/>
  <c r="B96" i="4"/>
  <c r="C96" i="4"/>
  <c r="D96" i="4"/>
  <c r="E96" i="4"/>
  <c r="F96" i="4"/>
  <c r="G96" i="4"/>
  <c r="B97" i="4"/>
  <c r="C97" i="4"/>
  <c r="D97" i="4"/>
  <c r="E97" i="4"/>
  <c r="F97" i="4"/>
  <c r="G97" i="4"/>
  <c r="B98" i="4"/>
  <c r="C98" i="4"/>
  <c r="D98" i="4"/>
  <c r="E98" i="4"/>
  <c r="F98" i="4"/>
  <c r="G98" i="4"/>
  <c r="B99" i="4"/>
  <c r="C99" i="4"/>
  <c r="D99" i="4"/>
  <c r="E99" i="4"/>
  <c r="F99" i="4"/>
  <c r="G99" i="4"/>
  <c r="B100" i="4"/>
  <c r="C100" i="4"/>
  <c r="D100" i="4"/>
  <c r="E100" i="4"/>
  <c r="F100" i="4"/>
  <c r="G100" i="4"/>
  <c r="B101" i="4"/>
  <c r="C101" i="4"/>
  <c r="D101" i="4"/>
  <c r="E101" i="4"/>
  <c r="F101" i="4"/>
  <c r="G101" i="4"/>
  <c r="B102" i="4"/>
  <c r="C102" i="4"/>
  <c r="D102" i="4"/>
  <c r="E102" i="4"/>
  <c r="F102" i="4"/>
  <c r="G102" i="4"/>
  <c r="B104" i="4"/>
  <c r="C104" i="4"/>
  <c r="D104" i="4"/>
  <c r="E104" i="4"/>
  <c r="F104" i="4"/>
  <c r="G104" i="4"/>
  <c r="B103" i="4"/>
  <c r="C103" i="4"/>
  <c r="D103" i="4"/>
  <c r="E103" i="4"/>
  <c r="F103" i="4"/>
  <c r="G103" i="4"/>
  <c r="B105" i="4"/>
  <c r="C105" i="4"/>
  <c r="D105" i="4"/>
  <c r="E105" i="4"/>
  <c r="F105" i="4"/>
  <c r="G105" i="4"/>
  <c r="B106" i="4"/>
  <c r="C106" i="4"/>
  <c r="D106" i="4"/>
  <c r="E106" i="4"/>
  <c r="F106" i="4"/>
  <c r="G106" i="4"/>
  <c r="B107" i="4"/>
  <c r="C107" i="4"/>
  <c r="D107" i="4"/>
  <c r="E107" i="4"/>
  <c r="F107" i="4"/>
  <c r="G107" i="4"/>
  <c r="B108" i="4"/>
  <c r="C108" i="4"/>
  <c r="D108" i="4"/>
  <c r="E108" i="4"/>
  <c r="F108" i="4"/>
  <c r="G108" i="4"/>
  <c r="B109" i="4"/>
  <c r="C109" i="4"/>
  <c r="D109" i="4"/>
  <c r="E109" i="4"/>
  <c r="F109" i="4"/>
  <c r="G109" i="4"/>
  <c r="B110" i="4"/>
  <c r="C110" i="4"/>
  <c r="D110" i="4"/>
  <c r="E110" i="4"/>
  <c r="F110" i="4"/>
  <c r="G110" i="4"/>
  <c r="B111" i="4"/>
  <c r="C111" i="4"/>
  <c r="D111" i="4"/>
  <c r="E111" i="4"/>
  <c r="F111" i="4"/>
  <c r="G111" i="4"/>
  <c r="B112" i="4"/>
  <c r="C112" i="4"/>
  <c r="D112" i="4"/>
  <c r="E112" i="4"/>
  <c r="F112" i="4"/>
  <c r="G112" i="4"/>
  <c r="B113" i="4"/>
  <c r="C113" i="4"/>
  <c r="D113" i="4"/>
  <c r="E113" i="4"/>
  <c r="F113" i="4"/>
  <c r="G113" i="4"/>
  <c r="B114" i="4"/>
  <c r="C114" i="4"/>
  <c r="D114" i="4"/>
  <c r="E114" i="4"/>
  <c r="F114" i="4"/>
  <c r="G114" i="4"/>
  <c r="B115" i="4"/>
  <c r="C115" i="4"/>
  <c r="D115" i="4"/>
  <c r="E115" i="4"/>
  <c r="F115" i="4"/>
  <c r="G115" i="4"/>
  <c r="B116" i="4"/>
  <c r="C116" i="4"/>
  <c r="D116" i="4"/>
  <c r="E116" i="4"/>
  <c r="F116" i="4"/>
  <c r="G116" i="4"/>
  <c r="B117" i="4"/>
  <c r="C117" i="4"/>
  <c r="D117" i="4"/>
  <c r="E117" i="4"/>
  <c r="F117" i="4"/>
  <c r="G117" i="4"/>
  <c r="B118" i="4"/>
  <c r="C118" i="4"/>
  <c r="D118" i="4"/>
  <c r="E118" i="4"/>
  <c r="F118" i="4"/>
  <c r="G118" i="4"/>
  <c r="B119" i="4"/>
  <c r="C119" i="4"/>
  <c r="D119" i="4"/>
  <c r="E119" i="4"/>
  <c r="F119" i="4"/>
  <c r="G119" i="4"/>
  <c r="B120" i="4"/>
  <c r="C120" i="4"/>
  <c r="D120" i="4"/>
  <c r="E120" i="4"/>
  <c r="F120" i="4"/>
  <c r="G120" i="4"/>
  <c r="B121" i="4"/>
  <c r="C121" i="4"/>
  <c r="D121" i="4"/>
  <c r="E121" i="4"/>
  <c r="F121" i="4"/>
  <c r="G121" i="4"/>
  <c r="B122" i="4"/>
  <c r="C122" i="4"/>
  <c r="D122" i="4"/>
  <c r="E122" i="4"/>
  <c r="F122" i="4"/>
  <c r="G122" i="4"/>
  <c r="B123" i="4"/>
  <c r="C123" i="4"/>
  <c r="D123" i="4"/>
  <c r="E123" i="4"/>
  <c r="F123" i="4"/>
  <c r="G123" i="4"/>
  <c r="B124" i="4"/>
  <c r="C124" i="4"/>
  <c r="D124" i="4"/>
  <c r="E124" i="4"/>
  <c r="F124" i="4"/>
  <c r="G124" i="4"/>
  <c r="B125" i="4"/>
  <c r="C125" i="4"/>
  <c r="D125" i="4"/>
  <c r="E125" i="4"/>
  <c r="F125" i="4"/>
  <c r="G125" i="4"/>
  <c r="B126" i="4"/>
  <c r="C126" i="4"/>
  <c r="D126" i="4"/>
  <c r="E126" i="4"/>
  <c r="F126" i="4"/>
  <c r="G126" i="4"/>
  <c r="B127" i="4"/>
  <c r="C127" i="4"/>
  <c r="D127" i="4"/>
  <c r="E127" i="4"/>
  <c r="F127" i="4"/>
  <c r="G127" i="4"/>
  <c r="B128" i="4"/>
  <c r="C128" i="4"/>
  <c r="D128" i="4"/>
  <c r="E128" i="4"/>
  <c r="F128" i="4"/>
  <c r="G128" i="4"/>
  <c r="B129" i="4"/>
  <c r="C129" i="4"/>
  <c r="D129" i="4"/>
  <c r="E129" i="4"/>
  <c r="F129" i="4"/>
  <c r="G129" i="4"/>
  <c r="B130" i="4"/>
  <c r="C130" i="4"/>
  <c r="D130" i="4"/>
  <c r="E130" i="4"/>
  <c r="F130" i="4"/>
  <c r="G130" i="4"/>
  <c r="B131" i="4"/>
  <c r="C131" i="4"/>
  <c r="D131" i="4"/>
  <c r="E131" i="4"/>
  <c r="F131" i="4"/>
  <c r="G131" i="4"/>
  <c r="B132" i="4"/>
  <c r="C132" i="4"/>
  <c r="D132" i="4"/>
  <c r="E132" i="4"/>
  <c r="F132" i="4"/>
  <c r="G132" i="4"/>
  <c r="B133" i="4"/>
  <c r="C133" i="4"/>
  <c r="D133" i="4"/>
  <c r="E133" i="4"/>
  <c r="F133" i="4"/>
  <c r="G133" i="4"/>
  <c r="B134" i="4"/>
  <c r="C134" i="4"/>
  <c r="D134" i="4"/>
  <c r="E134" i="4"/>
  <c r="F134" i="4"/>
  <c r="G134" i="4"/>
  <c r="B135" i="4"/>
  <c r="C135" i="4"/>
  <c r="D135" i="4"/>
  <c r="E135" i="4"/>
  <c r="F135" i="4"/>
  <c r="G135" i="4"/>
  <c r="B136" i="4"/>
  <c r="C136" i="4"/>
  <c r="D136" i="4"/>
  <c r="E136" i="4"/>
  <c r="F136" i="4"/>
  <c r="G136" i="4"/>
  <c r="B137" i="4"/>
  <c r="C137" i="4"/>
  <c r="D137" i="4"/>
  <c r="E137" i="4"/>
  <c r="F137" i="4"/>
  <c r="G137" i="4"/>
  <c r="B138" i="4"/>
  <c r="C138" i="4"/>
  <c r="D138" i="4"/>
  <c r="E138" i="4"/>
  <c r="F138" i="4"/>
  <c r="G138" i="4"/>
  <c r="B139" i="4"/>
  <c r="C139" i="4"/>
  <c r="D139" i="4"/>
  <c r="E139" i="4"/>
  <c r="F139" i="4"/>
  <c r="G139" i="4"/>
  <c r="B140" i="4"/>
  <c r="C140" i="4"/>
  <c r="D140" i="4"/>
  <c r="E140" i="4"/>
  <c r="F140" i="4"/>
  <c r="G140" i="4"/>
  <c r="B141" i="4"/>
  <c r="C141" i="4"/>
  <c r="D141" i="4"/>
  <c r="E141" i="4"/>
  <c r="F141" i="4"/>
  <c r="G141" i="4"/>
  <c r="B142" i="4"/>
  <c r="C142" i="4"/>
  <c r="D142" i="4"/>
  <c r="E142" i="4"/>
  <c r="F142" i="4"/>
  <c r="G142" i="4"/>
  <c r="B143" i="4"/>
  <c r="C143" i="4"/>
  <c r="D143" i="4"/>
  <c r="E143" i="4"/>
  <c r="F143" i="4"/>
  <c r="G143" i="4"/>
  <c r="B144" i="4"/>
  <c r="C144" i="4"/>
  <c r="D144" i="4"/>
  <c r="E144" i="4"/>
  <c r="F144" i="4"/>
  <c r="G144" i="4"/>
  <c r="B145" i="4"/>
  <c r="C145" i="4"/>
  <c r="D145" i="4"/>
  <c r="E145" i="4"/>
  <c r="F145" i="4"/>
  <c r="G145" i="4"/>
  <c r="B146" i="4"/>
  <c r="C146" i="4"/>
  <c r="D146" i="4"/>
  <c r="E146" i="4"/>
  <c r="F146" i="4"/>
  <c r="G146" i="4"/>
  <c r="B147" i="4"/>
  <c r="C147" i="4"/>
  <c r="D147" i="4"/>
  <c r="E147" i="4"/>
  <c r="F147" i="4"/>
  <c r="G147" i="4"/>
  <c r="B148" i="4"/>
  <c r="C148" i="4"/>
  <c r="D148" i="4"/>
  <c r="E148" i="4"/>
  <c r="F148" i="4"/>
  <c r="G148" i="4"/>
  <c r="B149" i="4"/>
  <c r="C149" i="4"/>
  <c r="D149" i="4"/>
  <c r="E149" i="4"/>
  <c r="F149" i="4"/>
  <c r="G149" i="4"/>
  <c r="B150" i="4"/>
  <c r="C150" i="4"/>
  <c r="D150" i="4"/>
  <c r="E150" i="4"/>
  <c r="F150" i="4"/>
  <c r="G150" i="4"/>
  <c r="B151" i="4"/>
  <c r="C151" i="4"/>
  <c r="D151" i="4"/>
  <c r="E151" i="4"/>
  <c r="F151" i="4"/>
  <c r="G151" i="4"/>
  <c r="B152" i="4"/>
  <c r="C152" i="4"/>
  <c r="D152" i="4"/>
  <c r="E152" i="4"/>
  <c r="F152" i="4"/>
  <c r="G152" i="4"/>
  <c r="B153" i="4"/>
  <c r="C153" i="4"/>
  <c r="D153" i="4"/>
  <c r="E153" i="4"/>
  <c r="F153" i="4"/>
  <c r="G153" i="4"/>
  <c r="B154" i="4"/>
  <c r="C154" i="4"/>
  <c r="D154" i="4"/>
  <c r="E154" i="4"/>
  <c r="F154" i="4"/>
  <c r="G154" i="4"/>
  <c r="B155" i="4"/>
  <c r="C155" i="4"/>
  <c r="D155" i="4"/>
  <c r="E155" i="4"/>
  <c r="F155" i="4"/>
  <c r="G155" i="4"/>
  <c r="B156" i="4"/>
  <c r="C156" i="4"/>
  <c r="D156" i="4"/>
  <c r="E156" i="4"/>
  <c r="F156" i="4"/>
  <c r="G156" i="4"/>
  <c r="B157" i="4"/>
  <c r="C157" i="4"/>
  <c r="D157" i="4"/>
  <c r="E157" i="4"/>
  <c r="F157" i="4"/>
  <c r="G157" i="4"/>
  <c r="B158" i="4"/>
  <c r="C158" i="4"/>
  <c r="D158" i="4"/>
  <c r="E158" i="4"/>
  <c r="F158" i="4"/>
  <c r="G158" i="4"/>
  <c r="B159" i="4"/>
  <c r="C159" i="4"/>
  <c r="D159" i="4"/>
  <c r="E159" i="4"/>
  <c r="F159" i="4"/>
  <c r="G159" i="4"/>
  <c r="B160" i="4"/>
  <c r="C160" i="4"/>
  <c r="D160" i="4"/>
  <c r="E160" i="4"/>
  <c r="F160" i="4"/>
  <c r="G160" i="4"/>
  <c r="B161" i="4"/>
  <c r="C161" i="4"/>
  <c r="D161" i="4"/>
  <c r="E161" i="4"/>
  <c r="F161" i="4"/>
  <c r="G161" i="4"/>
  <c r="B162" i="4"/>
  <c r="C162" i="4"/>
  <c r="D162" i="4"/>
  <c r="E162" i="4"/>
  <c r="F162" i="4"/>
  <c r="G162" i="4"/>
  <c r="B163" i="4"/>
  <c r="C163" i="4"/>
  <c r="D163" i="4"/>
  <c r="E163" i="4"/>
  <c r="F163" i="4"/>
  <c r="G163" i="4"/>
  <c r="B164" i="4"/>
  <c r="C164" i="4"/>
  <c r="D164" i="4"/>
  <c r="E164" i="4"/>
  <c r="F164" i="4"/>
  <c r="G164" i="4"/>
  <c r="B165" i="4"/>
  <c r="C165" i="4"/>
  <c r="D165" i="4"/>
  <c r="E165" i="4"/>
  <c r="F165" i="4"/>
  <c r="G165" i="4"/>
  <c r="B166" i="4"/>
  <c r="C166" i="4"/>
  <c r="D166" i="4"/>
  <c r="E166" i="4"/>
  <c r="F166" i="4"/>
  <c r="G166" i="4"/>
  <c r="B167" i="4"/>
  <c r="C167" i="4"/>
  <c r="D167" i="4"/>
  <c r="E167" i="4"/>
  <c r="F167" i="4"/>
  <c r="G167" i="4"/>
  <c r="B168" i="4"/>
  <c r="C168" i="4"/>
  <c r="D168" i="4"/>
  <c r="E168" i="4"/>
  <c r="F168" i="4"/>
  <c r="G168" i="4"/>
  <c r="B169" i="4"/>
  <c r="C169" i="4"/>
  <c r="D169" i="4"/>
  <c r="E169" i="4"/>
  <c r="F169" i="4"/>
  <c r="G169" i="4"/>
  <c r="B170" i="4"/>
  <c r="C170" i="4"/>
  <c r="D170" i="4"/>
  <c r="E170" i="4"/>
  <c r="F170" i="4"/>
  <c r="G170" i="4"/>
  <c r="B171" i="4"/>
  <c r="C171" i="4"/>
  <c r="D171" i="4"/>
  <c r="E171" i="4"/>
  <c r="F171" i="4"/>
  <c r="G171" i="4"/>
  <c r="B172" i="4"/>
  <c r="C172" i="4"/>
  <c r="D172" i="4"/>
  <c r="E172" i="4"/>
  <c r="F172" i="4"/>
  <c r="G172" i="4"/>
  <c r="B173" i="4"/>
  <c r="C173" i="4"/>
  <c r="D173" i="4"/>
  <c r="E173" i="4"/>
  <c r="F173" i="4"/>
  <c r="G173" i="4"/>
  <c r="B174" i="4"/>
  <c r="C174" i="4"/>
  <c r="D174" i="4"/>
  <c r="E174" i="4"/>
  <c r="F174" i="4"/>
  <c r="G174" i="4"/>
  <c r="B175" i="4"/>
  <c r="C175" i="4"/>
  <c r="D175" i="4"/>
  <c r="E175" i="4"/>
  <c r="F175" i="4"/>
  <c r="G175" i="4"/>
  <c r="B176" i="4"/>
  <c r="C176" i="4"/>
  <c r="D176" i="4"/>
  <c r="E176" i="4"/>
  <c r="F176" i="4"/>
  <c r="G176" i="4"/>
  <c r="B177" i="4"/>
  <c r="C177" i="4"/>
  <c r="D177" i="4"/>
  <c r="E177" i="4"/>
  <c r="F177" i="4"/>
  <c r="G177" i="4"/>
  <c r="B178" i="4"/>
  <c r="C178" i="4"/>
  <c r="D178" i="4"/>
  <c r="E178" i="4"/>
  <c r="F178" i="4"/>
  <c r="G178" i="4"/>
  <c r="B179" i="4"/>
  <c r="C179" i="4"/>
  <c r="D179" i="4"/>
  <c r="E179" i="4"/>
  <c r="F179" i="4"/>
  <c r="G179" i="4"/>
  <c r="B180" i="4"/>
  <c r="C180" i="4"/>
  <c r="D180" i="4"/>
  <c r="E180" i="4"/>
  <c r="F180" i="4"/>
  <c r="G180" i="4"/>
  <c r="B181" i="4"/>
  <c r="C181" i="4"/>
  <c r="D181" i="4"/>
  <c r="E181" i="4"/>
  <c r="F181" i="4"/>
  <c r="G181" i="4"/>
  <c r="B182" i="4"/>
  <c r="C182" i="4"/>
  <c r="D182" i="4"/>
  <c r="E182" i="4"/>
  <c r="F182" i="4"/>
  <c r="G182" i="4"/>
  <c r="B183" i="4"/>
  <c r="C183" i="4"/>
  <c r="D183" i="4"/>
  <c r="E183" i="4"/>
  <c r="F183" i="4"/>
  <c r="G183" i="4"/>
  <c r="B184" i="4"/>
  <c r="C184" i="4"/>
  <c r="D184" i="4"/>
  <c r="E184" i="4"/>
  <c r="F184" i="4"/>
  <c r="G184" i="4"/>
  <c r="B185" i="4"/>
  <c r="C185" i="4"/>
  <c r="D185" i="4"/>
  <c r="E185" i="4"/>
  <c r="F185" i="4"/>
  <c r="G185" i="4"/>
  <c r="B186" i="4"/>
  <c r="C186" i="4"/>
  <c r="D186" i="4"/>
  <c r="E186" i="4"/>
  <c r="F186" i="4"/>
  <c r="G186" i="4"/>
  <c r="B187" i="4"/>
  <c r="C187" i="4"/>
  <c r="D187" i="4"/>
  <c r="E187" i="4"/>
  <c r="F187" i="4"/>
  <c r="G187" i="4"/>
  <c r="B188" i="4"/>
  <c r="C188" i="4"/>
  <c r="D188" i="4"/>
  <c r="E188" i="4"/>
  <c r="F188" i="4"/>
  <c r="G188" i="4"/>
  <c r="B189" i="4"/>
  <c r="C189" i="4"/>
  <c r="D189" i="4"/>
  <c r="E189" i="4"/>
  <c r="F189" i="4"/>
  <c r="G189" i="4"/>
  <c r="B190" i="4"/>
  <c r="C190" i="4"/>
  <c r="D190" i="4"/>
  <c r="E190" i="4"/>
  <c r="F190" i="4"/>
  <c r="G190" i="4"/>
  <c r="B191" i="4"/>
  <c r="C191" i="4"/>
  <c r="D191" i="4"/>
  <c r="E191" i="4"/>
  <c r="F191" i="4"/>
  <c r="G191" i="4"/>
  <c r="B192" i="4"/>
  <c r="C192" i="4"/>
  <c r="D192" i="4"/>
  <c r="E192" i="4"/>
  <c r="F192" i="4"/>
  <c r="G192" i="4"/>
  <c r="B193" i="4"/>
  <c r="C193" i="4"/>
  <c r="D193" i="4"/>
  <c r="E193" i="4"/>
  <c r="F193" i="4"/>
  <c r="G193" i="4"/>
  <c r="B194" i="4"/>
  <c r="C194" i="4"/>
  <c r="D194" i="4"/>
  <c r="E194" i="4"/>
  <c r="F194" i="4"/>
  <c r="G194" i="4"/>
  <c r="B195" i="4"/>
  <c r="C195" i="4"/>
  <c r="D195" i="4"/>
  <c r="E195" i="4"/>
  <c r="F195" i="4"/>
  <c r="G195" i="4"/>
  <c r="B196" i="4"/>
  <c r="C196" i="4"/>
  <c r="D196" i="4"/>
  <c r="E196" i="4"/>
  <c r="F196" i="4"/>
  <c r="G196" i="4"/>
  <c r="B197" i="4"/>
  <c r="C197" i="4"/>
  <c r="D197" i="4"/>
  <c r="E197" i="4"/>
  <c r="F197" i="4"/>
  <c r="G197" i="4"/>
  <c r="B199" i="4"/>
  <c r="C199" i="4"/>
  <c r="D199" i="4"/>
  <c r="E199" i="4"/>
  <c r="F199" i="4"/>
  <c r="G199" i="4"/>
  <c r="B200" i="4"/>
  <c r="C200" i="4"/>
  <c r="D200" i="4"/>
  <c r="E200" i="4"/>
  <c r="F200" i="4"/>
  <c r="G200" i="4"/>
  <c r="B201" i="4"/>
  <c r="C201" i="4"/>
  <c r="D201" i="4"/>
  <c r="E201" i="4"/>
  <c r="F201" i="4"/>
  <c r="G201" i="4"/>
  <c r="B202" i="4"/>
  <c r="C202" i="4"/>
  <c r="D202" i="4"/>
  <c r="E202" i="4"/>
  <c r="F202" i="4"/>
  <c r="G202" i="4"/>
  <c r="B203" i="4"/>
  <c r="C203" i="4"/>
  <c r="D203" i="4"/>
  <c r="E203" i="4"/>
  <c r="F203" i="4"/>
  <c r="G203" i="4"/>
  <c r="B204" i="4"/>
  <c r="C204" i="4"/>
  <c r="D204" i="4"/>
  <c r="E204" i="4"/>
  <c r="F204" i="4"/>
  <c r="G204" i="4"/>
  <c r="B205" i="4"/>
  <c r="C205" i="4"/>
  <c r="D205" i="4"/>
  <c r="E205" i="4"/>
  <c r="F205" i="4"/>
  <c r="G205" i="4"/>
  <c r="B207" i="4"/>
  <c r="C207" i="4"/>
  <c r="D207" i="4"/>
  <c r="E207" i="4"/>
  <c r="F207" i="4"/>
  <c r="G207" i="4"/>
  <c r="B206" i="4"/>
  <c r="C206" i="4"/>
  <c r="D206" i="4"/>
  <c r="E206" i="4"/>
  <c r="F206" i="4"/>
  <c r="G206" i="4"/>
  <c r="B208" i="4"/>
  <c r="C208" i="4"/>
  <c r="D208" i="4"/>
  <c r="E208" i="4"/>
  <c r="F208" i="4"/>
  <c r="G208" i="4"/>
  <c r="B209" i="4"/>
  <c r="C209" i="4"/>
  <c r="D209" i="4"/>
  <c r="E209" i="4"/>
  <c r="F209" i="4"/>
  <c r="G209" i="4"/>
  <c r="B210" i="4"/>
  <c r="C210" i="4"/>
  <c r="D210" i="4"/>
  <c r="E210" i="4"/>
  <c r="F210" i="4"/>
  <c r="G210" i="4"/>
  <c r="B211" i="4"/>
  <c r="C211" i="4"/>
  <c r="D211" i="4"/>
  <c r="E211" i="4"/>
  <c r="F211" i="4"/>
  <c r="G211" i="4"/>
  <c r="B212" i="4"/>
  <c r="C212" i="4"/>
  <c r="D212" i="4"/>
  <c r="E212" i="4"/>
  <c r="F212" i="4"/>
  <c r="G212" i="4"/>
  <c r="B213" i="4"/>
  <c r="C213" i="4"/>
  <c r="D213" i="4"/>
  <c r="E213" i="4"/>
  <c r="F213" i="4"/>
  <c r="G213" i="4"/>
  <c r="B214" i="4"/>
  <c r="C214" i="4"/>
  <c r="D214" i="4"/>
  <c r="E214" i="4"/>
  <c r="F214" i="4"/>
  <c r="G214" i="4"/>
  <c r="B215" i="4"/>
  <c r="C215" i="4"/>
  <c r="D215" i="4"/>
  <c r="E215" i="4"/>
  <c r="F215" i="4"/>
  <c r="G215" i="4"/>
  <c r="B216" i="4"/>
  <c r="C216" i="4"/>
  <c r="D216" i="4"/>
  <c r="E216" i="4"/>
  <c r="F216" i="4"/>
  <c r="G216" i="4"/>
  <c r="B217" i="4"/>
  <c r="C217" i="4"/>
  <c r="D217" i="4"/>
  <c r="E217" i="4"/>
  <c r="F217" i="4"/>
  <c r="G217" i="4"/>
  <c r="B218" i="4"/>
  <c r="C218" i="4"/>
  <c r="D218" i="4"/>
  <c r="E218" i="4"/>
  <c r="F218" i="4"/>
  <c r="G218" i="4"/>
  <c r="B219" i="4"/>
  <c r="C219" i="4"/>
  <c r="D219" i="4"/>
  <c r="E219" i="4"/>
  <c r="F219" i="4"/>
  <c r="G219" i="4"/>
  <c r="B220" i="4"/>
  <c r="C220" i="4"/>
  <c r="D220" i="4"/>
  <c r="E220" i="4"/>
  <c r="F220" i="4"/>
  <c r="G220" i="4"/>
  <c r="B221" i="4"/>
  <c r="C221" i="4"/>
  <c r="D221" i="4"/>
  <c r="E221" i="4"/>
  <c r="F221" i="4"/>
  <c r="G221" i="4"/>
  <c r="B222" i="4"/>
  <c r="C222" i="4"/>
  <c r="D222" i="4"/>
  <c r="E222" i="4"/>
  <c r="F222" i="4"/>
  <c r="G222" i="4"/>
  <c r="B223" i="4"/>
  <c r="C223" i="4"/>
  <c r="D223" i="4"/>
  <c r="E223" i="4"/>
  <c r="F223" i="4"/>
  <c r="G223" i="4"/>
  <c r="B224" i="4"/>
  <c r="C224" i="4"/>
  <c r="D224" i="4"/>
  <c r="E224" i="4"/>
  <c r="F224" i="4"/>
  <c r="G224" i="4"/>
  <c r="B225" i="4"/>
  <c r="C225" i="4"/>
  <c r="D225" i="4"/>
  <c r="E225" i="4"/>
  <c r="F225" i="4"/>
  <c r="G225" i="4"/>
  <c r="B226" i="4"/>
  <c r="C226" i="4"/>
  <c r="D226" i="4"/>
  <c r="E226" i="4"/>
  <c r="F226" i="4"/>
  <c r="G226" i="4"/>
  <c r="B227" i="4"/>
  <c r="C227" i="4"/>
  <c r="D227" i="4"/>
  <c r="E227" i="4"/>
  <c r="F227" i="4"/>
  <c r="G227" i="4"/>
  <c r="B228" i="4"/>
  <c r="C228" i="4"/>
  <c r="D228" i="4"/>
  <c r="E228" i="4"/>
  <c r="F228" i="4"/>
  <c r="G228" i="4"/>
  <c r="B229" i="4"/>
  <c r="C229" i="4"/>
  <c r="D229" i="4"/>
  <c r="E229" i="4"/>
  <c r="F229" i="4"/>
  <c r="G229" i="4"/>
  <c r="B230" i="4"/>
  <c r="C230" i="4"/>
  <c r="D230" i="4"/>
  <c r="E230" i="4"/>
  <c r="F230" i="4"/>
  <c r="G230" i="4"/>
  <c r="B231" i="4"/>
  <c r="C231" i="4"/>
  <c r="D231" i="4"/>
  <c r="E231" i="4"/>
  <c r="F231" i="4"/>
  <c r="G231" i="4"/>
  <c r="B232" i="4"/>
  <c r="C232" i="4"/>
  <c r="D232" i="4"/>
  <c r="E232" i="4"/>
  <c r="F232" i="4"/>
  <c r="G232" i="4"/>
  <c r="B233" i="4"/>
  <c r="C233" i="4"/>
  <c r="D233" i="4"/>
  <c r="E233" i="4"/>
  <c r="F233" i="4"/>
  <c r="G233" i="4"/>
  <c r="B234" i="4"/>
  <c r="C234" i="4"/>
  <c r="D234" i="4"/>
  <c r="E234" i="4"/>
  <c r="F234" i="4"/>
  <c r="G234" i="4"/>
  <c r="B235" i="4"/>
  <c r="C235" i="4"/>
  <c r="D235" i="4"/>
  <c r="E235" i="4"/>
  <c r="F235" i="4"/>
  <c r="G235" i="4"/>
  <c r="B236" i="4"/>
  <c r="C236" i="4"/>
  <c r="D236" i="4"/>
  <c r="E236" i="4"/>
  <c r="F236" i="4"/>
  <c r="G236" i="4"/>
  <c r="B237" i="4"/>
  <c r="C237" i="4"/>
  <c r="D237" i="4"/>
  <c r="E237" i="4"/>
  <c r="F237" i="4"/>
  <c r="G237" i="4"/>
  <c r="B238" i="4"/>
  <c r="C238" i="4"/>
  <c r="D238" i="4"/>
  <c r="E238" i="4"/>
  <c r="F238" i="4"/>
  <c r="G238" i="4"/>
  <c r="B239" i="4"/>
  <c r="C239" i="4"/>
  <c r="D239" i="4"/>
  <c r="E239" i="4"/>
  <c r="F239" i="4"/>
  <c r="G239" i="4"/>
  <c r="B240" i="4"/>
  <c r="C240" i="4"/>
  <c r="D240" i="4"/>
  <c r="E240" i="4"/>
  <c r="F240" i="4"/>
  <c r="G240" i="4"/>
  <c r="B241" i="4"/>
  <c r="C241" i="4"/>
  <c r="D241" i="4"/>
  <c r="E241" i="4"/>
  <c r="F241" i="4"/>
  <c r="G241" i="4"/>
  <c r="AI35" i="6"/>
  <c r="M4" i="4"/>
  <c r="O4" i="4"/>
  <c r="P4" i="4"/>
  <c r="Q4" i="4"/>
  <c r="R4" i="4"/>
  <c r="S4" i="4"/>
  <c r="T4" i="4"/>
  <c r="M5" i="4"/>
  <c r="O5" i="4"/>
  <c r="P5" i="4"/>
  <c r="Q5" i="4"/>
  <c r="R5" i="4"/>
  <c r="S5" i="4"/>
  <c r="T5" i="4"/>
  <c r="U5" i="4"/>
  <c r="V5" i="4"/>
  <c r="W5" i="4"/>
  <c r="M6" i="4"/>
  <c r="O6" i="4"/>
  <c r="P6" i="4"/>
  <c r="Q6" i="4"/>
  <c r="R6" i="4"/>
  <c r="S6" i="4"/>
  <c r="T6" i="4"/>
  <c r="U6" i="4"/>
  <c r="V6" i="4"/>
  <c r="W6" i="4"/>
  <c r="M7" i="4"/>
  <c r="O7" i="4"/>
  <c r="P7" i="4"/>
  <c r="Q7" i="4"/>
  <c r="R7" i="4"/>
  <c r="S7" i="4"/>
  <c r="T7" i="4"/>
  <c r="U7" i="4"/>
  <c r="V7" i="4"/>
  <c r="W7" i="4"/>
  <c r="M8" i="4"/>
  <c r="O8" i="4"/>
  <c r="P8" i="4"/>
  <c r="Q8" i="4"/>
  <c r="R8" i="4"/>
  <c r="S8" i="4"/>
  <c r="T8" i="4"/>
  <c r="U8" i="4"/>
  <c r="V8" i="4"/>
  <c r="W8" i="4"/>
  <c r="M9" i="4"/>
  <c r="O9" i="4"/>
  <c r="P9" i="4"/>
  <c r="Q9" i="4"/>
  <c r="R9" i="4"/>
  <c r="S9" i="4"/>
  <c r="T9" i="4"/>
  <c r="U9" i="4"/>
  <c r="V9" i="4"/>
  <c r="W9" i="4"/>
  <c r="M10" i="4"/>
  <c r="O10" i="4"/>
  <c r="P10" i="4"/>
  <c r="Q10" i="4"/>
  <c r="R10" i="4"/>
  <c r="S10" i="4"/>
  <c r="T10" i="4"/>
  <c r="U10" i="4"/>
  <c r="V10" i="4"/>
  <c r="W10" i="4"/>
  <c r="M11" i="4"/>
  <c r="O11" i="4"/>
  <c r="P11" i="4"/>
  <c r="Q11" i="4"/>
  <c r="R11" i="4"/>
  <c r="S11" i="4"/>
  <c r="T11" i="4"/>
  <c r="U11" i="4"/>
  <c r="V11" i="4"/>
  <c r="W11" i="4"/>
  <c r="M12" i="4"/>
  <c r="O12" i="4"/>
  <c r="P12" i="4"/>
  <c r="Q12" i="4"/>
  <c r="R12" i="4"/>
  <c r="S12" i="4"/>
  <c r="T12" i="4"/>
  <c r="U12" i="4"/>
  <c r="V12" i="4"/>
  <c r="W12" i="4"/>
  <c r="M13" i="4"/>
  <c r="O13" i="4"/>
  <c r="P13" i="4"/>
  <c r="Q13" i="4"/>
  <c r="R13" i="4"/>
  <c r="S13" i="4"/>
  <c r="T13" i="4"/>
  <c r="M14" i="4"/>
  <c r="O14" i="4"/>
  <c r="P14" i="4"/>
  <c r="Q14" i="4"/>
  <c r="R14" i="4"/>
  <c r="S14" i="4"/>
  <c r="T14" i="4"/>
  <c r="M15" i="4"/>
  <c r="O15" i="4"/>
  <c r="P15" i="4"/>
  <c r="Q15" i="4"/>
  <c r="R15" i="4"/>
  <c r="S15" i="4"/>
  <c r="T15" i="4"/>
  <c r="M16" i="4"/>
  <c r="O16" i="4"/>
  <c r="P16" i="4"/>
  <c r="Q16" i="4"/>
  <c r="R16" i="4"/>
  <c r="S16" i="4"/>
  <c r="T16" i="4"/>
  <c r="M17" i="4"/>
  <c r="O17" i="4"/>
  <c r="P17" i="4"/>
  <c r="Q17" i="4"/>
  <c r="R17" i="4"/>
  <c r="S17" i="4"/>
  <c r="T17" i="4"/>
  <c r="U17" i="4"/>
  <c r="V17" i="4"/>
  <c r="W17" i="4"/>
  <c r="M18" i="4"/>
  <c r="O18" i="4"/>
  <c r="P18" i="4"/>
  <c r="Q18" i="4"/>
  <c r="R18" i="4"/>
  <c r="S18" i="4"/>
  <c r="T18" i="4"/>
  <c r="M19" i="4"/>
  <c r="O19" i="4"/>
  <c r="P19" i="4"/>
  <c r="Q19" i="4"/>
  <c r="R19" i="4"/>
  <c r="S19" i="4"/>
  <c r="T19" i="4"/>
  <c r="U19" i="4"/>
  <c r="V19" i="4"/>
  <c r="W19" i="4"/>
  <c r="M20" i="4"/>
  <c r="O20" i="4"/>
  <c r="P20" i="4"/>
  <c r="Q20" i="4"/>
  <c r="R20" i="4"/>
  <c r="S20" i="4"/>
  <c r="T20" i="4"/>
  <c r="M21" i="4"/>
  <c r="O21" i="4"/>
  <c r="P21" i="4"/>
  <c r="Q21" i="4"/>
  <c r="R21" i="4"/>
  <c r="S21" i="4"/>
  <c r="T21" i="4"/>
  <c r="U21" i="4"/>
  <c r="V21" i="4"/>
  <c r="W21" i="4"/>
  <c r="M22" i="4"/>
  <c r="O22" i="4"/>
  <c r="P22" i="4"/>
  <c r="Q22" i="4"/>
  <c r="R22" i="4"/>
  <c r="S22" i="4"/>
  <c r="T22" i="4"/>
  <c r="U22" i="4"/>
  <c r="V22" i="4"/>
  <c r="W22" i="4"/>
  <c r="M23" i="4"/>
  <c r="O23" i="4"/>
  <c r="P23" i="4"/>
  <c r="Q23" i="4"/>
  <c r="R23" i="4"/>
  <c r="S23" i="4"/>
  <c r="T23" i="4"/>
  <c r="U23" i="4"/>
  <c r="V23" i="4"/>
  <c r="W23" i="4"/>
  <c r="M24" i="4"/>
  <c r="O24" i="4"/>
  <c r="P24" i="4"/>
  <c r="Q24" i="4"/>
  <c r="R24" i="4"/>
  <c r="S24" i="4"/>
  <c r="T24" i="4"/>
  <c r="M25" i="4"/>
  <c r="O25" i="4"/>
  <c r="P25" i="4"/>
  <c r="Q25" i="4"/>
  <c r="R25" i="4"/>
  <c r="S25" i="4"/>
  <c r="T25" i="4"/>
  <c r="U25" i="4"/>
  <c r="V25" i="4"/>
  <c r="W25" i="4"/>
  <c r="M26" i="4"/>
  <c r="O26" i="4"/>
  <c r="P26" i="4"/>
  <c r="Q26" i="4"/>
  <c r="R26" i="4"/>
  <c r="S26" i="4"/>
  <c r="T26" i="4"/>
  <c r="U26" i="4"/>
  <c r="V26" i="4"/>
  <c r="W26" i="4"/>
  <c r="M27" i="4"/>
  <c r="O27" i="4"/>
  <c r="P27" i="4"/>
  <c r="Q27" i="4"/>
  <c r="R27" i="4"/>
  <c r="S27" i="4"/>
  <c r="T27" i="4"/>
  <c r="U27" i="4"/>
  <c r="V27" i="4"/>
  <c r="W27" i="4"/>
  <c r="M28" i="4"/>
  <c r="O28" i="4"/>
  <c r="P28" i="4"/>
  <c r="Q28" i="4"/>
  <c r="R28" i="4"/>
  <c r="S28" i="4"/>
  <c r="T28" i="4"/>
  <c r="M29" i="4"/>
  <c r="O29" i="4"/>
  <c r="P29" i="4"/>
  <c r="Q29" i="4"/>
  <c r="R29" i="4"/>
  <c r="S29" i="4"/>
  <c r="T29" i="4"/>
  <c r="M30" i="4"/>
  <c r="O30" i="4"/>
  <c r="P30" i="4"/>
  <c r="Q30" i="4"/>
  <c r="R30" i="4"/>
  <c r="S30" i="4"/>
  <c r="T30" i="4"/>
  <c r="U30" i="4"/>
  <c r="V30" i="4"/>
  <c r="W30" i="4"/>
  <c r="M33" i="4"/>
  <c r="O33" i="4"/>
  <c r="P33" i="4"/>
  <c r="Q33" i="4"/>
  <c r="R33" i="4"/>
  <c r="S33" i="4"/>
  <c r="T33" i="4"/>
  <c r="U33" i="4"/>
  <c r="V33" i="4"/>
  <c r="W33" i="4"/>
  <c r="M34" i="4"/>
  <c r="O34" i="4"/>
  <c r="P34" i="4"/>
  <c r="Q34" i="4"/>
  <c r="R34" i="4"/>
  <c r="S34" i="4"/>
  <c r="T34" i="4"/>
  <c r="U34" i="4"/>
  <c r="V34" i="4"/>
  <c r="W34" i="4"/>
  <c r="M35" i="4"/>
  <c r="O35" i="4"/>
  <c r="P35" i="4"/>
  <c r="Q35" i="4"/>
  <c r="R35" i="4"/>
  <c r="S35" i="4"/>
  <c r="T35" i="4"/>
  <c r="U35" i="4"/>
  <c r="V35" i="4"/>
  <c r="W35" i="4"/>
  <c r="M36" i="4"/>
  <c r="O36" i="4"/>
  <c r="P36" i="4"/>
  <c r="Q36" i="4"/>
  <c r="R36" i="4"/>
  <c r="S36" i="4"/>
  <c r="T36" i="4"/>
  <c r="M37" i="4"/>
  <c r="O37" i="4"/>
  <c r="P37" i="4"/>
  <c r="Q37" i="4"/>
  <c r="R37" i="4"/>
  <c r="S37" i="4"/>
  <c r="T37" i="4"/>
  <c r="M38" i="4"/>
  <c r="O38" i="4"/>
  <c r="P38" i="4"/>
  <c r="Q38" i="4"/>
  <c r="R38" i="4"/>
  <c r="S38" i="4"/>
  <c r="T38" i="4"/>
  <c r="U38" i="4"/>
  <c r="V38" i="4"/>
  <c r="W38" i="4"/>
  <c r="M39" i="4"/>
  <c r="O39" i="4"/>
  <c r="P39" i="4"/>
  <c r="Q39" i="4"/>
  <c r="R39" i="4"/>
  <c r="S39" i="4"/>
  <c r="T39" i="4"/>
  <c r="M40" i="4"/>
  <c r="O40" i="4"/>
  <c r="P40" i="4"/>
  <c r="Q40" i="4"/>
  <c r="R40" i="4"/>
  <c r="S40" i="4"/>
  <c r="T40" i="4"/>
  <c r="U40" i="4"/>
  <c r="V40" i="4"/>
  <c r="W40" i="4"/>
  <c r="M41" i="4"/>
  <c r="O41" i="4"/>
  <c r="P41" i="4"/>
  <c r="Q41" i="4"/>
  <c r="R41" i="4"/>
  <c r="S41" i="4"/>
  <c r="T41" i="4"/>
  <c r="M42" i="4"/>
  <c r="O42" i="4"/>
  <c r="P42" i="4"/>
  <c r="Q42" i="4"/>
  <c r="R42" i="4"/>
  <c r="S42" i="4"/>
  <c r="T42" i="4"/>
  <c r="M43" i="4"/>
  <c r="O43" i="4"/>
  <c r="P43" i="4"/>
  <c r="Q43" i="4"/>
  <c r="R43" i="4"/>
  <c r="S43" i="4"/>
  <c r="T43" i="4"/>
  <c r="U43" i="4"/>
  <c r="V43" i="4"/>
  <c r="W43" i="4"/>
  <c r="M44" i="4"/>
  <c r="O44" i="4"/>
  <c r="P44" i="4"/>
  <c r="Q44" i="4"/>
  <c r="R44" i="4"/>
  <c r="S44" i="4"/>
  <c r="T44" i="4"/>
  <c r="U44" i="4"/>
  <c r="V44" i="4"/>
  <c r="W44" i="4"/>
  <c r="M45" i="4"/>
  <c r="O45" i="4"/>
  <c r="P45" i="4"/>
  <c r="Q45" i="4"/>
  <c r="R45" i="4"/>
  <c r="S45" i="4"/>
  <c r="T45" i="4"/>
  <c r="U45" i="4"/>
  <c r="V45" i="4"/>
  <c r="W45" i="4"/>
  <c r="M46" i="4"/>
  <c r="O46" i="4"/>
  <c r="P46" i="4"/>
  <c r="Q46" i="4"/>
  <c r="R46" i="4"/>
  <c r="S46" i="4"/>
  <c r="T46" i="4"/>
  <c r="U46" i="4"/>
  <c r="V46" i="4"/>
  <c r="W46" i="4"/>
  <c r="M47" i="4"/>
  <c r="O47" i="4"/>
  <c r="P47" i="4"/>
  <c r="Q47" i="4"/>
  <c r="R47" i="4"/>
  <c r="S47" i="4"/>
  <c r="T47" i="4"/>
  <c r="U47" i="4"/>
  <c r="V47" i="4"/>
  <c r="W47" i="4"/>
  <c r="M48" i="4"/>
  <c r="O48" i="4"/>
  <c r="P48" i="4"/>
  <c r="Q48" i="4"/>
  <c r="R48" i="4"/>
  <c r="S48" i="4"/>
  <c r="T48" i="4"/>
  <c r="U48" i="4"/>
  <c r="V48" i="4"/>
  <c r="W48" i="4"/>
  <c r="M49" i="4"/>
  <c r="O49" i="4"/>
  <c r="P49" i="4"/>
  <c r="Q49" i="4"/>
  <c r="R49" i="4"/>
  <c r="S49" i="4"/>
  <c r="T49" i="4"/>
  <c r="U49" i="4"/>
  <c r="V49" i="4"/>
  <c r="W49" i="4"/>
  <c r="M50" i="4"/>
  <c r="O50" i="4"/>
  <c r="P50" i="4"/>
  <c r="Q50" i="4"/>
  <c r="R50" i="4"/>
  <c r="S50" i="4"/>
  <c r="T50" i="4"/>
  <c r="U50" i="4"/>
  <c r="V50" i="4"/>
  <c r="W50" i="4"/>
  <c r="M51" i="4"/>
  <c r="O51" i="4"/>
  <c r="P51" i="4"/>
  <c r="Q51" i="4"/>
  <c r="R51" i="4"/>
  <c r="S51" i="4"/>
  <c r="T51" i="4"/>
  <c r="M52" i="4"/>
  <c r="O52" i="4"/>
  <c r="P52" i="4"/>
  <c r="Q52" i="4"/>
  <c r="R52" i="4"/>
  <c r="S52" i="4"/>
  <c r="T52" i="4"/>
  <c r="U52" i="4"/>
  <c r="V52" i="4"/>
  <c r="W52" i="4"/>
  <c r="M53" i="4"/>
  <c r="O53" i="4"/>
  <c r="P53" i="4"/>
  <c r="Q53" i="4"/>
  <c r="R53" i="4"/>
  <c r="S53" i="4"/>
  <c r="T53" i="4"/>
  <c r="U53" i="4"/>
  <c r="V53" i="4"/>
  <c r="W53" i="4"/>
  <c r="M54" i="4"/>
  <c r="O54" i="4"/>
  <c r="P54" i="4"/>
  <c r="Q54" i="4"/>
  <c r="R54" i="4"/>
  <c r="S54" i="4"/>
  <c r="T54" i="4"/>
  <c r="U54" i="4"/>
  <c r="V54" i="4"/>
  <c r="W54" i="4"/>
  <c r="M55" i="4"/>
  <c r="O55" i="4"/>
  <c r="P55" i="4"/>
  <c r="Q55" i="4"/>
  <c r="R55" i="4"/>
  <c r="S55" i="4"/>
  <c r="T55" i="4"/>
  <c r="U55" i="4"/>
  <c r="V55" i="4"/>
  <c r="W55" i="4"/>
  <c r="M56" i="4"/>
  <c r="O56" i="4"/>
  <c r="P56" i="4"/>
  <c r="Q56" i="4"/>
  <c r="R56" i="4"/>
  <c r="S56" i="4"/>
  <c r="T56" i="4"/>
  <c r="U56" i="4"/>
  <c r="V56" i="4"/>
  <c r="W56" i="4"/>
  <c r="M57" i="4"/>
  <c r="O57" i="4"/>
  <c r="P57" i="4"/>
  <c r="Q57" i="4"/>
  <c r="R57" i="4"/>
  <c r="S57" i="4"/>
  <c r="T57" i="4"/>
  <c r="U57" i="4"/>
  <c r="V57" i="4"/>
  <c r="W57" i="4"/>
  <c r="M58" i="4"/>
  <c r="O58" i="4"/>
  <c r="P58" i="4"/>
  <c r="Q58" i="4"/>
  <c r="R58" i="4"/>
  <c r="S58" i="4"/>
  <c r="T58" i="4"/>
  <c r="U58" i="4"/>
  <c r="V58" i="4"/>
  <c r="W58" i="4"/>
  <c r="M59" i="4"/>
  <c r="O59" i="4"/>
  <c r="P59" i="4"/>
  <c r="Q59" i="4"/>
  <c r="R59" i="4"/>
  <c r="S59" i="4"/>
  <c r="T59" i="4"/>
  <c r="U59" i="4"/>
  <c r="V59" i="4"/>
  <c r="W59" i="4"/>
  <c r="M60" i="4"/>
  <c r="O60" i="4"/>
  <c r="P60" i="4"/>
  <c r="Q60" i="4"/>
  <c r="R60" i="4"/>
  <c r="S60" i="4"/>
  <c r="T60" i="4"/>
  <c r="U60" i="4"/>
  <c r="V60" i="4"/>
  <c r="W60" i="4"/>
  <c r="M61" i="4"/>
  <c r="O61" i="4"/>
  <c r="P61" i="4"/>
  <c r="Q61" i="4"/>
  <c r="R61" i="4"/>
  <c r="S61" i="4"/>
  <c r="T61" i="4"/>
  <c r="U61" i="4"/>
  <c r="V61" i="4"/>
  <c r="W61" i="4"/>
  <c r="M62" i="4"/>
  <c r="O62" i="4"/>
  <c r="P62" i="4"/>
  <c r="Q62" i="4"/>
  <c r="R62" i="4"/>
  <c r="S62" i="4"/>
  <c r="T62" i="4"/>
  <c r="U62" i="4"/>
  <c r="V62" i="4"/>
  <c r="W62" i="4"/>
  <c r="M63" i="4"/>
  <c r="O63" i="4"/>
  <c r="P63" i="4"/>
  <c r="Q63" i="4"/>
  <c r="R63" i="4"/>
  <c r="S63" i="4"/>
  <c r="T63" i="4"/>
  <c r="U63" i="4"/>
  <c r="V63" i="4"/>
  <c r="W63" i="4"/>
  <c r="M64" i="4"/>
  <c r="O64" i="4"/>
  <c r="P64" i="4"/>
  <c r="Q64" i="4"/>
  <c r="R64" i="4"/>
  <c r="S64" i="4"/>
  <c r="T64" i="4"/>
  <c r="M65" i="4"/>
  <c r="O65" i="4"/>
  <c r="P65" i="4"/>
  <c r="Q65" i="4"/>
  <c r="R65" i="4"/>
  <c r="S65" i="4"/>
  <c r="T65" i="4"/>
  <c r="U65" i="4"/>
  <c r="V65" i="4"/>
  <c r="W65" i="4"/>
  <c r="M66" i="4"/>
  <c r="O66" i="4"/>
  <c r="P66" i="4"/>
  <c r="Q66" i="4"/>
  <c r="R66" i="4"/>
  <c r="S66" i="4"/>
  <c r="T66" i="4"/>
  <c r="U66" i="4"/>
  <c r="V66" i="4"/>
  <c r="W66" i="4"/>
  <c r="M67" i="4"/>
  <c r="O67" i="4"/>
  <c r="P67" i="4"/>
  <c r="Q67" i="4"/>
  <c r="R67" i="4"/>
  <c r="S67" i="4"/>
  <c r="T67" i="4"/>
  <c r="U67" i="4"/>
  <c r="V67" i="4"/>
  <c r="W67" i="4"/>
  <c r="M68" i="4"/>
  <c r="O68" i="4"/>
  <c r="P68" i="4"/>
  <c r="Q68" i="4"/>
  <c r="R68" i="4"/>
  <c r="S68" i="4"/>
  <c r="T68" i="4"/>
  <c r="U68" i="4"/>
  <c r="V68" i="4"/>
  <c r="W68" i="4"/>
  <c r="M69" i="4"/>
  <c r="O69" i="4"/>
  <c r="P69" i="4"/>
  <c r="Q69" i="4"/>
  <c r="R69" i="4"/>
  <c r="S69" i="4"/>
  <c r="T69" i="4"/>
  <c r="U69" i="4"/>
  <c r="V69" i="4"/>
  <c r="W69" i="4"/>
  <c r="M70" i="4"/>
  <c r="O70" i="4"/>
  <c r="P70" i="4"/>
  <c r="Q70" i="4"/>
  <c r="R70" i="4"/>
  <c r="S70" i="4"/>
  <c r="T70" i="4"/>
  <c r="U70" i="4"/>
  <c r="V70" i="4"/>
  <c r="W70" i="4"/>
  <c r="M71" i="4"/>
  <c r="O71" i="4"/>
  <c r="P71" i="4"/>
  <c r="Q71" i="4"/>
  <c r="R71" i="4"/>
  <c r="S71" i="4"/>
  <c r="T71" i="4"/>
  <c r="U71" i="4"/>
  <c r="V71" i="4"/>
  <c r="W71" i="4"/>
  <c r="M72" i="4"/>
  <c r="O72" i="4"/>
  <c r="P72" i="4"/>
  <c r="Q72" i="4"/>
  <c r="R72" i="4"/>
  <c r="S72" i="4"/>
  <c r="T72" i="4"/>
  <c r="M73" i="4"/>
  <c r="O73" i="4"/>
  <c r="P73" i="4"/>
  <c r="Q73" i="4"/>
  <c r="R73" i="4"/>
  <c r="S73" i="4"/>
  <c r="T73" i="4"/>
  <c r="U73" i="4"/>
  <c r="V73" i="4"/>
  <c r="W73" i="4"/>
  <c r="M74" i="4"/>
  <c r="O74" i="4"/>
  <c r="P74" i="4"/>
  <c r="Q74" i="4"/>
  <c r="R74" i="4"/>
  <c r="S74" i="4"/>
  <c r="T74" i="4"/>
  <c r="U74" i="4"/>
  <c r="V74" i="4"/>
  <c r="W74" i="4"/>
  <c r="M75" i="4"/>
  <c r="O75" i="4"/>
  <c r="P75" i="4"/>
  <c r="Q75" i="4"/>
  <c r="R75" i="4"/>
  <c r="S75" i="4"/>
  <c r="T75" i="4"/>
  <c r="U75" i="4"/>
  <c r="V75" i="4"/>
  <c r="W75" i="4"/>
  <c r="M76" i="4"/>
  <c r="O76" i="4"/>
  <c r="P76" i="4"/>
  <c r="Q76" i="4"/>
  <c r="R76" i="4"/>
  <c r="S76" i="4"/>
  <c r="T76" i="4"/>
  <c r="U76" i="4"/>
  <c r="V76" i="4"/>
  <c r="W76" i="4"/>
  <c r="M77" i="4"/>
  <c r="O77" i="4"/>
  <c r="P77" i="4"/>
  <c r="Q77" i="4"/>
  <c r="R77" i="4"/>
  <c r="S77" i="4"/>
  <c r="T77" i="4"/>
  <c r="U77" i="4"/>
  <c r="V77" i="4"/>
  <c r="W77" i="4"/>
  <c r="M78" i="4"/>
  <c r="O78" i="4"/>
  <c r="P78" i="4"/>
  <c r="Q78" i="4"/>
  <c r="R78" i="4"/>
  <c r="S78" i="4"/>
  <c r="T78" i="4"/>
  <c r="U78" i="4"/>
  <c r="V78" i="4"/>
  <c r="W78" i="4"/>
  <c r="M79" i="4"/>
  <c r="O79" i="4"/>
  <c r="P79" i="4"/>
  <c r="Q79" i="4"/>
  <c r="R79" i="4"/>
  <c r="S79" i="4"/>
  <c r="T79" i="4"/>
  <c r="U79" i="4"/>
  <c r="V79" i="4"/>
  <c r="W79" i="4"/>
  <c r="M80" i="4"/>
  <c r="O80" i="4"/>
  <c r="P80" i="4"/>
  <c r="Q80" i="4"/>
  <c r="R80" i="4"/>
  <c r="S80" i="4"/>
  <c r="T80" i="4"/>
  <c r="U80" i="4"/>
  <c r="V80" i="4"/>
  <c r="W80" i="4"/>
  <c r="M81" i="4"/>
  <c r="O81" i="4"/>
  <c r="P81" i="4"/>
  <c r="Q81" i="4"/>
  <c r="R81" i="4"/>
  <c r="S81" i="4"/>
  <c r="T81" i="4"/>
  <c r="M82" i="4"/>
  <c r="O82" i="4"/>
  <c r="P82" i="4"/>
  <c r="Q82" i="4"/>
  <c r="R82" i="4"/>
  <c r="S82" i="4"/>
  <c r="T82" i="4"/>
  <c r="M83" i="4"/>
  <c r="O83" i="4"/>
  <c r="P83" i="4"/>
  <c r="Q83" i="4"/>
  <c r="R83" i="4"/>
  <c r="S83" i="4"/>
  <c r="T83" i="4"/>
  <c r="U83" i="4"/>
  <c r="V83" i="4"/>
  <c r="W83" i="4"/>
  <c r="M84" i="4"/>
  <c r="O84" i="4"/>
  <c r="P84" i="4"/>
  <c r="Q84" i="4"/>
  <c r="R84" i="4"/>
  <c r="S84" i="4"/>
  <c r="T84" i="4"/>
  <c r="U84" i="4"/>
  <c r="V84" i="4"/>
  <c r="W84" i="4"/>
  <c r="M85" i="4"/>
  <c r="O85" i="4"/>
  <c r="P85" i="4"/>
  <c r="Q85" i="4"/>
  <c r="R85" i="4"/>
  <c r="S85" i="4"/>
  <c r="T85" i="4"/>
  <c r="U85" i="4"/>
  <c r="V85" i="4"/>
  <c r="W85" i="4"/>
  <c r="M86" i="4"/>
  <c r="O86" i="4"/>
  <c r="P86" i="4"/>
  <c r="Q86" i="4"/>
  <c r="R86" i="4"/>
  <c r="S86" i="4"/>
  <c r="T86" i="4"/>
  <c r="U86" i="4"/>
  <c r="V86" i="4"/>
  <c r="W86" i="4"/>
  <c r="M87" i="4"/>
  <c r="O87" i="4"/>
  <c r="P87" i="4"/>
  <c r="Q87" i="4"/>
  <c r="R87" i="4"/>
  <c r="S87" i="4"/>
  <c r="T87" i="4"/>
  <c r="U87" i="4"/>
  <c r="V87" i="4"/>
  <c r="W87" i="4"/>
  <c r="M88" i="4"/>
  <c r="O88" i="4"/>
  <c r="P88" i="4"/>
  <c r="Q88" i="4"/>
  <c r="R88" i="4"/>
  <c r="S88" i="4"/>
  <c r="T88" i="4"/>
  <c r="U88" i="4"/>
  <c r="V88" i="4"/>
  <c r="W88" i="4"/>
  <c r="M89" i="4"/>
  <c r="O89" i="4"/>
  <c r="P89" i="4"/>
  <c r="Q89" i="4"/>
  <c r="R89" i="4"/>
  <c r="S89" i="4"/>
  <c r="T89" i="4"/>
  <c r="U89" i="4"/>
  <c r="V89" i="4"/>
  <c r="W89" i="4"/>
  <c r="M90" i="4"/>
  <c r="O90" i="4"/>
  <c r="P90" i="4"/>
  <c r="Q90" i="4"/>
  <c r="R90" i="4"/>
  <c r="S90" i="4"/>
  <c r="T90" i="4"/>
  <c r="U90" i="4"/>
  <c r="V90" i="4"/>
  <c r="W90" i="4"/>
  <c r="M91" i="4"/>
  <c r="O91" i="4"/>
  <c r="P91" i="4"/>
  <c r="Q91" i="4"/>
  <c r="R91" i="4"/>
  <c r="S91" i="4"/>
  <c r="T91" i="4"/>
  <c r="M92" i="4"/>
  <c r="O92" i="4"/>
  <c r="P92" i="4"/>
  <c r="Q92" i="4"/>
  <c r="R92" i="4"/>
  <c r="S92" i="4"/>
  <c r="T92" i="4"/>
  <c r="U92" i="4"/>
  <c r="V92" i="4"/>
  <c r="W92" i="4"/>
  <c r="M93" i="4"/>
  <c r="O93" i="4"/>
  <c r="P93" i="4"/>
  <c r="Q93" i="4"/>
  <c r="R93" i="4"/>
  <c r="S93" i="4"/>
  <c r="T93" i="4"/>
  <c r="U93" i="4"/>
  <c r="V93" i="4"/>
  <c r="W93" i="4"/>
  <c r="M94" i="4"/>
  <c r="O94" i="4"/>
  <c r="P94" i="4"/>
  <c r="Q94" i="4"/>
  <c r="R94" i="4"/>
  <c r="S94" i="4"/>
  <c r="T94" i="4"/>
  <c r="M95" i="4"/>
  <c r="O95" i="4"/>
  <c r="P95" i="4"/>
  <c r="Q95" i="4"/>
  <c r="R95" i="4"/>
  <c r="S95" i="4"/>
  <c r="T95" i="4"/>
  <c r="U95" i="4"/>
  <c r="V95" i="4"/>
  <c r="W95" i="4"/>
  <c r="M96" i="4"/>
  <c r="O96" i="4"/>
  <c r="P96" i="4"/>
  <c r="Q96" i="4"/>
  <c r="R96" i="4"/>
  <c r="S96" i="4"/>
  <c r="T96" i="4"/>
  <c r="U96" i="4"/>
  <c r="V96" i="4"/>
  <c r="W96" i="4"/>
  <c r="M97" i="4"/>
  <c r="O97" i="4"/>
  <c r="P97" i="4"/>
  <c r="Q97" i="4"/>
  <c r="R97" i="4"/>
  <c r="S97" i="4"/>
  <c r="T97" i="4"/>
  <c r="U97" i="4"/>
  <c r="V97" i="4"/>
  <c r="W97" i="4"/>
  <c r="M98" i="4"/>
  <c r="O98" i="4"/>
  <c r="P98" i="4"/>
  <c r="Q98" i="4"/>
  <c r="R98" i="4"/>
  <c r="S98" i="4"/>
  <c r="T98" i="4"/>
  <c r="U98" i="4"/>
  <c r="V98" i="4"/>
  <c r="W98" i="4"/>
  <c r="M99" i="4"/>
  <c r="O99" i="4"/>
  <c r="P99" i="4"/>
  <c r="Q99" i="4"/>
  <c r="R99" i="4"/>
  <c r="S99" i="4"/>
  <c r="T99" i="4"/>
  <c r="U99" i="4"/>
  <c r="V99" i="4"/>
  <c r="W99" i="4"/>
  <c r="M100" i="4"/>
  <c r="O100" i="4"/>
  <c r="P100" i="4"/>
  <c r="Q100" i="4"/>
  <c r="R100" i="4"/>
  <c r="S100" i="4"/>
  <c r="T100" i="4"/>
  <c r="U100" i="4"/>
  <c r="V100" i="4"/>
  <c r="W100" i="4"/>
  <c r="M101" i="4"/>
  <c r="O101" i="4"/>
  <c r="P101" i="4"/>
  <c r="Q101" i="4"/>
  <c r="R101" i="4"/>
  <c r="S101" i="4"/>
  <c r="T101" i="4"/>
  <c r="U101" i="4"/>
  <c r="V101" i="4"/>
  <c r="W101" i="4"/>
  <c r="M102" i="4"/>
  <c r="O102" i="4"/>
  <c r="P102" i="4"/>
  <c r="Q102" i="4"/>
  <c r="R102" i="4"/>
  <c r="S102" i="4"/>
  <c r="T102" i="4"/>
  <c r="U102" i="4"/>
  <c r="V102" i="4"/>
  <c r="W102" i="4"/>
  <c r="M104" i="4"/>
  <c r="O104" i="4"/>
  <c r="P104" i="4"/>
  <c r="Q104" i="4"/>
  <c r="R104" i="4"/>
  <c r="S104" i="4"/>
  <c r="T104" i="4"/>
  <c r="U104" i="4"/>
  <c r="V104" i="4"/>
  <c r="W104" i="4"/>
  <c r="M103" i="4"/>
  <c r="O103" i="4"/>
  <c r="P103" i="4"/>
  <c r="Q103" i="4"/>
  <c r="R103" i="4"/>
  <c r="S103" i="4"/>
  <c r="T103" i="4"/>
  <c r="U103" i="4"/>
  <c r="V103" i="4"/>
  <c r="W103" i="4"/>
  <c r="M105" i="4"/>
  <c r="O105" i="4"/>
  <c r="P105" i="4"/>
  <c r="Q105" i="4"/>
  <c r="R105" i="4"/>
  <c r="S105" i="4"/>
  <c r="T105" i="4"/>
  <c r="U105" i="4"/>
  <c r="V105" i="4"/>
  <c r="W105" i="4"/>
  <c r="M106" i="4"/>
  <c r="O106" i="4"/>
  <c r="P106" i="4"/>
  <c r="Q106" i="4"/>
  <c r="R106" i="4"/>
  <c r="S106" i="4"/>
  <c r="T106" i="4"/>
  <c r="U106" i="4"/>
  <c r="V106" i="4"/>
  <c r="W106" i="4"/>
  <c r="M107" i="4"/>
  <c r="O107" i="4"/>
  <c r="P107" i="4"/>
  <c r="Q107" i="4"/>
  <c r="R107" i="4"/>
  <c r="S107" i="4"/>
  <c r="T107" i="4"/>
  <c r="U107" i="4"/>
  <c r="V107" i="4"/>
  <c r="W107" i="4"/>
  <c r="M108" i="4"/>
  <c r="O108" i="4"/>
  <c r="P108" i="4"/>
  <c r="Q108" i="4"/>
  <c r="R108" i="4"/>
  <c r="S108" i="4"/>
  <c r="T108" i="4"/>
  <c r="U108" i="4"/>
  <c r="V108" i="4"/>
  <c r="W108" i="4"/>
  <c r="M109" i="4"/>
  <c r="O109" i="4"/>
  <c r="P109" i="4"/>
  <c r="Q109" i="4"/>
  <c r="R109" i="4"/>
  <c r="S109" i="4"/>
  <c r="T109" i="4"/>
  <c r="U109" i="4"/>
  <c r="V109" i="4"/>
  <c r="W109" i="4"/>
  <c r="M110" i="4"/>
  <c r="O110" i="4"/>
  <c r="P110" i="4"/>
  <c r="Q110" i="4"/>
  <c r="R110" i="4"/>
  <c r="S110" i="4"/>
  <c r="T110" i="4"/>
  <c r="U110" i="4"/>
  <c r="V110" i="4"/>
  <c r="W110" i="4"/>
  <c r="M111" i="4"/>
  <c r="O111" i="4"/>
  <c r="P111" i="4"/>
  <c r="Q111" i="4"/>
  <c r="R111" i="4"/>
  <c r="S111" i="4"/>
  <c r="T111" i="4"/>
  <c r="U111" i="4"/>
  <c r="V111" i="4"/>
  <c r="W111" i="4"/>
  <c r="M112" i="4"/>
  <c r="O112" i="4"/>
  <c r="P112" i="4"/>
  <c r="Q112" i="4"/>
  <c r="R112" i="4"/>
  <c r="S112" i="4"/>
  <c r="T112" i="4"/>
  <c r="U112" i="4"/>
  <c r="V112" i="4"/>
  <c r="W112" i="4"/>
  <c r="M113" i="4"/>
  <c r="O113" i="4"/>
  <c r="P113" i="4"/>
  <c r="Q113" i="4"/>
  <c r="R113" i="4"/>
  <c r="S113" i="4"/>
  <c r="T113" i="4"/>
  <c r="U113" i="4"/>
  <c r="V113" i="4"/>
  <c r="W113" i="4"/>
  <c r="M114" i="4"/>
  <c r="O114" i="4"/>
  <c r="P114" i="4"/>
  <c r="Q114" i="4"/>
  <c r="R114" i="4"/>
  <c r="S114" i="4"/>
  <c r="T114" i="4"/>
  <c r="M115" i="4"/>
  <c r="O115" i="4"/>
  <c r="P115" i="4"/>
  <c r="Q115" i="4"/>
  <c r="R115" i="4"/>
  <c r="S115" i="4"/>
  <c r="T115" i="4"/>
  <c r="M116" i="4"/>
  <c r="O116" i="4"/>
  <c r="P116" i="4"/>
  <c r="Q116" i="4"/>
  <c r="R116" i="4"/>
  <c r="S116" i="4"/>
  <c r="T116" i="4"/>
  <c r="U116" i="4"/>
  <c r="V116" i="4"/>
  <c r="W116" i="4"/>
  <c r="M117" i="4"/>
  <c r="O117" i="4"/>
  <c r="P117" i="4"/>
  <c r="Q117" i="4"/>
  <c r="R117" i="4"/>
  <c r="S117" i="4"/>
  <c r="T117" i="4"/>
  <c r="U117" i="4"/>
  <c r="V117" i="4"/>
  <c r="W117" i="4"/>
  <c r="M118" i="4"/>
  <c r="O118" i="4"/>
  <c r="P118" i="4"/>
  <c r="Q118" i="4"/>
  <c r="R118" i="4"/>
  <c r="S118" i="4"/>
  <c r="T118" i="4"/>
  <c r="U118" i="4"/>
  <c r="V118" i="4"/>
  <c r="W118" i="4"/>
  <c r="M119" i="4"/>
  <c r="O119" i="4"/>
  <c r="P119" i="4"/>
  <c r="Q119" i="4"/>
  <c r="R119" i="4"/>
  <c r="S119" i="4"/>
  <c r="T119" i="4"/>
  <c r="M120" i="4"/>
  <c r="O120" i="4"/>
  <c r="P120" i="4"/>
  <c r="Q120" i="4"/>
  <c r="R120" i="4"/>
  <c r="S120" i="4"/>
  <c r="T120" i="4"/>
  <c r="M121" i="4"/>
  <c r="O121" i="4"/>
  <c r="P121" i="4"/>
  <c r="Q121" i="4"/>
  <c r="R121" i="4"/>
  <c r="S121" i="4"/>
  <c r="T121" i="4"/>
  <c r="U121" i="4"/>
  <c r="V121" i="4"/>
  <c r="W121" i="4"/>
  <c r="M122" i="4"/>
  <c r="O122" i="4"/>
  <c r="P122" i="4"/>
  <c r="Q122" i="4"/>
  <c r="R122" i="4"/>
  <c r="S122" i="4"/>
  <c r="T122" i="4"/>
  <c r="U122" i="4"/>
  <c r="V122" i="4"/>
  <c r="W122" i="4"/>
  <c r="M123" i="4"/>
  <c r="O123" i="4"/>
  <c r="P123" i="4"/>
  <c r="Q123" i="4"/>
  <c r="R123" i="4"/>
  <c r="S123" i="4"/>
  <c r="T123" i="4"/>
  <c r="U123" i="4"/>
  <c r="V123" i="4"/>
  <c r="W123" i="4"/>
  <c r="M124" i="4"/>
  <c r="O124" i="4"/>
  <c r="P124" i="4"/>
  <c r="Q124" i="4"/>
  <c r="R124" i="4"/>
  <c r="S124" i="4"/>
  <c r="T124" i="4"/>
  <c r="M125" i="4"/>
  <c r="O125" i="4"/>
  <c r="P125" i="4"/>
  <c r="Q125" i="4"/>
  <c r="R125" i="4"/>
  <c r="S125" i="4"/>
  <c r="T125" i="4"/>
  <c r="U125" i="4"/>
  <c r="V125" i="4"/>
  <c r="W125" i="4"/>
  <c r="M126" i="4"/>
  <c r="O126" i="4"/>
  <c r="P126" i="4"/>
  <c r="Q126" i="4"/>
  <c r="R126" i="4"/>
  <c r="S126" i="4"/>
  <c r="T126" i="4"/>
  <c r="U126" i="4"/>
  <c r="V126" i="4"/>
  <c r="W126" i="4"/>
  <c r="M127" i="4"/>
  <c r="O127" i="4"/>
  <c r="P127" i="4"/>
  <c r="Q127" i="4"/>
  <c r="R127" i="4"/>
  <c r="S127" i="4"/>
  <c r="T127" i="4"/>
  <c r="U127" i="4"/>
  <c r="V127" i="4"/>
  <c r="W127" i="4"/>
  <c r="M128" i="4"/>
  <c r="O128" i="4"/>
  <c r="P128" i="4"/>
  <c r="Q128" i="4"/>
  <c r="R128" i="4"/>
  <c r="S128" i="4"/>
  <c r="T128" i="4"/>
  <c r="U128" i="4"/>
  <c r="V128" i="4"/>
  <c r="W128" i="4"/>
  <c r="M129" i="4"/>
  <c r="O129" i="4"/>
  <c r="P129" i="4"/>
  <c r="Q129" i="4"/>
  <c r="R129" i="4"/>
  <c r="S129" i="4"/>
  <c r="T129" i="4"/>
  <c r="U129" i="4"/>
  <c r="V129" i="4"/>
  <c r="W129" i="4"/>
  <c r="M130" i="4"/>
  <c r="O130" i="4"/>
  <c r="P130" i="4"/>
  <c r="Q130" i="4"/>
  <c r="R130" i="4"/>
  <c r="S130" i="4"/>
  <c r="T130" i="4"/>
  <c r="U130" i="4"/>
  <c r="V130" i="4"/>
  <c r="W130" i="4"/>
  <c r="M131" i="4"/>
  <c r="O131" i="4"/>
  <c r="P131" i="4"/>
  <c r="Q131" i="4"/>
  <c r="R131" i="4"/>
  <c r="S131" i="4"/>
  <c r="T131" i="4"/>
  <c r="M132" i="4"/>
  <c r="O132" i="4"/>
  <c r="P132" i="4"/>
  <c r="Q132" i="4"/>
  <c r="R132" i="4"/>
  <c r="S132" i="4"/>
  <c r="T132" i="4"/>
  <c r="U132" i="4"/>
  <c r="V132" i="4"/>
  <c r="W132" i="4"/>
  <c r="M133" i="4"/>
  <c r="O133" i="4"/>
  <c r="P133" i="4"/>
  <c r="Q133" i="4"/>
  <c r="R133" i="4"/>
  <c r="S133" i="4"/>
  <c r="T133" i="4"/>
  <c r="U133" i="4"/>
  <c r="V133" i="4"/>
  <c r="W133" i="4"/>
  <c r="M134" i="4"/>
  <c r="O134" i="4"/>
  <c r="P134" i="4"/>
  <c r="Q134" i="4"/>
  <c r="R134" i="4"/>
  <c r="S134" i="4"/>
  <c r="T134" i="4"/>
  <c r="U134" i="4"/>
  <c r="V134" i="4"/>
  <c r="W134" i="4"/>
  <c r="M135" i="4"/>
  <c r="O135" i="4"/>
  <c r="P135" i="4"/>
  <c r="Q135" i="4"/>
  <c r="R135" i="4"/>
  <c r="S135" i="4"/>
  <c r="T135" i="4"/>
  <c r="U135" i="4"/>
  <c r="V135" i="4"/>
  <c r="W135" i="4"/>
  <c r="M136" i="4"/>
  <c r="O136" i="4"/>
  <c r="P136" i="4"/>
  <c r="Q136" i="4"/>
  <c r="R136" i="4"/>
  <c r="S136" i="4"/>
  <c r="T136" i="4"/>
  <c r="U136" i="4"/>
  <c r="V136" i="4"/>
  <c r="W136" i="4"/>
  <c r="M137" i="4"/>
  <c r="O137" i="4"/>
  <c r="P137" i="4"/>
  <c r="Q137" i="4"/>
  <c r="R137" i="4"/>
  <c r="S137" i="4"/>
  <c r="T137" i="4"/>
  <c r="U137" i="4"/>
  <c r="V137" i="4"/>
  <c r="W137" i="4"/>
  <c r="M138" i="4"/>
  <c r="O138" i="4"/>
  <c r="P138" i="4"/>
  <c r="Q138" i="4"/>
  <c r="R138" i="4"/>
  <c r="S138" i="4"/>
  <c r="T138" i="4"/>
  <c r="U138" i="4"/>
  <c r="V138" i="4"/>
  <c r="W138" i="4"/>
  <c r="M139" i="4"/>
  <c r="O139" i="4"/>
  <c r="P139" i="4"/>
  <c r="Q139" i="4"/>
  <c r="R139" i="4"/>
  <c r="S139" i="4"/>
  <c r="T139" i="4"/>
  <c r="U139" i="4"/>
  <c r="V139" i="4"/>
  <c r="W139" i="4"/>
  <c r="M140" i="4"/>
  <c r="O140" i="4"/>
  <c r="P140" i="4"/>
  <c r="Q140" i="4"/>
  <c r="R140" i="4"/>
  <c r="S140" i="4"/>
  <c r="T140" i="4"/>
  <c r="U140" i="4"/>
  <c r="V140" i="4"/>
  <c r="W140" i="4"/>
  <c r="M141" i="4"/>
  <c r="O141" i="4"/>
  <c r="P141" i="4"/>
  <c r="Q141" i="4"/>
  <c r="R141" i="4"/>
  <c r="S141" i="4"/>
  <c r="T141" i="4"/>
  <c r="M142" i="4"/>
  <c r="O142" i="4"/>
  <c r="P142" i="4"/>
  <c r="Q142" i="4"/>
  <c r="R142" i="4"/>
  <c r="S142" i="4"/>
  <c r="T142" i="4"/>
  <c r="U142" i="4"/>
  <c r="V142" i="4"/>
  <c r="W142" i="4"/>
  <c r="M143" i="4"/>
  <c r="O143" i="4"/>
  <c r="P143" i="4"/>
  <c r="Q143" i="4"/>
  <c r="R143" i="4"/>
  <c r="S143" i="4"/>
  <c r="T143" i="4"/>
  <c r="U143" i="4"/>
  <c r="V143" i="4"/>
  <c r="W143" i="4"/>
  <c r="M144" i="4"/>
  <c r="O144" i="4"/>
  <c r="P144" i="4"/>
  <c r="Q144" i="4"/>
  <c r="R144" i="4"/>
  <c r="S144" i="4"/>
  <c r="T144" i="4"/>
  <c r="U144" i="4"/>
  <c r="V144" i="4"/>
  <c r="W144" i="4"/>
  <c r="M145" i="4"/>
  <c r="O145" i="4"/>
  <c r="P145" i="4"/>
  <c r="Q145" i="4"/>
  <c r="R145" i="4"/>
  <c r="S145" i="4"/>
  <c r="T145" i="4"/>
  <c r="U145" i="4"/>
  <c r="V145" i="4"/>
  <c r="W145" i="4"/>
  <c r="M146" i="4"/>
  <c r="O146" i="4"/>
  <c r="P146" i="4"/>
  <c r="Q146" i="4"/>
  <c r="R146" i="4"/>
  <c r="S146" i="4"/>
  <c r="T146" i="4"/>
  <c r="M147" i="4"/>
  <c r="O147" i="4"/>
  <c r="P147" i="4"/>
  <c r="Q147" i="4"/>
  <c r="R147" i="4"/>
  <c r="S147" i="4"/>
  <c r="T147" i="4"/>
  <c r="U147" i="4"/>
  <c r="V147" i="4"/>
  <c r="W147" i="4"/>
  <c r="M148" i="4"/>
  <c r="O148" i="4"/>
  <c r="P148" i="4"/>
  <c r="Q148" i="4"/>
  <c r="R148" i="4"/>
  <c r="S148" i="4"/>
  <c r="T148" i="4"/>
  <c r="U148" i="4"/>
  <c r="V148" i="4"/>
  <c r="W148" i="4"/>
  <c r="M149" i="4"/>
  <c r="O149" i="4"/>
  <c r="P149" i="4"/>
  <c r="Q149" i="4"/>
  <c r="R149" i="4"/>
  <c r="S149" i="4"/>
  <c r="T149" i="4"/>
  <c r="U149" i="4"/>
  <c r="V149" i="4"/>
  <c r="W149" i="4"/>
  <c r="M150" i="4"/>
  <c r="O150" i="4"/>
  <c r="P150" i="4"/>
  <c r="Q150" i="4"/>
  <c r="R150" i="4"/>
  <c r="S150" i="4"/>
  <c r="T150" i="4"/>
  <c r="U150" i="4"/>
  <c r="V150" i="4"/>
  <c r="W150" i="4"/>
  <c r="M151" i="4"/>
  <c r="O151" i="4"/>
  <c r="P151" i="4"/>
  <c r="Q151" i="4"/>
  <c r="R151" i="4"/>
  <c r="S151" i="4"/>
  <c r="T151" i="4"/>
  <c r="U151" i="4"/>
  <c r="V151" i="4"/>
  <c r="W151" i="4"/>
  <c r="M152" i="4"/>
  <c r="O152" i="4"/>
  <c r="P152" i="4"/>
  <c r="Q152" i="4"/>
  <c r="R152" i="4"/>
  <c r="S152" i="4"/>
  <c r="T152" i="4"/>
  <c r="U152" i="4"/>
  <c r="V152" i="4"/>
  <c r="W152" i="4"/>
  <c r="M153" i="4"/>
  <c r="O153" i="4"/>
  <c r="P153" i="4"/>
  <c r="Q153" i="4"/>
  <c r="R153" i="4"/>
  <c r="S153" i="4"/>
  <c r="T153" i="4"/>
  <c r="U153" i="4"/>
  <c r="V153" i="4"/>
  <c r="W153" i="4"/>
  <c r="M154" i="4"/>
  <c r="O154" i="4"/>
  <c r="P154" i="4"/>
  <c r="Q154" i="4"/>
  <c r="R154" i="4"/>
  <c r="S154" i="4"/>
  <c r="T154" i="4"/>
  <c r="U154" i="4"/>
  <c r="V154" i="4"/>
  <c r="W154" i="4"/>
  <c r="M155" i="4"/>
  <c r="O155" i="4"/>
  <c r="P155" i="4"/>
  <c r="Q155" i="4"/>
  <c r="R155" i="4"/>
  <c r="S155" i="4"/>
  <c r="T155" i="4"/>
  <c r="U155" i="4"/>
  <c r="V155" i="4"/>
  <c r="W155" i="4"/>
  <c r="M156" i="4"/>
  <c r="O156" i="4"/>
  <c r="P156" i="4"/>
  <c r="Q156" i="4"/>
  <c r="R156" i="4"/>
  <c r="S156" i="4"/>
  <c r="T156" i="4"/>
  <c r="M157" i="4"/>
  <c r="O157" i="4"/>
  <c r="P157" i="4"/>
  <c r="Q157" i="4"/>
  <c r="R157" i="4"/>
  <c r="S157" i="4"/>
  <c r="T157" i="4"/>
  <c r="U157" i="4"/>
  <c r="V157" i="4"/>
  <c r="W157" i="4"/>
  <c r="M158" i="4"/>
  <c r="O158" i="4"/>
  <c r="P158" i="4"/>
  <c r="Q158" i="4"/>
  <c r="R158" i="4"/>
  <c r="S158" i="4"/>
  <c r="T158" i="4"/>
  <c r="M159" i="4"/>
  <c r="O159" i="4"/>
  <c r="P159" i="4"/>
  <c r="Q159" i="4"/>
  <c r="R159" i="4"/>
  <c r="S159" i="4"/>
  <c r="T159" i="4"/>
  <c r="M160" i="4"/>
  <c r="O160" i="4"/>
  <c r="P160" i="4"/>
  <c r="Q160" i="4"/>
  <c r="R160" i="4"/>
  <c r="S160" i="4"/>
  <c r="T160" i="4"/>
  <c r="U160" i="4"/>
  <c r="V160" i="4"/>
  <c r="W160" i="4"/>
  <c r="M161" i="4"/>
  <c r="O161" i="4"/>
  <c r="P161" i="4"/>
  <c r="Q161" i="4"/>
  <c r="R161" i="4"/>
  <c r="S161" i="4"/>
  <c r="T161" i="4"/>
  <c r="U161" i="4"/>
  <c r="V161" i="4"/>
  <c r="W161" i="4"/>
  <c r="M162" i="4"/>
  <c r="O162" i="4"/>
  <c r="P162" i="4"/>
  <c r="Q162" i="4"/>
  <c r="R162" i="4"/>
  <c r="S162" i="4"/>
  <c r="T162" i="4"/>
  <c r="U162" i="4"/>
  <c r="V162" i="4"/>
  <c r="W162" i="4"/>
  <c r="M163" i="4"/>
  <c r="O163" i="4"/>
  <c r="P163" i="4"/>
  <c r="Q163" i="4"/>
  <c r="R163" i="4"/>
  <c r="S163" i="4"/>
  <c r="T163" i="4"/>
  <c r="U163" i="4"/>
  <c r="V163" i="4"/>
  <c r="W163" i="4"/>
  <c r="M164" i="4"/>
  <c r="O164" i="4"/>
  <c r="P164" i="4"/>
  <c r="Q164" i="4"/>
  <c r="R164" i="4"/>
  <c r="S164" i="4"/>
  <c r="T164" i="4"/>
  <c r="M165" i="4"/>
  <c r="O165" i="4"/>
  <c r="P165" i="4"/>
  <c r="Q165" i="4"/>
  <c r="R165" i="4"/>
  <c r="S165" i="4"/>
  <c r="T165" i="4"/>
  <c r="U165" i="4"/>
  <c r="V165" i="4"/>
  <c r="W165" i="4"/>
  <c r="M166" i="4"/>
  <c r="O166" i="4"/>
  <c r="P166" i="4"/>
  <c r="Q166" i="4"/>
  <c r="R166" i="4"/>
  <c r="S166" i="4"/>
  <c r="T166" i="4"/>
  <c r="U166" i="4"/>
  <c r="V166" i="4"/>
  <c r="W166" i="4"/>
  <c r="M167" i="4"/>
  <c r="O167" i="4"/>
  <c r="P167" i="4"/>
  <c r="Q167" i="4"/>
  <c r="R167" i="4"/>
  <c r="S167" i="4"/>
  <c r="T167" i="4"/>
  <c r="U167" i="4"/>
  <c r="V167" i="4"/>
  <c r="W167" i="4"/>
  <c r="M168" i="4"/>
  <c r="O168" i="4"/>
  <c r="P168" i="4"/>
  <c r="Q168" i="4"/>
  <c r="R168" i="4"/>
  <c r="S168" i="4"/>
  <c r="T168" i="4"/>
  <c r="U168" i="4"/>
  <c r="V168" i="4"/>
  <c r="W168" i="4"/>
  <c r="M169" i="4"/>
  <c r="O169" i="4"/>
  <c r="P169" i="4"/>
  <c r="Q169" i="4"/>
  <c r="R169" i="4"/>
  <c r="S169" i="4"/>
  <c r="T169" i="4"/>
  <c r="M170" i="4"/>
  <c r="O170" i="4"/>
  <c r="P170" i="4"/>
  <c r="Q170" i="4"/>
  <c r="R170" i="4"/>
  <c r="S170" i="4"/>
  <c r="T170" i="4"/>
  <c r="U170" i="4"/>
  <c r="V170" i="4"/>
  <c r="W170" i="4"/>
  <c r="M171" i="4"/>
  <c r="O171" i="4"/>
  <c r="P171" i="4"/>
  <c r="Q171" i="4"/>
  <c r="R171" i="4"/>
  <c r="S171" i="4"/>
  <c r="T171" i="4"/>
  <c r="M172" i="4"/>
  <c r="O172" i="4"/>
  <c r="P172" i="4"/>
  <c r="Q172" i="4"/>
  <c r="R172" i="4"/>
  <c r="S172" i="4"/>
  <c r="T172" i="4"/>
  <c r="U172" i="4"/>
  <c r="V172" i="4"/>
  <c r="W172" i="4"/>
  <c r="M173" i="4"/>
  <c r="O173" i="4"/>
  <c r="P173" i="4"/>
  <c r="Q173" i="4"/>
  <c r="R173" i="4"/>
  <c r="S173" i="4"/>
  <c r="T173" i="4"/>
  <c r="M174" i="4"/>
  <c r="O174" i="4"/>
  <c r="P174" i="4"/>
  <c r="Q174" i="4"/>
  <c r="R174" i="4"/>
  <c r="S174" i="4"/>
  <c r="T174" i="4"/>
  <c r="M175" i="4"/>
  <c r="O175" i="4"/>
  <c r="P175" i="4"/>
  <c r="Q175" i="4"/>
  <c r="R175" i="4"/>
  <c r="S175" i="4"/>
  <c r="T175" i="4"/>
  <c r="M176" i="4"/>
  <c r="O176" i="4"/>
  <c r="P176" i="4"/>
  <c r="Q176" i="4"/>
  <c r="R176" i="4"/>
  <c r="S176" i="4"/>
  <c r="T176" i="4"/>
  <c r="M177" i="4"/>
  <c r="O177" i="4"/>
  <c r="P177" i="4"/>
  <c r="Q177" i="4"/>
  <c r="R177" i="4"/>
  <c r="S177" i="4"/>
  <c r="T177" i="4"/>
  <c r="U177" i="4"/>
  <c r="V177" i="4"/>
  <c r="W177" i="4"/>
  <c r="M178" i="4"/>
  <c r="O178" i="4"/>
  <c r="P178" i="4"/>
  <c r="Q178" i="4"/>
  <c r="R178" i="4"/>
  <c r="S178" i="4"/>
  <c r="T178" i="4"/>
  <c r="M179" i="4"/>
  <c r="O179" i="4"/>
  <c r="P179" i="4"/>
  <c r="Q179" i="4"/>
  <c r="R179" i="4"/>
  <c r="S179" i="4"/>
  <c r="T179" i="4"/>
  <c r="M180" i="4"/>
  <c r="O180" i="4"/>
  <c r="P180" i="4"/>
  <c r="Q180" i="4"/>
  <c r="R180" i="4"/>
  <c r="S180" i="4"/>
  <c r="T180" i="4"/>
  <c r="M181" i="4"/>
  <c r="O181" i="4"/>
  <c r="P181" i="4"/>
  <c r="Q181" i="4"/>
  <c r="R181" i="4"/>
  <c r="S181" i="4"/>
  <c r="T181" i="4"/>
  <c r="U181" i="4"/>
  <c r="V181" i="4"/>
  <c r="W181" i="4"/>
  <c r="M182" i="4"/>
  <c r="O182" i="4"/>
  <c r="P182" i="4"/>
  <c r="Q182" i="4"/>
  <c r="R182" i="4"/>
  <c r="S182" i="4"/>
  <c r="T182" i="4"/>
  <c r="U182" i="4"/>
  <c r="V182" i="4"/>
  <c r="W182" i="4"/>
  <c r="M183" i="4"/>
  <c r="O183" i="4"/>
  <c r="P183" i="4"/>
  <c r="Q183" i="4"/>
  <c r="R183" i="4"/>
  <c r="S183" i="4"/>
  <c r="T183" i="4"/>
  <c r="U183" i="4"/>
  <c r="V183" i="4"/>
  <c r="W183" i="4"/>
  <c r="M184" i="4"/>
  <c r="O184" i="4"/>
  <c r="P184" i="4"/>
  <c r="Q184" i="4"/>
  <c r="R184" i="4"/>
  <c r="S184" i="4"/>
  <c r="T184" i="4"/>
  <c r="M185" i="4"/>
  <c r="O185" i="4"/>
  <c r="P185" i="4"/>
  <c r="Q185" i="4"/>
  <c r="R185" i="4"/>
  <c r="S185" i="4"/>
  <c r="T185" i="4"/>
  <c r="U185" i="4"/>
  <c r="V185" i="4"/>
  <c r="W185" i="4"/>
  <c r="M186" i="4"/>
  <c r="O186" i="4"/>
  <c r="P186" i="4"/>
  <c r="Q186" i="4"/>
  <c r="R186" i="4"/>
  <c r="S186" i="4"/>
  <c r="T186" i="4"/>
  <c r="U186" i="4"/>
  <c r="V186" i="4"/>
  <c r="W186" i="4"/>
  <c r="M187" i="4"/>
  <c r="O187" i="4"/>
  <c r="P187" i="4"/>
  <c r="Q187" i="4"/>
  <c r="R187" i="4"/>
  <c r="S187" i="4"/>
  <c r="T187" i="4"/>
  <c r="U187" i="4"/>
  <c r="V187" i="4"/>
  <c r="W187" i="4"/>
  <c r="M188" i="4"/>
  <c r="O188" i="4"/>
  <c r="P188" i="4"/>
  <c r="Q188" i="4"/>
  <c r="R188" i="4"/>
  <c r="S188" i="4"/>
  <c r="T188" i="4"/>
  <c r="U188" i="4"/>
  <c r="V188" i="4"/>
  <c r="W188" i="4"/>
  <c r="M189" i="4"/>
  <c r="O189" i="4"/>
  <c r="P189" i="4"/>
  <c r="Q189" i="4"/>
  <c r="R189" i="4"/>
  <c r="S189" i="4"/>
  <c r="T189" i="4"/>
  <c r="U189" i="4"/>
  <c r="V189" i="4"/>
  <c r="W189" i="4"/>
  <c r="M190" i="4"/>
  <c r="O190" i="4"/>
  <c r="P190" i="4"/>
  <c r="Q190" i="4"/>
  <c r="R190" i="4"/>
  <c r="S190" i="4"/>
  <c r="T190" i="4"/>
  <c r="M191" i="4"/>
  <c r="O191" i="4"/>
  <c r="P191" i="4"/>
  <c r="Q191" i="4"/>
  <c r="R191" i="4"/>
  <c r="S191" i="4"/>
  <c r="T191" i="4"/>
  <c r="M192" i="4"/>
  <c r="O192" i="4"/>
  <c r="P192" i="4"/>
  <c r="Q192" i="4"/>
  <c r="R192" i="4"/>
  <c r="S192" i="4"/>
  <c r="T192" i="4"/>
  <c r="M193" i="4"/>
  <c r="O193" i="4"/>
  <c r="P193" i="4"/>
  <c r="Q193" i="4"/>
  <c r="R193" i="4"/>
  <c r="S193" i="4"/>
  <c r="T193" i="4"/>
  <c r="M194" i="4"/>
  <c r="O194" i="4"/>
  <c r="P194" i="4"/>
  <c r="Q194" i="4"/>
  <c r="R194" i="4"/>
  <c r="S194" i="4"/>
  <c r="T194" i="4"/>
  <c r="M195" i="4"/>
  <c r="O195" i="4"/>
  <c r="P195" i="4"/>
  <c r="Q195" i="4"/>
  <c r="R195" i="4"/>
  <c r="S195" i="4"/>
  <c r="T195" i="4"/>
  <c r="U195" i="4"/>
  <c r="V195" i="4"/>
  <c r="W195" i="4"/>
  <c r="M196" i="4"/>
  <c r="O196" i="4"/>
  <c r="P196" i="4"/>
  <c r="Q196" i="4"/>
  <c r="R196" i="4"/>
  <c r="S196" i="4"/>
  <c r="T196" i="4"/>
  <c r="U196" i="4"/>
  <c r="V196" i="4"/>
  <c r="W196" i="4"/>
  <c r="M197" i="4"/>
  <c r="O197" i="4"/>
  <c r="P197" i="4"/>
  <c r="Q197" i="4"/>
  <c r="R197" i="4"/>
  <c r="S197" i="4"/>
  <c r="T197" i="4"/>
  <c r="M199" i="4"/>
  <c r="O199" i="4"/>
  <c r="P199" i="4"/>
  <c r="Q199" i="4"/>
  <c r="R199" i="4"/>
  <c r="S199" i="4"/>
  <c r="T199" i="4"/>
  <c r="M200" i="4"/>
  <c r="O200" i="4"/>
  <c r="P200" i="4"/>
  <c r="Q200" i="4"/>
  <c r="R200" i="4"/>
  <c r="S200" i="4"/>
  <c r="T200" i="4"/>
  <c r="U200" i="4"/>
  <c r="V200" i="4"/>
  <c r="W200" i="4"/>
  <c r="M201" i="4"/>
  <c r="O201" i="4"/>
  <c r="P201" i="4"/>
  <c r="Q201" i="4"/>
  <c r="R201" i="4"/>
  <c r="S201" i="4"/>
  <c r="T201" i="4"/>
  <c r="M202" i="4"/>
  <c r="O202" i="4"/>
  <c r="P202" i="4"/>
  <c r="Q202" i="4"/>
  <c r="R202" i="4"/>
  <c r="S202" i="4"/>
  <c r="T202" i="4"/>
  <c r="U202" i="4"/>
  <c r="V202" i="4"/>
  <c r="W202" i="4"/>
  <c r="M203" i="4"/>
  <c r="O203" i="4"/>
  <c r="P203" i="4"/>
  <c r="Q203" i="4"/>
  <c r="R203" i="4"/>
  <c r="S203" i="4"/>
  <c r="T203" i="4"/>
  <c r="M204" i="4"/>
  <c r="O204" i="4"/>
  <c r="P204" i="4"/>
  <c r="Q204" i="4"/>
  <c r="R204" i="4"/>
  <c r="S204" i="4"/>
  <c r="T204" i="4"/>
  <c r="M205" i="4"/>
  <c r="O205" i="4"/>
  <c r="P205" i="4"/>
  <c r="Q205" i="4"/>
  <c r="R205" i="4"/>
  <c r="S205" i="4"/>
  <c r="T205" i="4"/>
  <c r="U205" i="4"/>
  <c r="V205" i="4"/>
  <c r="W205" i="4"/>
  <c r="M207" i="4"/>
  <c r="O207" i="4"/>
  <c r="P207" i="4"/>
  <c r="Q207" i="4"/>
  <c r="R207" i="4"/>
  <c r="S207" i="4"/>
  <c r="T207" i="4"/>
  <c r="M206" i="4"/>
  <c r="O206" i="4"/>
  <c r="P206" i="4"/>
  <c r="Q206" i="4"/>
  <c r="R206" i="4"/>
  <c r="S206" i="4"/>
  <c r="T206" i="4"/>
  <c r="U206" i="4"/>
  <c r="V206" i="4"/>
  <c r="W206" i="4"/>
  <c r="M208" i="4"/>
  <c r="O208" i="4"/>
  <c r="P208" i="4"/>
  <c r="Q208" i="4"/>
  <c r="R208" i="4"/>
  <c r="S208" i="4"/>
  <c r="T208" i="4"/>
  <c r="U208" i="4"/>
  <c r="V208" i="4"/>
  <c r="W208" i="4"/>
  <c r="M209" i="4"/>
  <c r="O209" i="4"/>
  <c r="P209" i="4"/>
  <c r="Q209" i="4"/>
  <c r="R209" i="4"/>
  <c r="S209" i="4"/>
  <c r="T209" i="4"/>
  <c r="U209" i="4"/>
  <c r="V209" i="4"/>
  <c r="W209" i="4"/>
  <c r="M210" i="4"/>
  <c r="O210" i="4"/>
  <c r="P210" i="4"/>
  <c r="Q210" i="4"/>
  <c r="R210" i="4"/>
  <c r="S210" i="4"/>
  <c r="T210" i="4"/>
  <c r="U210" i="4"/>
  <c r="V210" i="4"/>
  <c r="W210" i="4"/>
  <c r="M211" i="4"/>
  <c r="O211" i="4"/>
  <c r="P211" i="4"/>
  <c r="Q211" i="4"/>
  <c r="R211" i="4"/>
  <c r="S211" i="4"/>
  <c r="T211" i="4"/>
  <c r="U211" i="4"/>
  <c r="V211" i="4"/>
  <c r="W211" i="4"/>
  <c r="M212" i="4"/>
  <c r="O212" i="4"/>
  <c r="P212" i="4"/>
  <c r="Q212" i="4"/>
  <c r="R212" i="4"/>
  <c r="S212" i="4"/>
  <c r="T212" i="4"/>
  <c r="M213" i="4"/>
  <c r="O213" i="4"/>
  <c r="P213" i="4"/>
  <c r="Q213" i="4"/>
  <c r="R213" i="4"/>
  <c r="S213" i="4"/>
  <c r="T213" i="4"/>
  <c r="U213" i="4"/>
  <c r="V213" i="4"/>
  <c r="W213" i="4"/>
  <c r="M214" i="4"/>
  <c r="O214" i="4"/>
  <c r="P214" i="4"/>
  <c r="Q214" i="4"/>
  <c r="R214" i="4"/>
  <c r="S214" i="4"/>
  <c r="T214" i="4"/>
  <c r="U214" i="4"/>
  <c r="V214" i="4"/>
  <c r="W214" i="4"/>
  <c r="M215" i="4"/>
  <c r="O215" i="4"/>
  <c r="P215" i="4"/>
  <c r="Q215" i="4"/>
  <c r="R215" i="4"/>
  <c r="S215" i="4"/>
  <c r="T215" i="4"/>
  <c r="M216" i="4"/>
  <c r="O216" i="4"/>
  <c r="P216" i="4"/>
  <c r="Q216" i="4"/>
  <c r="R216" i="4"/>
  <c r="S216" i="4"/>
  <c r="T216" i="4"/>
  <c r="U216" i="4"/>
  <c r="V216" i="4"/>
  <c r="W216" i="4"/>
  <c r="M217" i="4"/>
  <c r="O217" i="4"/>
  <c r="P217" i="4"/>
  <c r="Q217" i="4"/>
  <c r="R217" i="4"/>
  <c r="S217" i="4"/>
  <c r="T217" i="4"/>
  <c r="M218" i="4"/>
  <c r="O218" i="4"/>
  <c r="P218" i="4"/>
  <c r="Q218" i="4"/>
  <c r="R218" i="4"/>
  <c r="S218" i="4"/>
  <c r="T218" i="4"/>
  <c r="M219" i="4"/>
  <c r="O219" i="4"/>
  <c r="P219" i="4"/>
  <c r="Q219" i="4"/>
  <c r="R219" i="4"/>
  <c r="S219" i="4"/>
  <c r="T219" i="4"/>
  <c r="U219" i="4"/>
  <c r="V219" i="4"/>
  <c r="W219" i="4"/>
  <c r="M220" i="4"/>
  <c r="O220" i="4"/>
  <c r="P220" i="4"/>
  <c r="Q220" i="4"/>
  <c r="R220" i="4"/>
  <c r="S220" i="4"/>
  <c r="T220" i="4"/>
  <c r="U220" i="4"/>
  <c r="V220" i="4"/>
  <c r="W220" i="4"/>
  <c r="M221" i="4"/>
  <c r="N221" i="4"/>
  <c r="O221" i="4"/>
  <c r="P221" i="4"/>
  <c r="Q221" i="4"/>
  <c r="R221" i="4"/>
  <c r="S221" i="4"/>
  <c r="T221" i="4"/>
  <c r="U221" i="4"/>
  <c r="V221" i="4"/>
  <c r="W221" i="4"/>
  <c r="M222" i="4"/>
  <c r="O222" i="4"/>
  <c r="P222" i="4"/>
  <c r="Q222" i="4"/>
  <c r="R222" i="4"/>
  <c r="S222" i="4"/>
  <c r="T222" i="4"/>
  <c r="U222" i="4"/>
  <c r="V222" i="4"/>
  <c r="W222" i="4"/>
  <c r="M223" i="4"/>
  <c r="N223" i="4"/>
  <c r="O223" i="4"/>
  <c r="P223" i="4"/>
  <c r="Q223" i="4"/>
  <c r="R223" i="4"/>
  <c r="S223" i="4"/>
  <c r="T223" i="4"/>
  <c r="U223" i="4"/>
  <c r="V223" i="4"/>
  <c r="W223" i="4"/>
  <c r="M224" i="4"/>
  <c r="O224" i="4"/>
  <c r="P224" i="4"/>
  <c r="Q224" i="4"/>
  <c r="R224" i="4"/>
  <c r="S224" i="4"/>
  <c r="T224" i="4"/>
  <c r="U224" i="4"/>
  <c r="V224" i="4"/>
  <c r="W224" i="4"/>
  <c r="M225" i="4"/>
  <c r="O225" i="4"/>
  <c r="P225" i="4"/>
  <c r="Q225" i="4"/>
  <c r="R225" i="4"/>
  <c r="S225" i="4"/>
  <c r="T225" i="4"/>
  <c r="M226" i="4"/>
  <c r="N226" i="4"/>
  <c r="O226" i="4"/>
  <c r="P226" i="4"/>
  <c r="Q226" i="4"/>
  <c r="R226" i="4"/>
  <c r="S226" i="4"/>
  <c r="T226" i="4"/>
  <c r="U226" i="4"/>
  <c r="V226" i="4"/>
  <c r="W226" i="4"/>
  <c r="M227" i="4"/>
  <c r="O227" i="4"/>
  <c r="P227" i="4"/>
  <c r="Q227" i="4"/>
  <c r="R227" i="4"/>
  <c r="S227" i="4"/>
  <c r="T227" i="4"/>
  <c r="U227" i="4"/>
  <c r="V227" i="4"/>
  <c r="W227" i="4"/>
  <c r="M228" i="4"/>
  <c r="O228" i="4"/>
  <c r="P228" i="4"/>
  <c r="Q228" i="4"/>
  <c r="R228" i="4"/>
  <c r="S228" i="4"/>
  <c r="T228" i="4"/>
  <c r="M229" i="4"/>
  <c r="O229" i="4"/>
  <c r="P229" i="4"/>
  <c r="Q229" i="4"/>
  <c r="R229" i="4"/>
  <c r="S229" i="4"/>
  <c r="T229" i="4"/>
  <c r="M230" i="4"/>
  <c r="O230" i="4"/>
  <c r="P230" i="4"/>
  <c r="Q230" i="4"/>
  <c r="R230" i="4"/>
  <c r="S230" i="4"/>
  <c r="T230" i="4"/>
  <c r="M231" i="4"/>
  <c r="O231" i="4"/>
  <c r="P231" i="4"/>
  <c r="Q231" i="4"/>
  <c r="R231" i="4"/>
  <c r="S231" i="4"/>
  <c r="T231" i="4"/>
  <c r="U231" i="4"/>
  <c r="V231" i="4"/>
  <c r="W231" i="4"/>
  <c r="M232" i="4"/>
  <c r="O232" i="4"/>
  <c r="P232" i="4"/>
  <c r="Q232" i="4"/>
  <c r="R232" i="4"/>
  <c r="S232" i="4"/>
  <c r="T232" i="4"/>
  <c r="U232" i="4"/>
  <c r="V232" i="4"/>
  <c r="W232" i="4"/>
  <c r="M233" i="4"/>
  <c r="O233" i="4"/>
  <c r="P233" i="4"/>
  <c r="Q233" i="4"/>
  <c r="R233" i="4"/>
  <c r="S233" i="4"/>
  <c r="T233" i="4"/>
  <c r="U233" i="4"/>
  <c r="V233" i="4"/>
  <c r="W233" i="4"/>
  <c r="M234" i="4"/>
  <c r="O234" i="4"/>
  <c r="P234" i="4"/>
  <c r="Q234" i="4"/>
  <c r="R234" i="4"/>
  <c r="S234" i="4"/>
  <c r="T234" i="4"/>
  <c r="U234" i="4"/>
  <c r="V234" i="4"/>
  <c r="W234" i="4"/>
  <c r="M235" i="4"/>
  <c r="O235" i="4"/>
  <c r="P235" i="4"/>
  <c r="Q235" i="4"/>
  <c r="R235" i="4"/>
  <c r="S235" i="4"/>
  <c r="T235" i="4"/>
  <c r="U235" i="4"/>
  <c r="V235" i="4"/>
  <c r="W235" i="4"/>
  <c r="M236" i="4"/>
  <c r="O236" i="4"/>
  <c r="P236" i="4"/>
  <c r="Q236" i="4"/>
  <c r="R236" i="4"/>
  <c r="S236" i="4"/>
  <c r="T236" i="4"/>
  <c r="U236" i="4"/>
  <c r="V236" i="4"/>
  <c r="W236" i="4"/>
  <c r="M237" i="4"/>
  <c r="O237" i="4"/>
  <c r="P237" i="4"/>
  <c r="Q237" i="4"/>
  <c r="R237" i="4"/>
  <c r="S237" i="4"/>
  <c r="T237" i="4"/>
  <c r="U237" i="4"/>
  <c r="V237" i="4"/>
  <c r="W237" i="4"/>
  <c r="M238" i="4"/>
  <c r="O238" i="4"/>
  <c r="P238" i="4"/>
  <c r="Q238" i="4"/>
  <c r="R238" i="4"/>
  <c r="S238" i="4"/>
  <c r="T238" i="4"/>
  <c r="U238" i="4"/>
  <c r="V238" i="4"/>
  <c r="W238" i="4"/>
  <c r="M239" i="4"/>
  <c r="O239" i="4"/>
  <c r="P239" i="4"/>
  <c r="Q239" i="4"/>
  <c r="R239" i="4"/>
  <c r="S239" i="4"/>
  <c r="T239" i="4"/>
  <c r="M240" i="4"/>
  <c r="O240" i="4"/>
  <c r="P240" i="4"/>
  <c r="Q240" i="4"/>
  <c r="R240" i="4"/>
  <c r="S240" i="4"/>
  <c r="T240" i="4"/>
  <c r="U240" i="4"/>
  <c r="V240" i="4"/>
  <c r="W240" i="4"/>
  <c r="M241" i="4"/>
  <c r="O241" i="4"/>
  <c r="P241" i="4"/>
  <c r="Q241" i="4"/>
  <c r="R241" i="4"/>
  <c r="S241" i="4"/>
  <c r="T241" i="4"/>
  <c r="AO35" i="6"/>
  <c r="I35" i="4" s="1"/>
  <c r="AI20" i="6"/>
  <c r="AO20" i="6"/>
  <c r="I20" i="4" s="1"/>
  <c r="AI39" i="6"/>
  <c r="AO39" i="6"/>
  <c r="I39" i="4" s="1"/>
  <c r="AI211" i="6"/>
  <c r="AO211" i="6"/>
  <c r="I211" i="4" s="1"/>
  <c r="AI224" i="6"/>
  <c r="AO224" i="6"/>
  <c r="I224" i="4" s="1"/>
  <c r="AI234" i="6"/>
  <c r="AO234" i="6"/>
  <c r="I234" i="4" s="1"/>
  <c r="AI237" i="6"/>
  <c r="AO237" i="6"/>
  <c r="I237" i="4" s="1"/>
  <c r="AI235" i="6"/>
  <c r="AO235" i="6"/>
  <c r="I235" i="4" s="1"/>
  <c r="AI207" i="6"/>
  <c r="AO207" i="6"/>
  <c r="I207" i="4" s="1"/>
  <c r="AI206" i="6"/>
  <c r="AO206" i="6"/>
  <c r="I206" i="4" s="1"/>
  <c r="AO215" i="6"/>
  <c r="I215" i="4" s="1"/>
  <c r="AI126" i="6"/>
  <c r="AO126" i="6"/>
  <c r="I126" i="4" s="1"/>
  <c r="AI128" i="6"/>
  <c r="AO128" i="6"/>
  <c r="I128" i="4" s="1"/>
  <c r="AI125" i="6"/>
  <c r="AI124" i="6"/>
  <c r="AO124" i="6"/>
  <c r="I124" i="4" s="1"/>
  <c r="AI122" i="6"/>
  <c r="AO122" i="6"/>
  <c r="I122" i="4" s="1"/>
  <c r="AI236" i="6"/>
  <c r="AO236" i="6"/>
  <c r="I236" i="4" s="1"/>
  <c r="AI227" i="6"/>
  <c r="AO227" i="6"/>
  <c r="I227" i="4" s="1"/>
  <c r="AI222" i="6"/>
  <c r="AO222" i="6"/>
  <c r="I222" i="4" s="1"/>
  <c r="AI62" i="6"/>
  <c r="AO62" i="6"/>
  <c r="I62" i="4" s="1"/>
  <c r="AI76" i="6"/>
  <c r="AO76" i="6"/>
  <c r="I76" i="4" s="1"/>
  <c r="AI225" i="6"/>
  <c r="AO225" i="6"/>
  <c r="I225" i="4" s="1"/>
  <c r="AO205" i="6"/>
  <c r="I205" i="4" s="1"/>
  <c r="AI209" i="6"/>
  <c r="AO209" i="6"/>
  <c r="I209" i="4" s="1"/>
  <c r="AI190" i="6"/>
  <c r="AO190" i="6"/>
  <c r="I190" i="4" s="1"/>
  <c r="AI210" i="6"/>
  <c r="AO210" i="6"/>
  <c r="I210" i="4" s="1"/>
  <c r="AI217" i="6"/>
  <c r="AO217" i="6"/>
  <c r="I217" i="4" s="1"/>
  <c r="AI220" i="6"/>
  <c r="AO220" i="6"/>
  <c r="I220" i="4" s="1"/>
  <c r="AI208" i="6"/>
  <c r="AO208" i="6"/>
  <c r="I208" i="4" s="1"/>
  <c r="AI201" i="6"/>
  <c r="AO201" i="6"/>
  <c r="I201" i="4" s="1"/>
  <c r="AI197" i="6"/>
  <c r="AO197" i="6"/>
  <c r="I197" i="4" s="1"/>
  <c r="AI228" i="6"/>
  <c r="AO228" i="6"/>
  <c r="I228" i="4" s="1"/>
  <c r="AI23" i="6"/>
  <c r="AO23" i="6"/>
  <c r="I23" i="4" s="1"/>
  <c r="AI21" i="6"/>
  <c r="AO21" i="6"/>
  <c r="I21" i="4" s="1"/>
  <c r="AI34" i="6"/>
  <c r="AO34" i="6"/>
  <c r="I34" i="4" s="1"/>
  <c r="AI33" i="6"/>
  <c r="AO33" i="6"/>
  <c r="I33" i="4" s="1"/>
  <c r="AI229" i="6"/>
  <c r="AO229" i="6"/>
  <c r="I229" i="4" s="1"/>
  <c r="AI37" i="6"/>
  <c r="AO37" i="6"/>
  <c r="I37" i="4" s="1"/>
  <c r="AI42" i="6"/>
  <c r="AO42" i="6"/>
  <c r="I42" i="4" s="1"/>
  <c r="AI38" i="6"/>
  <c r="AO38" i="6"/>
  <c r="I38" i="4" s="1"/>
  <c r="AI36" i="6"/>
  <c r="AO36" i="6"/>
  <c r="I36" i="4" s="1"/>
  <c r="AI43" i="6"/>
  <c r="AO43" i="6"/>
  <c r="I43" i="4" s="1"/>
  <c r="AI204" i="6"/>
  <c r="AO204" i="6"/>
  <c r="I204" i="4" s="1"/>
  <c r="AI194" i="6"/>
  <c r="AO194" i="6"/>
  <c r="I194" i="4" s="1"/>
  <c r="AI191" i="6"/>
  <c r="AO191" i="6"/>
  <c r="I191" i="4" s="1"/>
  <c r="AI193" i="6"/>
  <c r="AO193" i="6"/>
  <c r="I193" i="4" s="1"/>
  <c r="AI196" i="6"/>
  <c r="AI200" i="6"/>
  <c r="AO200" i="6"/>
  <c r="I200" i="4" s="1"/>
  <c r="AI58" i="6"/>
  <c r="AO58" i="6"/>
  <c r="I58" i="4" s="1"/>
  <c r="AI92" i="6"/>
  <c r="AO92" i="6"/>
  <c r="I92" i="4" s="1"/>
  <c r="AI91" i="6"/>
  <c r="AO91" i="6"/>
  <c r="I91" i="4" s="1"/>
  <c r="AI186" i="6"/>
  <c r="AO186" i="6"/>
  <c r="I186" i="4" s="1"/>
  <c r="AO82" i="6"/>
  <c r="I82" i="4" s="1"/>
  <c r="AI78" i="6"/>
  <c r="AO78" i="6"/>
  <c r="I78" i="4" s="1"/>
  <c r="AI109" i="6"/>
  <c r="AO109" i="6"/>
  <c r="I109" i="4" s="1"/>
  <c r="AI120" i="6"/>
  <c r="AO120" i="6"/>
  <c r="I120" i="4" s="1"/>
  <c r="AI65" i="6"/>
  <c r="AO65" i="6"/>
  <c r="I65" i="4" s="1"/>
  <c r="AI9" i="6"/>
  <c r="AO9" i="6"/>
  <c r="I9" i="4" s="1"/>
  <c r="AI64" i="6"/>
  <c r="AO64" i="6"/>
  <c r="I64" i="4" s="1"/>
  <c r="AI73" i="6"/>
  <c r="AO73" i="6"/>
  <c r="I73" i="4" s="1"/>
  <c r="AO69" i="6"/>
  <c r="I69" i="4" s="1"/>
  <c r="AI68" i="6"/>
  <c r="AO68" i="6"/>
  <c r="I68" i="4" s="1"/>
  <c r="AI5" i="6"/>
  <c r="AO5" i="6"/>
  <c r="I5" i="4" s="1"/>
  <c r="AI6" i="6"/>
  <c r="AO6" i="6"/>
  <c r="I6" i="4" s="1"/>
  <c r="AI84" i="6"/>
  <c r="AO84" i="6"/>
  <c r="I84" i="4" s="1"/>
  <c r="AI59" i="6"/>
  <c r="AO59" i="6"/>
  <c r="I59" i="4" s="1"/>
  <c r="AI11" i="6"/>
  <c r="AO11" i="6"/>
  <c r="I11" i="4" s="1"/>
  <c r="AI70" i="6"/>
  <c r="AO70" i="6"/>
  <c r="I70" i="4" s="1"/>
  <c r="AI98" i="6"/>
  <c r="AO98" i="6"/>
  <c r="I98" i="4" s="1"/>
  <c r="AI96" i="6"/>
  <c r="AO96" i="6"/>
  <c r="I96" i="4" s="1"/>
  <c r="AI97" i="6"/>
  <c r="AO97" i="6"/>
  <c r="I97" i="4" s="1"/>
  <c r="AI101" i="6"/>
  <c r="AO101" i="6"/>
  <c r="I101" i="4" s="1"/>
  <c r="AI74" i="6"/>
  <c r="AO74" i="6"/>
  <c r="I74" i="4" s="1"/>
  <c r="AI4" i="6"/>
  <c r="AO4" i="6"/>
  <c r="I4" i="4" s="1"/>
  <c r="AI89" i="6"/>
  <c r="AO89" i="6"/>
  <c r="I89" i="4" s="1"/>
  <c r="AI90" i="6"/>
  <c r="AO90" i="6"/>
  <c r="I90" i="4" s="1"/>
  <c r="AI67" i="6"/>
  <c r="AO67" i="6"/>
  <c r="I67" i="4" s="1"/>
  <c r="AI88" i="6"/>
  <c r="AO88" i="6"/>
  <c r="I88" i="4" s="1"/>
  <c r="AI85" i="6"/>
  <c r="AO85" i="6"/>
  <c r="I85" i="4" s="1"/>
  <c r="AI95" i="6"/>
  <c r="AO95" i="6"/>
  <c r="I95" i="4" s="1"/>
  <c r="AI93" i="6"/>
  <c r="AO93" i="6"/>
  <c r="I93" i="4" s="1"/>
  <c r="AI106" i="6"/>
  <c r="AO106" i="6"/>
  <c r="I106" i="4" s="1"/>
  <c r="AI108" i="6"/>
  <c r="AO108" i="6"/>
  <c r="I108" i="4" s="1"/>
  <c r="AI99" i="6"/>
  <c r="AO99" i="6"/>
  <c r="I99" i="4" s="1"/>
  <c r="AI87" i="6"/>
  <c r="AO87" i="6"/>
  <c r="I87" i="4" s="1"/>
  <c r="AI13" i="6"/>
  <c r="AO13" i="6"/>
  <c r="I13" i="4" s="1"/>
  <c r="AI107" i="6"/>
  <c r="AO107" i="6"/>
  <c r="I107" i="4" s="1"/>
  <c r="AI17" i="6"/>
  <c r="AO17" i="6"/>
  <c r="I17" i="4" s="1"/>
  <c r="AI94" i="6"/>
  <c r="AO94" i="6"/>
  <c r="I94" i="4" s="1"/>
  <c r="AI187" i="6"/>
  <c r="AO187" i="6"/>
  <c r="I187" i="4" s="1"/>
  <c r="AI178" i="6"/>
  <c r="AO178" i="6"/>
  <c r="I178" i="4" s="1"/>
  <c r="AI114" i="6"/>
  <c r="AO114" i="6"/>
  <c r="I114" i="4" s="1"/>
  <c r="AO240" i="6"/>
  <c r="I240" i="4" s="1"/>
  <c r="AI53" i="6"/>
  <c r="AO53" i="6"/>
  <c r="I53" i="4" s="1"/>
  <c r="AI45" i="6"/>
  <c r="AO45" i="6"/>
  <c r="I45" i="4" s="1"/>
  <c r="AI56" i="6"/>
  <c r="AO56" i="6"/>
  <c r="I56" i="4" s="1"/>
  <c r="AI71" i="6"/>
  <c r="AO71" i="6"/>
  <c r="I71" i="4" s="1"/>
  <c r="AI203" i="6"/>
  <c r="AO203" i="6"/>
  <c r="I203" i="4" s="1"/>
  <c r="AI80" i="6"/>
  <c r="AO80" i="6"/>
  <c r="I80" i="4" s="1"/>
  <c r="AO77" i="6"/>
  <c r="I77" i="4" s="1"/>
  <c r="AI168" i="6"/>
  <c r="AI172" i="6"/>
  <c r="AO172" i="6"/>
  <c r="I172" i="4" s="1"/>
  <c r="AI119" i="6"/>
  <c r="AO119" i="6"/>
  <c r="I119" i="4" s="1"/>
  <c r="AI175" i="6"/>
  <c r="AO175" i="6"/>
  <c r="I175" i="4" s="1"/>
  <c r="AI148" i="6"/>
  <c r="AO148" i="6"/>
  <c r="I148" i="4" s="1"/>
  <c r="AI111" i="6"/>
  <c r="AO111" i="6"/>
  <c r="I111" i="4" s="1"/>
  <c r="AI192" i="6"/>
  <c r="AO192" i="6"/>
  <c r="I192" i="4" s="1"/>
  <c r="AI57" i="6"/>
  <c r="AO57" i="6"/>
  <c r="I57" i="4" s="1"/>
  <c r="AO66" i="6"/>
  <c r="I66" i="4" s="1"/>
  <c r="AO133" i="6"/>
  <c r="I133" i="4" s="1"/>
  <c r="AI213" i="6"/>
  <c r="AO213" i="6"/>
  <c r="I213" i="4" s="1"/>
  <c r="AI177" i="6"/>
  <c r="AO177" i="6"/>
  <c r="I177" i="4" s="1"/>
  <c r="AI241" i="6"/>
  <c r="AO241" i="6"/>
  <c r="I241" i="4" s="1"/>
  <c r="AI63" i="6"/>
  <c r="AO63" i="6"/>
  <c r="I63" i="4" s="1"/>
  <c r="AI238" i="6"/>
  <c r="AO238" i="6"/>
  <c r="I238" i="4" s="1"/>
  <c r="AI41" i="6"/>
  <c r="AO41" i="6"/>
  <c r="I41" i="4" s="1"/>
  <c r="AO140" i="6"/>
  <c r="I140" i="4" s="1"/>
  <c r="AO47" i="6"/>
  <c r="I47" i="4" s="1"/>
  <c r="AI153" i="6"/>
  <c r="AO153" i="6"/>
  <c r="I153" i="4" s="1"/>
  <c r="AI141" i="6"/>
  <c r="AO141" i="6"/>
  <c r="I141" i="4" s="1"/>
  <c r="AI28" i="6"/>
  <c r="AO28" i="6"/>
  <c r="I28" i="4" s="1"/>
  <c r="AI181" i="6"/>
  <c r="AO181" i="6"/>
  <c r="I181" i="4" s="1"/>
  <c r="AI169" i="6"/>
  <c r="AO169" i="6"/>
  <c r="I169" i="4" s="1"/>
  <c r="AI173" i="6"/>
  <c r="AO173" i="6"/>
  <c r="I173" i="4" s="1"/>
  <c r="AI174" i="6"/>
  <c r="AO174" i="6"/>
  <c r="I174" i="4" s="1"/>
  <c r="AI170" i="6"/>
  <c r="AO170" i="6"/>
  <c r="I170" i="4" s="1"/>
  <c r="AI171" i="6"/>
  <c r="AO171" i="6"/>
  <c r="I171" i="4" s="1"/>
  <c r="AI165" i="6"/>
  <c r="AO165" i="6"/>
  <c r="I165" i="4" s="1"/>
  <c r="AI166" i="6"/>
  <c r="AO166" i="6"/>
  <c r="I166" i="4" s="1"/>
  <c r="AO167" i="6"/>
  <c r="I167" i="4" s="1"/>
  <c r="AI132" i="6"/>
  <c r="AO132" i="6"/>
  <c r="I132" i="4" s="1"/>
  <c r="AI117" i="6"/>
  <c r="AO117" i="6"/>
  <c r="I117" i="4" s="1"/>
  <c r="AI116" i="6"/>
  <c r="AO116" i="6"/>
  <c r="I116" i="4" s="1"/>
  <c r="AO182" i="6"/>
  <c r="I182" i="4" s="1"/>
  <c r="AI115" i="6"/>
  <c r="AO115" i="6"/>
  <c r="I115" i="4" s="1"/>
  <c r="AI113" i="6"/>
  <c r="AO113" i="6"/>
  <c r="I113" i="4" s="1"/>
  <c r="AI118" i="6"/>
  <c r="AO118" i="6"/>
  <c r="I118" i="4" s="1"/>
  <c r="AI185" i="6"/>
  <c r="AO185" i="6"/>
  <c r="I185" i="4" s="1"/>
  <c r="AI179" i="6"/>
  <c r="AO179" i="6"/>
  <c r="I179" i="4" s="1"/>
  <c r="AO184" i="6"/>
  <c r="I184" i="4" s="1"/>
  <c r="AI127" i="6"/>
  <c r="AO127" i="6"/>
  <c r="I127" i="4" s="1"/>
  <c r="AO147" i="6"/>
  <c r="I147" i="4" s="1"/>
  <c r="AO86" i="6"/>
  <c r="I86" i="4" s="1"/>
  <c r="AO155" i="6"/>
  <c r="I155" i="4" s="1"/>
  <c r="AI12" i="6"/>
  <c r="AO12" i="6"/>
  <c r="I12" i="4" s="1"/>
  <c r="AI164" i="6"/>
  <c r="AO164" i="6"/>
  <c r="I164" i="4" s="1"/>
  <c r="AI54" i="6"/>
  <c r="AO54" i="6"/>
  <c r="I54" i="4" s="1"/>
  <c r="AI134" i="6"/>
  <c r="AO134" i="6"/>
  <c r="I134" i="4" s="1"/>
  <c r="AI130" i="6"/>
  <c r="AO130" i="6"/>
  <c r="I130" i="4" s="1"/>
  <c r="AO139" i="6"/>
  <c r="I139" i="4" s="1"/>
  <c r="AI51" i="6"/>
  <c r="AO51" i="6"/>
  <c r="I51" i="4" s="1"/>
  <c r="AO55" i="6"/>
  <c r="I55" i="4" s="1"/>
  <c r="AO81" i="6"/>
  <c r="I81" i="4" s="1"/>
  <c r="AI214" i="6"/>
  <c r="AO214" i="6"/>
  <c r="I214" i="4" s="1"/>
  <c r="AI27" i="6"/>
  <c r="AO27" i="6"/>
  <c r="I27" i="4" s="1"/>
  <c r="AI22" i="6"/>
  <c r="AO22" i="6"/>
  <c r="I22" i="4" s="1"/>
  <c r="AO19" i="6"/>
  <c r="I19" i="4" s="1"/>
  <c r="AI239" i="6"/>
  <c r="AO239" i="6"/>
  <c r="I239" i="4" s="1"/>
  <c r="AI145" i="6"/>
  <c r="AI18" i="6"/>
  <c r="AO18" i="6"/>
  <c r="I18" i="4" s="1"/>
  <c r="AI158" i="6"/>
  <c r="AO158" i="6"/>
  <c r="I158" i="4" s="1"/>
  <c r="AI163" i="6"/>
  <c r="AO163" i="6"/>
  <c r="I163" i="4" s="1"/>
  <c r="AI144" i="6"/>
  <c r="AO144" i="6"/>
  <c r="I144" i="4" s="1"/>
  <c r="AI146" i="6"/>
  <c r="AO146" i="6"/>
  <c r="I146" i="4" s="1"/>
  <c r="AI157" i="6"/>
  <c r="AO157" i="6"/>
  <c r="I157" i="4" s="1"/>
  <c r="AI162" i="6"/>
  <c r="AO162" i="6"/>
  <c r="I162" i="4" s="1"/>
  <c r="AI159" i="6"/>
  <c r="AO159" i="6"/>
  <c r="I159" i="4" s="1"/>
  <c r="AI14" i="6"/>
  <c r="AO14" i="6"/>
  <c r="I14" i="4" s="1"/>
  <c r="AI15" i="6"/>
  <c r="AO15" i="6"/>
  <c r="I15" i="4" s="1"/>
  <c r="AI16" i="6"/>
  <c r="AO16" i="6"/>
  <c r="I16" i="4" s="1"/>
  <c r="AI143" i="6"/>
  <c r="AO143" i="6"/>
  <c r="I143" i="4" s="1"/>
  <c r="AI49" i="6"/>
  <c r="AO49" i="6"/>
  <c r="I49" i="4" s="1"/>
  <c r="AI30" i="6"/>
  <c r="AO30" i="6"/>
  <c r="I30" i="4" s="1"/>
  <c r="AI123" i="6"/>
  <c r="AO123" i="6"/>
  <c r="I123" i="4" s="1"/>
  <c r="AI137" i="6"/>
  <c r="AO137" i="6"/>
  <c r="I137" i="4" s="1"/>
  <c r="AI156" i="6"/>
  <c r="AO156" i="6"/>
  <c r="I156" i="4" s="1"/>
  <c r="AI104" i="6"/>
  <c r="AO104" i="6"/>
  <c r="I104" i="4" s="1"/>
  <c r="AI29" i="6"/>
  <c r="AO29" i="6"/>
  <c r="I29" i="4" s="1"/>
  <c r="AI212" i="6"/>
  <c r="AO212" i="6"/>
  <c r="I212" i="4" s="1"/>
  <c r="AI216" i="6"/>
  <c r="AO216" i="6"/>
  <c r="I216" i="4" s="1"/>
  <c r="AI26" i="6"/>
  <c r="AO26" i="6"/>
  <c r="I26" i="4" s="1"/>
  <c r="AI72" i="6"/>
  <c r="AO72" i="6"/>
  <c r="I72" i="4" s="1"/>
  <c r="AI219" i="6"/>
  <c r="AO219" i="6"/>
  <c r="I219" i="4" s="1"/>
  <c r="AI231" i="6"/>
  <c r="AO231" i="6"/>
  <c r="I231" i="4" s="1"/>
  <c r="AI25" i="6"/>
  <c r="AO25" i="6"/>
  <c r="I25" i="4" s="1"/>
  <c r="AI44" i="6"/>
  <c r="AO44" i="6"/>
  <c r="I44" i="4" s="1"/>
  <c r="AI195" i="6"/>
  <c r="AO195" i="6"/>
  <c r="I195" i="4" s="1"/>
  <c r="AI199" i="6"/>
  <c r="AO199" i="6"/>
  <c r="I199" i="4" s="1"/>
  <c r="AI105" i="6"/>
  <c r="AO105" i="6"/>
  <c r="I105" i="4" s="1"/>
  <c r="AI110" i="6"/>
  <c r="AO110" i="6"/>
  <c r="I110" i="4" s="1"/>
  <c r="AI202" i="6"/>
  <c r="AO202" i="6"/>
  <c r="I202" i="4" s="1"/>
  <c r="AI61" i="6"/>
  <c r="AO61" i="6"/>
  <c r="I61" i="4" s="1"/>
  <c r="AI102" i="6"/>
  <c r="AO102" i="6"/>
  <c r="I102" i="4" s="1"/>
  <c r="AI138" i="6"/>
  <c r="AO138" i="6"/>
  <c r="I138" i="4" s="1"/>
  <c r="AI60" i="6"/>
  <c r="AO60" i="6"/>
  <c r="I60" i="4" s="1"/>
  <c r="AI183" i="6"/>
  <c r="AO183" i="6"/>
  <c r="I183" i="4" s="1"/>
  <c r="AI152" i="6"/>
  <c r="AO152" i="6"/>
  <c r="I152" i="4" s="1"/>
  <c r="AI52" i="6"/>
  <c r="AO52" i="6"/>
  <c r="I52" i="4" s="1"/>
  <c r="AI50" i="6"/>
  <c r="AO50" i="6"/>
  <c r="I50" i="4" s="1"/>
  <c r="AI7" i="6"/>
  <c r="AO7" i="6"/>
  <c r="I7" i="4" s="1"/>
  <c r="AI48" i="6"/>
  <c r="AO48" i="6"/>
  <c r="I48" i="4" s="1"/>
  <c r="AI46" i="6"/>
  <c r="AO46" i="6"/>
  <c r="I46" i="4" s="1"/>
  <c r="AI100" i="6"/>
  <c r="AO100" i="6"/>
  <c r="I100" i="4" s="1"/>
  <c r="AI188" i="6"/>
  <c r="AO188" i="6"/>
  <c r="I188" i="4" s="1"/>
  <c r="AI232" i="6"/>
  <c r="AO232" i="6"/>
  <c r="I232" i="4" s="1"/>
  <c r="AI233" i="6"/>
  <c r="AO233" i="6"/>
  <c r="I233" i="4" s="1"/>
  <c r="AI160" i="6"/>
  <c r="AO160" i="6"/>
  <c r="I160" i="4" s="1"/>
  <c r="AI75" i="6"/>
  <c r="AO75" i="6"/>
  <c r="I75" i="4" s="1"/>
  <c r="AI79" i="6"/>
  <c r="AO79" i="6"/>
  <c r="I79" i="4" s="1"/>
  <c r="AI161" i="6"/>
  <c r="AO161" i="6"/>
  <c r="I161" i="4" s="1"/>
  <c r="AI230" i="6"/>
  <c r="AO230" i="6"/>
  <c r="I230" i="4" s="1"/>
  <c r="AI136" i="6"/>
  <c r="AO136" i="6"/>
  <c r="I136" i="4" s="1"/>
  <c r="AI154" i="6"/>
  <c r="AO154" i="6"/>
  <c r="I154" i="4" s="1"/>
  <c r="AI8" i="6"/>
  <c r="AO8" i="6"/>
  <c r="I8" i="4" s="1"/>
  <c r="AI40" i="6"/>
  <c r="AO40" i="6"/>
  <c r="I40" i="4" s="1"/>
  <c r="AI129" i="6"/>
  <c r="AO129" i="6"/>
  <c r="I129" i="4" s="1"/>
  <c r="AI112" i="6"/>
  <c r="AO112" i="6"/>
  <c r="I112" i="4" s="1"/>
  <c r="AI103" i="6"/>
  <c r="AO103" i="6"/>
  <c r="I103" i="4" s="1"/>
  <c r="AI149" i="6"/>
  <c r="AO149" i="6"/>
  <c r="I149" i="4" s="1"/>
  <c r="AI150" i="6"/>
  <c r="AO150" i="6"/>
  <c r="I150" i="4" s="1"/>
  <c r="AI121" i="6"/>
  <c r="AI131" i="6"/>
  <c r="AO131" i="6"/>
  <c r="I131" i="4" s="1"/>
  <c r="AI180" i="6"/>
  <c r="AO180" i="6"/>
  <c r="I180" i="4" s="1"/>
  <c r="AI135" i="6"/>
  <c r="AO135" i="6"/>
  <c r="I135" i="4" s="1"/>
  <c r="AI24" i="6"/>
  <c r="AO24" i="6"/>
  <c r="I24" i="4" s="1"/>
  <c r="AI142" i="6"/>
  <c r="AI83" i="6"/>
  <c r="AO83" i="6"/>
  <c r="I83" i="4" s="1"/>
  <c r="AI10" i="6"/>
  <c r="AO10" i="6"/>
  <c r="I10" i="4" s="1"/>
  <c r="AI151" i="6"/>
  <c r="AO151" i="6"/>
  <c r="I151" i="4" s="1"/>
  <c r="AO189" i="6"/>
  <c r="I189" i="4" s="1"/>
  <c r="AO218" i="6"/>
  <c r="I218" i="4" s="1"/>
  <c r="AI226" i="6"/>
  <c r="AO226" i="6"/>
  <c r="I226" i="4" s="1"/>
  <c r="AI223" i="6"/>
  <c r="AO223" i="6"/>
  <c r="I223" i="4" s="1"/>
  <c r="AO221" i="6"/>
  <c r="I221" i="4" s="1"/>
  <c r="AI189" i="6" l="1"/>
  <c r="AI221" i="6"/>
  <c r="AI218" i="6"/>
  <c r="AI139" i="6"/>
  <c r="AI240" i="6"/>
  <c r="AI47" i="6"/>
  <c r="AI82" i="6"/>
  <c r="AI167" i="6"/>
  <c r="AI86" i="6"/>
  <c r="AI140" i="6"/>
  <c r="AI215" i="6"/>
  <c r="AI69" i="6"/>
  <c r="AI205" i="6"/>
  <c r="AI184" i="6"/>
  <c r="AI66" i="6"/>
  <c r="AI77" i="6"/>
  <c r="AI155" i="6"/>
  <c r="AI55" i="6"/>
  <c r="AI81" i="6"/>
  <c r="AI19" i="6"/>
  <c r="AI147" i="6"/>
  <c r="AI176" i="6"/>
  <c r="AI182" i="6"/>
  <c r="AI133" i="6"/>
  <c r="H241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6" i="4"/>
  <c r="H207" i="4"/>
  <c r="H205" i="4"/>
  <c r="H204" i="4"/>
  <c r="H203" i="4"/>
  <c r="H202" i="4"/>
  <c r="H201" i="4"/>
  <c r="H200" i="4"/>
  <c r="H199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3" i="4"/>
  <c r="H104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0" i="4"/>
  <c r="H39" i="4"/>
  <c r="H38" i="4"/>
  <c r="H37" i="4"/>
  <c r="H36" i="4"/>
  <c r="H35" i="4"/>
  <c r="H41" i="4"/>
  <c r="H34" i="4"/>
  <c r="H33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AJ4" i="6"/>
  <c r="H4" i="4" s="1"/>
  <c r="AC45" i="6" l="1"/>
  <c r="AD45" i="6" s="1"/>
  <c r="AA45" i="6"/>
  <c r="AB45" i="6" s="1"/>
  <c r="AC9" i="6"/>
  <c r="AD9" i="6" s="1"/>
  <c r="AA9" i="6"/>
  <c r="AB9" i="6" s="1"/>
  <c r="AC17" i="6"/>
  <c r="AD17" i="6" s="1"/>
  <c r="AA17" i="6"/>
  <c r="AB17" i="6" s="1"/>
  <c r="AC25" i="6"/>
  <c r="AD25" i="6" s="1"/>
  <c r="J25" i="4" s="1"/>
  <c r="AA25" i="6"/>
  <c r="AB25" i="6" s="1"/>
  <c r="AC41" i="6"/>
  <c r="AD41" i="6" s="1"/>
  <c r="AA41" i="6"/>
  <c r="AB41" i="6" s="1"/>
  <c r="AA43" i="6"/>
  <c r="AB43" i="6" s="1"/>
  <c r="AC43" i="6"/>
  <c r="AD43" i="6" s="1"/>
  <c r="AC51" i="6"/>
  <c r="AD51" i="6" s="1"/>
  <c r="AA51" i="6"/>
  <c r="AB51" i="6" s="1"/>
  <c r="AC59" i="6"/>
  <c r="AD59" i="6" s="1"/>
  <c r="J59" i="4" s="1"/>
  <c r="AA59" i="6"/>
  <c r="AB59" i="6" s="1"/>
  <c r="AA67" i="6"/>
  <c r="AB67" i="6" s="1"/>
  <c r="AC67" i="6"/>
  <c r="AD67" i="6" s="1"/>
  <c r="AC75" i="6"/>
  <c r="AD75" i="6" s="1"/>
  <c r="AA75" i="6"/>
  <c r="AB75" i="6" s="1"/>
  <c r="AC83" i="6"/>
  <c r="AD83" i="6" s="1"/>
  <c r="AA83" i="6"/>
  <c r="AB83" i="6" s="1"/>
  <c r="AC91" i="6"/>
  <c r="AD91" i="6" s="1"/>
  <c r="J91" i="4" s="1"/>
  <c r="AA91" i="6"/>
  <c r="AB91" i="6" s="1"/>
  <c r="AC99" i="6"/>
  <c r="AD99" i="6" s="1"/>
  <c r="AA99" i="6"/>
  <c r="AB99" i="6" s="1"/>
  <c r="AC107" i="6"/>
  <c r="AD107" i="6" s="1"/>
  <c r="AA107" i="6"/>
  <c r="AB107" i="6" s="1"/>
  <c r="AC115" i="6"/>
  <c r="AD115" i="6" s="1"/>
  <c r="AA115" i="6"/>
  <c r="AB115" i="6" s="1"/>
  <c r="AC123" i="6"/>
  <c r="AD123" i="6" s="1"/>
  <c r="J123" i="4" s="1"/>
  <c r="AA123" i="6"/>
  <c r="AB123" i="6" s="1"/>
  <c r="AC131" i="6"/>
  <c r="AD131" i="6" s="1"/>
  <c r="AA131" i="6"/>
  <c r="AB131" i="6" s="1"/>
  <c r="AC139" i="6"/>
  <c r="AD139" i="6" s="1"/>
  <c r="AA139" i="6"/>
  <c r="AB139" i="6" s="1"/>
  <c r="AC147" i="6"/>
  <c r="AD147" i="6" s="1"/>
  <c r="AA147" i="6"/>
  <c r="AB147" i="6" s="1"/>
  <c r="AC155" i="6"/>
  <c r="AD155" i="6" s="1"/>
  <c r="J155" i="4" s="1"/>
  <c r="AA155" i="6"/>
  <c r="AB155" i="6" s="1"/>
  <c r="AA163" i="6"/>
  <c r="AB163" i="6" s="1"/>
  <c r="AC163" i="6"/>
  <c r="AD163" i="6" s="1"/>
  <c r="AC171" i="6"/>
  <c r="AD171" i="6" s="1"/>
  <c r="AA171" i="6"/>
  <c r="AB171" i="6" s="1"/>
  <c r="AC179" i="6"/>
  <c r="AD179" i="6" s="1"/>
  <c r="AA179" i="6"/>
  <c r="AB179" i="6" s="1"/>
  <c r="AA187" i="6"/>
  <c r="AB187" i="6" s="1"/>
  <c r="AC187" i="6"/>
  <c r="AD187" i="6" s="1"/>
  <c r="J187" i="4" s="1"/>
  <c r="AC195" i="6"/>
  <c r="AD195" i="6" s="1"/>
  <c r="AA195" i="6"/>
  <c r="AB195" i="6" s="1"/>
  <c r="AA204" i="6"/>
  <c r="AB204" i="6" s="1"/>
  <c r="AC204" i="6"/>
  <c r="AD204" i="6" s="1"/>
  <c r="J204" i="4" s="1"/>
  <c r="AC212" i="6"/>
  <c r="AD212" i="6" s="1"/>
  <c r="J212" i="4" s="1"/>
  <c r="AA212" i="6"/>
  <c r="AB212" i="6" s="1"/>
  <c r="AC220" i="6"/>
  <c r="AD220" i="6" s="1"/>
  <c r="J220" i="4" s="1"/>
  <c r="AA220" i="6"/>
  <c r="AB220" i="6" s="1"/>
  <c r="AA228" i="6"/>
  <c r="AB228" i="6" s="1"/>
  <c r="AC228" i="6"/>
  <c r="AD228" i="6" s="1"/>
  <c r="AC236" i="6"/>
  <c r="AD236" i="6" s="1"/>
  <c r="AA236" i="6"/>
  <c r="AB236" i="6" s="1"/>
  <c r="AC36" i="6"/>
  <c r="AD36" i="6" s="1"/>
  <c r="J36" i="4" s="1"/>
  <c r="AA36" i="6"/>
  <c r="AB36" i="6" s="1"/>
  <c r="AA10" i="6"/>
  <c r="AB10" i="6" s="1"/>
  <c r="AC10" i="6"/>
  <c r="AD10" i="6" s="1"/>
  <c r="J10" i="4" s="1"/>
  <c r="AC18" i="6"/>
  <c r="AD18" i="6" s="1"/>
  <c r="AA18" i="6"/>
  <c r="AB18" i="6" s="1"/>
  <c r="AC26" i="6"/>
  <c r="AD26" i="6" s="1"/>
  <c r="AA26" i="6"/>
  <c r="AB26" i="6" s="1"/>
  <c r="AC35" i="6"/>
  <c r="AD35" i="6" s="1"/>
  <c r="J35" i="4" s="1"/>
  <c r="AA35" i="6"/>
  <c r="AB35" i="6" s="1"/>
  <c r="AC44" i="6"/>
  <c r="AD44" i="6" s="1"/>
  <c r="J44" i="4" s="1"/>
  <c r="AA44" i="6"/>
  <c r="AB44" i="6" s="1"/>
  <c r="AA52" i="6"/>
  <c r="AB52" i="6" s="1"/>
  <c r="AC52" i="6"/>
  <c r="AD52" i="6" s="1"/>
  <c r="AC60" i="6"/>
  <c r="AD60" i="6" s="1"/>
  <c r="AA60" i="6"/>
  <c r="AB60" i="6" s="1"/>
  <c r="AC68" i="6"/>
  <c r="AD68" i="6" s="1"/>
  <c r="J68" i="4" s="1"/>
  <c r="AA68" i="6"/>
  <c r="AB68" i="6" s="1"/>
  <c r="AC76" i="6"/>
  <c r="AD76" i="6" s="1"/>
  <c r="J76" i="4" s="1"/>
  <c r="AA76" i="6"/>
  <c r="AB76" i="6" s="1"/>
  <c r="AA84" i="6"/>
  <c r="AB84" i="6" s="1"/>
  <c r="AC84" i="6"/>
  <c r="AD84" i="6" s="1"/>
  <c r="AC92" i="6"/>
  <c r="AD92" i="6" s="1"/>
  <c r="AA92" i="6"/>
  <c r="AB92" i="6" s="1"/>
  <c r="AA100" i="6"/>
  <c r="AB100" i="6" s="1"/>
  <c r="AC100" i="6"/>
  <c r="AD100" i="6" s="1"/>
  <c r="J100" i="4" s="1"/>
  <c r="AC108" i="6"/>
  <c r="AD108" i="6" s="1"/>
  <c r="J108" i="4" s="1"/>
  <c r="AA108" i="6"/>
  <c r="AB108" i="6" s="1"/>
  <c r="AC116" i="6"/>
  <c r="AD116" i="6" s="1"/>
  <c r="AA116" i="6"/>
  <c r="AB116" i="6" s="1"/>
  <c r="AC124" i="6"/>
  <c r="AD124" i="6" s="1"/>
  <c r="AA124" i="6"/>
  <c r="AB124" i="6" s="1"/>
  <c r="AC132" i="6"/>
  <c r="AD132" i="6" s="1"/>
  <c r="J132" i="4" s="1"/>
  <c r="AA132" i="6"/>
  <c r="AB132" i="6" s="1"/>
  <c r="AC140" i="6"/>
  <c r="AD140" i="6" s="1"/>
  <c r="J140" i="4" s="1"/>
  <c r="AA140" i="6"/>
  <c r="AB140" i="6" s="1"/>
  <c r="AC148" i="6"/>
  <c r="AD148" i="6" s="1"/>
  <c r="AA148" i="6"/>
  <c r="AB148" i="6" s="1"/>
  <c r="AC156" i="6"/>
  <c r="AD156" i="6" s="1"/>
  <c r="AA156" i="6"/>
  <c r="AB156" i="6" s="1"/>
  <c r="AA164" i="6"/>
  <c r="AB164" i="6" s="1"/>
  <c r="AC164" i="6"/>
  <c r="AD164" i="6" s="1"/>
  <c r="J164" i="4" s="1"/>
  <c r="AC172" i="6"/>
  <c r="AD172" i="6" s="1"/>
  <c r="J172" i="4" s="1"/>
  <c r="AA172" i="6"/>
  <c r="AB172" i="6" s="1"/>
  <c r="AC180" i="6"/>
  <c r="AD180" i="6" s="1"/>
  <c r="AA180" i="6"/>
  <c r="AB180" i="6" s="1"/>
  <c r="AA188" i="6"/>
  <c r="AB188" i="6" s="1"/>
  <c r="AC188" i="6"/>
  <c r="AD188" i="6" s="1"/>
  <c r="AC196" i="6"/>
  <c r="AD196" i="6" s="1"/>
  <c r="J196" i="4" s="1"/>
  <c r="AA196" i="6"/>
  <c r="AB196" i="6" s="1"/>
  <c r="AC205" i="6"/>
  <c r="AD205" i="6" s="1"/>
  <c r="J205" i="4" s="1"/>
  <c r="AA205" i="6"/>
  <c r="AB205" i="6" s="1"/>
  <c r="AC213" i="6"/>
  <c r="AD213" i="6" s="1"/>
  <c r="AA213" i="6"/>
  <c r="AB213" i="6" s="1"/>
  <c r="AC221" i="6"/>
  <c r="AD221" i="6" s="1"/>
  <c r="J221" i="4" s="1"/>
  <c r="AA221" i="6"/>
  <c r="AB221" i="6" s="1"/>
  <c r="AC229" i="6"/>
  <c r="AD229" i="6" s="1"/>
  <c r="J229" i="4" s="1"/>
  <c r="AA229" i="6"/>
  <c r="AB229" i="6" s="1"/>
  <c r="AA237" i="6"/>
  <c r="AB237" i="6" s="1"/>
  <c r="AC237" i="6"/>
  <c r="AD237" i="6" s="1"/>
  <c r="J237" i="4" s="1"/>
  <c r="AC11" i="6"/>
  <c r="AD11" i="6" s="1"/>
  <c r="AA11" i="6"/>
  <c r="AB11" i="6" s="1"/>
  <c r="AA77" i="6"/>
  <c r="AB77" i="6" s="1"/>
  <c r="AC77" i="6"/>
  <c r="AD77" i="6" s="1"/>
  <c r="AC109" i="6"/>
  <c r="AD109" i="6" s="1"/>
  <c r="J109" i="4" s="1"/>
  <c r="AA109" i="6"/>
  <c r="AB109" i="6" s="1"/>
  <c r="AC125" i="6"/>
  <c r="AD125" i="6" s="1"/>
  <c r="J125" i="4" s="1"/>
  <c r="AA125" i="6"/>
  <c r="AB125" i="6" s="1"/>
  <c r="AC157" i="6"/>
  <c r="AD157" i="6" s="1"/>
  <c r="AA157" i="6"/>
  <c r="AB157" i="6" s="1"/>
  <c r="AA173" i="6"/>
  <c r="AB173" i="6" s="1"/>
  <c r="AC173" i="6"/>
  <c r="AD173" i="6" s="1"/>
  <c r="J173" i="4" s="1"/>
  <c r="AA197" i="6"/>
  <c r="AB197" i="6" s="1"/>
  <c r="AC197" i="6"/>
  <c r="AD197" i="6" s="1"/>
  <c r="AA238" i="6"/>
  <c r="AB238" i="6" s="1"/>
  <c r="AC238" i="6"/>
  <c r="AD238" i="6" s="1"/>
  <c r="J238" i="4" s="1"/>
  <c r="AC12" i="6"/>
  <c r="AD12" i="6" s="1"/>
  <c r="AA12" i="6"/>
  <c r="AB12" i="6" s="1"/>
  <c r="AC20" i="6"/>
  <c r="AD20" i="6" s="1"/>
  <c r="AA20" i="6"/>
  <c r="AB20" i="6" s="1"/>
  <c r="AC28" i="6"/>
  <c r="AD28" i="6" s="1"/>
  <c r="J28" i="4" s="1"/>
  <c r="AA28" i="6"/>
  <c r="AB28" i="6" s="1"/>
  <c r="AC37" i="6"/>
  <c r="AD37" i="6" s="1"/>
  <c r="J37" i="4" s="1"/>
  <c r="AA37" i="6"/>
  <c r="AB37" i="6" s="1"/>
  <c r="AA46" i="6"/>
  <c r="AB46" i="6" s="1"/>
  <c r="AC46" i="6"/>
  <c r="AD46" i="6" s="1"/>
  <c r="AC54" i="6"/>
  <c r="AD54" i="6" s="1"/>
  <c r="AA54" i="6"/>
  <c r="AB54" i="6" s="1"/>
  <c r="AC62" i="6"/>
  <c r="AD62" i="6" s="1"/>
  <c r="J62" i="4" s="1"/>
  <c r="AA62" i="6"/>
  <c r="AB62" i="6" s="1"/>
  <c r="AA70" i="6"/>
  <c r="AB70" i="6" s="1"/>
  <c r="AC70" i="6"/>
  <c r="AD70" i="6" s="1"/>
  <c r="J70" i="4" s="1"/>
  <c r="AC78" i="6"/>
  <c r="AD78" i="6" s="1"/>
  <c r="AA78" i="6"/>
  <c r="AB78" i="6" s="1"/>
  <c r="AC86" i="6"/>
  <c r="AD86" i="6" s="1"/>
  <c r="AA86" i="6"/>
  <c r="AB86" i="6" s="1"/>
  <c r="AC94" i="6"/>
  <c r="AD94" i="6" s="1"/>
  <c r="AA94" i="6"/>
  <c r="AB94" i="6" s="1"/>
  <c r="AC102" i="6"/>
  <c r="AD102" i="6" s="1"/>
  <c r="J102" i="4" s="1"/>
  <c r="AA102" i="6"/>
  <c r="AB102" i="6" s="1"/>
  <c r="AA110" i="6"/>
  <c r="AB110" i="6" s="1"/>
  <c r="AC110" i="6"/>
  <c r="AD110" i="6" s="1"/>
  <c r="AC118" i="6"/>
  <c r="AD118" i="6" s="1"/>
  <c r="AA118" i="6"/>
  <c r="AB118" i="6" s="1"/>
  <c r="AC126" i="6"/>
  <c r="AD126" i="6" s="1"/>
  <c r="AA126" i="6"/>
  <c r="AB126" i="6" s="1"/>
  <c r="AA134" i="6"/>
  <c r="AB134" i="6" s="1"/>
  <c r="AC134" i="6"/>
  <c r="AD134" i="6" s="1"/>
  <c r="J134" i="4" s="1"/>
  <c r="AC142" i="6"/>
  <c r="AD142" i="6" s="1"/>
  <c r="AA142" i="6"/>
  <c r="AB142" i="6" s="1"/>
  <c r="AA150" i="6"/>
  <c r="AB150" i="6" s="1"/>
  <c r="AC150" i="6"/>
  <c r="AD150" i="6" s="1"/>
  <c r="AC158" i="6"/>
  <c r="AD158" i="6" s="1"/>
  <c r="AA158" i="6"/>
  <c r="AB158" i="6" s="1"/>
  <c r="AC166" i="6"/>
  <c r="AD166" i="6" s="1"/>
  <c r="J166" i="4" s="1"/>
  <c r="AA166" i="6"/>
  <c r="AB166" i="6" s="1"/>
  <c r="AA174" i="6"/>
  <c r="AB174" i="6" s="1"/>
  <c r="AC174" i="6"/>
  <c r="AD174" i="6" s="1"/>
  <c r="AC182" i="6"/>
  <c r="AD182" i="6" s="1"/>
  <c r="AA182" i="6"/>
  <c r="AB182" i="6" s="1"/>
  <c r="AC190" i="6"/>
  <c r="AD190" i="6" s="1"/>
  <c r="AA190" i="6"/>
  <c r="AB190" i="6" s="1"/>
  <c r="AA199" i="6"/>
  <c r="AB199" i="6" s="1"/>
  <c r="AC199" i="6"/>
  <c r="AD199" i="6" s="1"/>
  <c r="J199" i="4" s="1"/>
  <c r="AC206" i="6"/>
  <c r="AD206" i="6" s="1"/>
  <c r="AA206" i="6"/>
  <c r="AB206" i="6" s="1"/>
  <c r="AC215" i="6"/>
  <c r="AD215" i="6" s="1"/>
  <c r="AA215" i="6"/>
  <c r="AB215" i="6" s="1"/>
  <c r="AC223" i="6"/>
  <c r="AD223" i="6" s="1"/>
  <c r="J223" i="4" s="1"/>
  <c r="AA223" i="6"/>
  <c r="AB223" i="6" s="1"/>
  <c r="AC231" i="6"/>
  <c r="AD231" i="6" s="1"/>
  <c r="J231" i="4" s="1"/>
  <c r="AA231" i="6"/>
  <c r="AB231" i="6" s="1"/>
  <c r="AC239" i="6"/>
  <c r="AD239" i="6" s="1"/>
  <c r="AA239" i="6"/>
  <c r="AB239" i="6" s="1"/>
  <c r="AC27" i="6"/>
  <c r="AD27" i="6" s="1"/>
  <c r="AA27" i="6"/>
  <c r="AB27" i="6" s="1"/>
  <c r="AC85" i="6"/>
  <c r="AD85" i="6" s="1"/>
  <c r="J85" i="4" s="1"/>
  <c r="AA85" i="6"/>
  <c r="AB85" i="6" s="1"/>
  <c r="AC93" i="6"/>
  <c r="AD93" i="6" s="1"/>
  <c r="J93" i="4" s="1"/>
  <c r="AA93" i="6"/>
  <c r="AB93" i="6" s="1"/>
  <c r="AC117" i="6"/>
  <c r="AD117" i="6" s="1"/>
  <c r="AA117" i="6"/>
  <c r="AB117" i="6" s="1"/>
  <c r="AC141" i="6"/>
  <c r="AD141" i="6" s="1"/>
  <c r="AA141" i="6"/>
  <c r="AB141" i="6" s="1"/>
  <c r="AC165" i="6"/>
  <c r="AD165" i="6" s="1"/>
  <c r="AA165" i="6"/>
  <c r="AB165" i="6" s="1"/>
  <c r="AC189" i="6"/>
  <c r="AD189" i="6" s="1"/>
  <c r="J189" i="4" s="1"/>
  <c r="AA189" i="6"/>
  <c r="AB189" i="6" s="1"/>
  <c r="AC214" i="6"/>
  <c r="AD214" i="6" s="1"/>
  <c r="AA214" i="6"/>
  <c r="AB214" i="6" s="1"/>
  <c r="AA222" i="6"/>
  <c r="AB222" i="6" s="1"/>
  <c r="AC222" i="6"/>
  <c r="AD222" i="6" s="1"/>
  <c r="AC5" i="6"/>
  <c r="AD5" i="6" s="1"/>
  <c r="J5" i="4" s="1"/>
  <c r="AA5" i="6"/>
  <c r="AB5" i="6" s="1"/>
  <c r="AA13" i="6"/>
  <c r="AB13" i="6" s="1"/>
  <c r="AC13" i="6"/>
  <c r="AD13" i="6" s="1"/>
  <c r="J13" i="4" s="1"/>
  <c r="AC21" i="6"/>
  <c r="AD21" i="6" s="1"/>
  <c r="AA21" i="6"/>
  <c r="AB21" i="6" s="1"/>
  <c r="AC29" i="6"/>
  <c r="AD29" i="6" s="1"/>
  <c r="AA29" i="6"/>
  <c r="AB29" i="6" s="1"/>
  <c r="AC38" i="6"/>
  <c r="AD38" i="6" s="1"/>
  <c r="AA38" i="6"/>
  <c r="AB38" i="6" s="1"/>
  <c r="AC47" i="6"/>
  <c r="AD47" i="6" s="1"/>
  <c r="J47" i="4" s="1"/>
  <c r="AA47" i="6"/>
  <c r="AB47" i="6" s="1"/>
  <c r="AC55" i="6"/>
  <c r="AD55" i="6" s="1"/>
  <c r="AA55" i="6"/>
  <c r="AB55" i="6" s="1"/>
  <c r="AA63" i="6"/>
  <c r="AB63" i="6" s="1"/>
  <c r="AC63" i="6"/>
  <c r="AD63" i="6" s="1"/>
  <c r="AC71" i="6"/>
  <c r="AD71" i="6" s="1"/>
  <c r="AA71" i="6"/>
  <c r="AB71" i="6" s="1"/>
  <c r="AC79" i="6"/>
  <c r="AD79" i="6" s="1"/>
  <c r="J79" i="4" s="1"/>
  <c r="AA79" i="6"/>
  <c r="AB79" i="6" s="1"/>
  <c r="AC87" i="6"/>
  <c r="AD87" i="6" s="1"/>
  <c r="AA87" i="6"/>
  <c r="AB87" i="6" s="1"/>
  <c r="AC95" i="6"/>
  <c r="AD95" i="6" s="1"/>
  <c r="AA95" i="6"/>
  <c r="AB95" i="6" s="1"/>
  <c r="AA104" i="6"/>
  <c r="AB104" i="6" s="1"/>
  <c r="AC104" i="6"/>
  <c r="AD104" i="6" s="1"/>
  <c r="J104" i="4" s="1"/>
  <c r="AC111" i="6"/>
  <c r="AD111" i="6" s="1"/>
  <c r="J111" i="4" s="1"/>
  <c r="AA111" i="6"/>
  <c r="AB111" i="6" s="1"/>
  <c r="AC119" i="6"/>
  <c r="AD119" i="6" s="1"/>
  <c r="AA119" i="6"/>
  <c r="AB119" i="6" s="1"/>
  <c r="AA127" i="6"/>
  <c r="AB127" i="6" s="1"/>
  <c r="AC127" i="6"/>
  <c r="AD127" i="6" s="1"/>
  <c r="AC135" i="6"/>
  <c r="AD135" i="6" s="1"/>
  <c r="J135" i="4" s="1"/>
  <c r="AA135" i="6"/>
  <c r="AB135" i="6" s="1"/>
  <c r="AA143" i="6"/>
  <c r="AB143" i="6" s="1"/>
  <c r="AC143" i="6"/>
  <c r="AD143" i="6" s="1"/>
  <c r="J143" i="4" s="1"/>
  <c r="AC151" i="6"/>
  <c r="AD151" i="6" s="1"/>
  <c r="AA151" i="6"/>
  <c r="AB151" i="6" s="1"/>
  <c r="AC159" i="6"/>
  <c r="AD159" i="6" s="1"/>
  <c r="AA159" i="6"/>
  <c r="AB159" i="6" s="1"/>
  <c r="AC167" i="6"/>
  <c r="AD167" i="6" s="1"/>
  <c r="J167" i="4" s="1"/>
  <c r="AA167" i="6"/>
  <c r="AB167" i="6" s="1"/>
  <c r="AC175" i="6"/>
  <c r="AD175" i="6" s="1"/>
  <c r="J175" i="4" s="1"/>
  <c r="AA175" i="6"/>
  <c r="AB175" i="6" s="1"/>
  <c r="AA183" i="6"/>
  <c r="AB183" i="6" s="1"/>
  <c r="AC183" i="6"/>
  <c r="AD183" i="6" s="1"/>
  <c r="AC191" i="6"/>
  <c r="AD191" i="6" s="1"/>
  <c r="AA191" i="6"/>
  <c r="AB191" i="6" s="1"/>
  <c r="AC200" i="6"/>
  <c r="AD200" i="6" s="1"/>
  <c r="J200" i="4" s="1"/>
  <c r="AA200" i="6"/>
  <c r="AB200" i="6" s="1"/>
  <c r="AC208" i="6"/>
  <c r="AD208" i="6" s="1"/>
  <c r="J208" i="4" s="1"/>
  <c r="AA208" i="6"/>
  <c r="AB208" i="6" s="1"/>
  <c r="AC216" i="6"/>
  <c r="AD216" i="6" s="1"/>
  <c r="AA216" i="6"/>
  <c r="AB216" i="6" s="1"/>
  <c r="AC224" i="6"/>
  <c r="AD224" i="6" s="1"/>
  <c r="AA224" i="6"/>
  <c r="AB224" i="6" s="1"/>
  <c r="AA232" i="6"/>
  <c r="AB232" i="6" s="1"/>
  <c r="AC232" i="6"/>
  <c r="AD232" i="6" s="1"/>
  <c r="J232" i="4" s="1"/>
  <c r="AC240" i="6"/>
  <c r="AD240" i="6" s="1"/>
  <c r="J240" i="4" s="1"/>
  <c r="AA240" i="6"/>
  <c r="AB240" i="6" s="1"/>
  <c r="AC19" i="6"/>
  <c r="AD19" i="6" s="1"/>
  <c r="AA19" i="6"/>
  <c r="AB19" i="6" s="1"/>
  <c r="AC69" i="6"/>
  <c r="AD69" i="6" s="1"/>
  <c r="AA69" i="6"/>
  <c r="AB69" i="6" s="1"/>
  <c r="AA101" i="6"/>
  <c r="AB101" i="6" s="1"/>
  <c r="AC101" i="6"/>
  <c r="AD101" i="6" s="1"/>
  <c r="J101" i="4" s="1"/>
  <c r="AC133" i="6"/>
  <c r="AD133" i="6" s="1"/>
  <c r="J133" i="4" s="1"/>
  <c r="AA133" i="6"/>
  <c r="AB133" i="6" s="1"/>
  <c r="AC149" i="6"/>
  <c r="AD149" i="6" s="1"/>
  <c r="AA149" i="6"/>
  <c r="AB149" i="6" s="1"/>
  <c r="AC181" i="6"/>
  <c r="AD181" i="6" s="1"/>
  <c r="AA181" i="6"/>
  <c r="AB181" i="6" s="1"/>
  <c r="AC207" i="6"/>
  <c r="AD207" i="6" s="1"/>
  <c r="J207" i="4" s="1"/>
  <c r="AA207" i="6"/>
  <c r="AB207" i="6" s="1"/>
  <c r="AC230" i="6"/>
  <c r="AD230" i="6" s="1"/>
  <c r="J230" i="4" s="1"/>
  <c r="AA230" i="6"/>
  <c r="AB230" i="6" s="1"/>
  <c r="AC6" i="6"/>
  <c r="AD6" i="6" s="1"/>
  <c r="AA6" i="6"/>
  <c r="AB6" i="6" s="1"/>
  <c r="AC14" i="6"/>
  <c r="AD14" i="6" s="1"/>
  <c r="AA14" i="6"/>
  <c r="AB14" i="6" s="1"/>
  <c r="AA22" i="6"/>
  <c r="AB22" i="6" s="1"/>
  <c r="AC22" i="6"/>
  <c r="AD22" i="6" s="1"/>
  <c r="J22" i="4" s="1"/>
  <c r="AC30" i="6"/>
  <c r="AD30" i="6" s="1"/>
  <c r="J30" i="4" s="1"/>
  <c r="AA30" i="6"/>
  <c r="AB30" i="6" s="1"/>
  <c r="AC39" i="6"/>
  <c r="AD39" i="6" s="1"/>
  <c r="AA39" i="6"/>
  <c r="AB39" i="6" s="1"/>
  <c r="AC48" i="6"/>
  <c r="AD48" i="6" s="1"/>
  <c r="AA48" i="6"/>
  <c r="AB48" i="6" s="1"/>
  <c r="AC56" i="6"/>
  <c r="AD56" i="6" s="1"/>
  <c r="J56" i="4" s="1"/>
  <c r="AA56" i="6"/>
  <c r="AB56" i="6" s="1"/>
  <c r="AA64" i="6"/>
  <c r="AB64" i="6" s="1"/>
  <c r="AC64" i="6"/>
  <c r="AD64" i="6" s="1"/>
  <c r="J64" i="4" s="1"/>
  <c r="AC72" i="6"/>
  <c r="AD72" i="6" s="1"/>
  <c r="AA72" i="6"/>
  <c r="AB72" i="6" s="1"/>
  <c r="AA80" i="6"/>
  <c r="AB80" i="6" s="1"/>
  <c r="AC80" i="6"/>
  <c r="AD80" i="6" s="1"/>
  <c r="AC88" i="6"/>
  <c r="AD88" i="6" s="1"/>
  <c r="AA88" i="6"/>
  <c r="AB88" i="6" s="1"/>
  <c r="AC96" i="6"/>
  <c r="AD96" i="6" s="1"/>
  <c r="J96" i="4" s="1"/>
  <c r="AA96" i="6"/>
  <c r="AB96" i="6" s="1"/>
  <c r="AA103" i="6"/>
  <c r="AB103" i="6" s="1"/>
  <c r="AC103" i="6"/>
  <c r="AD103" i="6" s="1"/>
  <c r="AC112" i="6"/>
  <c r="AD112" i="6" s="1"/>
  <c r="AA112" i="6"/>
  <c r="AB112" i="6" s="1"/>
  <c r="AA120" i="6"/>
  <c r="AB120" i="6" s="1"/>
  <c r="AC120" i="6"/>
  <c r="AD120" i="6" s="1"/>
  <c r="AC128" i="6"/>
  <c r="AD128" i="6" s="1"/>
  <c r="J128" i="4" s="1"/>
  <c r="AA128" i="6"/>
  <c r="AB128" i="6" s="1"/>
  <c r="AC136" i="6"/>
  <c r="AD136" i="6" s="1"/>
  <c r="AA136" i="6"/>
  <c r="AB136" i="6" s="1"/>
  <c r="AA144" i="6"/>
  <c r="AB144" i="6" s="1"/>
  <c r="AC144" i="6"/>
  <c r="AD144" i="6" s="1"/>
  <c r="J144" i="4" s="1"/>
  <c r="AC152" i="6"/>
  <c r="AD152" i="6" s="1"/>
  <c r="J152" i="4" s="1"/>
  <c r="AA152" i="6"/>
  <c r="AB152" i="6" s="1"/>
  <c r="AC160" i="6"/>
  <c r="AD160" i="6" s="1"/>
  <c r="J160" i="4" s="1"/>
  <c r="AA160" i="6"/>
  <c r="AB160" i="6" s="1"/>
  <c r="AC168" i="6"/>
  <c r="AD168" i="6" s="1"/>
  <c r="AA168" i="6"/>
  <c r="AB168" i="6" s="1"/>
  <c r="AC176" i="6"/>
  <c r="AD176" i="6" s="1"/>
  <c r="AA176" i="6"/>
  <c r="AB176" i="6" s="1"/>
  <c r="AA184" i="6"/>
  <c r="AB184" i="6" s="1"/>
  <c r="AC184" i="6"/>
  <c r="AD184" i="6" s="1"/>
  <c r="J184" i="4" s="1"/>
  <c r="AC192" i="6"/>
  <c r="AD192" i="6" s="1"/>
  <c r="J192" i="4" s="1"/>
  <c r="AA192" i="6"/>
  <c r="AB192" i="6" s="1"/>
  <c r="AC201" i="6"/>
  <c r="AD201" i="6" s="1"/>
  <c r="AA201" i="6"/>
  <c r="AB201" i="6" s="1"/>
  <c r="AC209" i="6"/>
  <c r="AD209" i="6" s="1"/>
  <c r="AA209" i="6"/>
  <c r="AB209" i="6" s="1"/>
  <c r="AC217" i="6"/>
  <c r="AD217" i="6" s="1"/>
  <c r="J217" i="4" s="1"/>
  <c r="AA217" i="6"/>
  <c r="AB217" i="6" s="1"/>
  <c r="AC225" i="6"/>
  <c r="AD225" i="6" s="1"/>
  <c r="J225" i="4" s="1"/>
  <c r="AA225" i="6"/>
  <c r="AB225" i="6" s="1"/>
  <c r="AC233" i="6"/>
  <c r="AD233" i="6" s="1"/>
  <c r="AA233" i="6"/>
  <c r="AB233" i="6" s="1"/>
  <c r="AA241" i="6"/>
  <c r="AB241" i="6" s="1"/>
  <c r="AC241" i="6"/>
  <c r="AD241" i="6" s="1"/>
  <c r="J241" i="4" s="1"/>
  <c r="AC53" i="6"/>
  <c r="AD53" i="6" s="1"/>
  <c r="J53" i="4" s="1"/>
  <c r="AA53" i="6"/>
  <c r="AB53" i="6" s="1"/>
  <c r="AA7" i="6"/>
  <c r="AB7" i="6" s="1"/>
  <c r="AC7" i="6"/>
  <c r="AD7" i="6" s="1"/>
  <c r="J7" i="4" s="1"/>
  <c r="AC15" i="6"/>
  <c r="AD15" i="6" s="1"/>
  <c r="AA15" i="6"/>
  <c r="AB15" i="6" s="1"/>
  <c r="AC23" i="6"/>
  <c r="AD23" i="6" s="1"/>
  <c r="AA23" i="6"/>
  <c r="AB23" i="6" s="1"/>
  <c r="AC33" i="6"/>
  <c r="AD33" i="6" s="1"/>
  <c r="J33" i="4" s="1"/>
  <c r="AA33" i="6"/>
  <c r="AB33" i="6" s="1"/>
  <c r="AA40" i="6"/>
  <c r="AB40" i="6" s="1"/>
  <c r="AC40" i="6"/>
  <c r="AD40" i="6" s="1"/>
  <c r="J40" i="4" s="1"/>
  <c r="AA49" i="6"/>
  <c r="AB49" i="6" s="1"/>
  <c r="AC49" i="6"/>
  <c r="AD49" i="6" s="1"/>
  <c r="AC57" i="6"/>
  <c r="AD57" i="6" s="1"/>
  <c r="AA57" i="6"/>
  <c r="AB57" i="6" s="1"/>
  <c r="AA65" i="6"/>
  <c r="AB65" i="6" s="1"/>
  <c r="AC65" i="6"/>
  <c r="AD65" i="6" s="1"/>
  <c r="J65" i="4" s="1"/>
  <c r="AC73" i="6"/>
  <c r="AD73" i="6" s="1"/>
  <c r="J73" i="4" s="1"/>
  <c r="AA73" i="6"/>
  <c r="AB73" i="6" s="1"/>
  <c r="AC81" i="6"/>
  <c r="AD81" i="6" s="1"/>
  <c r="AA81" i="6"/>
  <c r="AB81" i="6" s="1"/>
  <c r="AC89" i="6"/>
  <c r="AD89" i="6" s="1"/>
  <c r="AA89" i="6"/>
  <c r="AB89" i="6" s="1"/>
  <c r="AC97" i="6"/>
  <c r="AD97" i="6" s="1"/>
  <c r="J97" i="4" s="1"/>
  <c r="AA97" i="6"/>
  <c r="AB97" i="6" s="1"/>
  <c r="AC105" i="6"/>
  <c r="AD105" i="6" s="1"/>
  <c r="J105" i="4" s="1"/>
  <c r="AA105" i="6"/>
  <c r="AB105" i="6" s="1"/>
  <c r="AA113" i="6"/>
  <c r="AB113" i="6" s="1"/>
  <c r="AC113" i="6"/>
  <c r="AD113" i="6" s="1"/>
  <c r="AA121" i="6"/>
  <c r="AB121" i="6" s="1"/>
  <c r="AC121" i="6"/>
  <c r="AD121" i="6" s="1"/>
  <c r="J121" i="4" s="1"/>
  <c r="AC129" i="6"/>
  <c r="AD129" i="6" s="1"/>
  <c r="AA129" i="6"/>
  <c r="AB129" i="6" s="1"/>
  <c r="AC137" i="6"/>
  <c r="AD137" i="6" s="1"/>
  <c r="J137" i="4" s="1"/>
  <c r="AA137" i="6"/>
  <c r="AB137" i="6" s="1"/>
  <c r="AC145" i="6"/>
  <c r="AD145" i="6" s="1"/>
  <c r="AA145" i="6"/>
  <c r="AB145" i="6" s="1"/>
  <c r="AC153" i="6"/>
  <c r="AD153" i="6" s="1"/>
  <c r="AA153" i="6"/>
  <c r="AB153" i="6" s="1"/>
  <c r="AC161" i="6"/>
  <c r="AD161" i="6" s="1"/>
  <c r="J161" i="4" s="1"/>
  <c r="AA161" i="6"/>
  <c r="AB161" i="6" s="1"/>
  <c r="AC169" i="6"/>
  <c r="AD169" i="6" s="1"/>
  <c r="J169" i="4" s="1"/>
  <c r="AA169" i="6"/>
  <c r="AB169" i="6" s="1"/>
  <c r="AC177" i="6"/>
  <c r="AD177" i="6" s="1"/>
  <c r="AA177" i="6"/>
  <c r="AB177" i="6" s="1"/>
  <c r="AC185" i="6"/>
  <c r="AD185" i="6" s="1"/>
  <c r="AA185" i="6"/>
  <c r="AB185" i="6" s="1"/>
  <c r="AC193" i="6"/>
  <c r="AD193" i="6" s="1"/>
  <c r="J193" i="4" s="1"/>
  <c r="AA193" i="6"/>
  <c r="AB193" i="6" s="1"/>
  <c r="AC202" i="6"/>
  <c r="AD202" i="6" s="1"/>
  <c r="J202" i="4" s="1"/>
  <c r="AA202" i="6"/>
  <c r="AB202" i="6" s="1"/>
  <c r="AA210" i="6"/>
  <c r="AB210" i="6" s="1"/>
  <c r="AC210" i="6"/>
  <c r="AD210" i="6" s="1"/>
  <c r="AC218" i="6"/>
  <c r="AD218" i="6" s="1"/>
  <c r="AA218" i="6"/>
  <c r="AB218" i="6" s="1"/>
  <c r="AC226" i="6"/>
  <c r="AD226" i="6" s="1"/>
  <c r="J226" i="4" s="1"/>
  <c r="AA226" i="6"/>
  <c r="AB226" i="6" s="1"/>
  <c r="AA234" i="6"/>
  <c r="AB234" i="6" s="1"/>
  <c r="AC234" i="6"/>
  <c r="AD234" i="6" s="1"/>
  <c r="J234" i="4" s="1"/>
  <c r="AA61" i="6"/>
  <c r="AB61" i="6" s="1"/>
  <c r="AC61" i="6"/>
  <c r="AD61" i="6" s="1"/>
  <c r="AC8" i="6"/>
  <c r="AD8" i="6" s="1"/>
  <c r="AA8" i="6"/>
  <c r="AB8" i="6" s="1"/>
  <c r="AC16" i="6"/>
  <c r="AD16" i="6" s="1"/>
  <c r="J16" i="4" s="1"/>
  <c r="AA16" i="6"/>
  <c r="AB16" i="6" s="1"/>
  <c r="AC24" i="6"/>
  <c r="AD24" i="6" s="1"/>
  <c r="J24" i="4" s="1"/>
  <c r="AA24" i="6"/>
  <c r="AB24" i="6" s="1"/>
  <c r="AA34" i="6"/>
  <c r="AB34" i="6" s="1"/>
  <c r="AC34" i="6"/>
  <c r="AD34" i="6" s="1"/>
  <c r="AC42" i="6"/>
  <c r="AD42" i="6" s="1"/>
  <c r="AA42" i="6"/>
  <c r="AB42" i="6" s="1"/>
  <c r="AC50" i="6"/>
  <c r="AD50" i="6" s="1"/>
  <c r="J50" i="4" s="1"/>
  <c r="AA50" i="6"/>
  <c r="AB50" i="6" s="1"/>
  <c r="AA58" i="6"/>
  <c r="AB58" i="6" s="1"/>
  <c r="AC58" i="6"/>
  <c r="AD58" i="6" s="1"/>
  <c r="J58" i="4" s="1"/>
  <c r="AA66" i="6"/>
  <c r="AB66" i="6" s="1"/>
  <c r="AC66" i="6"/>
  <c r="AD66" i="6" s="1"/>
  <c r="AC74" i="6"/>
  <c r="AD74" i="6" s="1"/>
  <c r="AA74" i="6"/>
  <c r="AB74" i="6" s="1"/>
  <c r="AC82" i="6"/>
  <c r="AD82" i="6" s="1"/>
  <c r="J82" i="4" s="1"/>
  <c r="AA82" i="6"/>
  <c r="AB82" i="6" s="1"/>
  <c r="AC90" i="6"/>
  <c r="AD90" i="6" s="1"/>
  <c r="AA90" i="6"/>
  <c r="AB90" i="6" s="1"/>
  <c r="AC98" i="6"/>
  <c r="AD98" i="6" s="1"/>
  <c r="AA98" i="6"/>
  <c r="AB98" i="6" s="1"/>
  <c r="AC106" i="6"/>
  <c r="AD106" i="6" s="1"/>
  <c r="AA106" i="6"/>
  <c r="AB106" i="6" s="1"/>
  <c r="AA114" i="6"/>
  <c r="AB114" i="6" s="1"/>
  <c r="AC114" i="6"/>
  <c r="AD114" i="6" s="1"/>
  <c r="J114" i="4" s="1"/>
  <c r="AC122" i="6"/>
  <c r="AD122" i="6" s="1"/>
  <c r="J122" i="4" s="1"/>
  <c r="AA122" i="6"/>
  <c r="AB122" i="6" s="1"/>
  <c r="AA130" i="6"/>
  <c r="AB130" i="6" s="1"/>
  <c r="AC130" i="6"/>
  <c r="AD130" i="6" s="1"/>
  <c r="AC138" i="6"/>
  <c r="AD138" i="6" s="1"/>
  <c r="AA138" i="6"/>
  <c r="AB138" i="6" s="1"/>
  <c r="AC146" i="6"/>
  <c r="AD146" i="6" s="1"/>
  <c r="J146" i="4" s="1"/>
  <c r="AA146" i="6"/>
  <c r="AB146" i="6" s="1"/>
  <c r="AC154" i="6"/>
  <c r="AD154" i="6" s="1"/>
  <c r="J154" i="4" s="1"/>
  <c r="AA154" i="6"/>
  <c r="AB154" i="6" s="1"/>
  <c r="AC162" i="6"/>
  <c r="AD162" i="6" s="1"/>
  <c r="AA162" i="6"/>
  <c r="AB162" i="6" s="1"/>
  <c r="AA170" i="6"/>
  <c r="AB170" i="6" s="1"/>
  <c r="AC170" i="6"/>
  <c r="AD170" i="6" s="1"/>
  <c r="AC178" i="6"/>
  <c r="AD178" i="6" s="1"/>
  <c r="J178" i="4" s="1"/>
  <c r="AA178" i="6"/>
  <c r="AB178" i="6" s="1"/>
  <c r="AC186" i="6"/>
  <c r="AD186" i="6" s="1"/>
  <c r="J186" i="4" s="1"/>
  <c r="AA186" i="6"/>
  <c r="AB186" i="6" s="1"/>
  <c r="AC194" i="6"/>
  <c r="AD194" i="6" s="1"/>
  <c r="AA194" i="6"/>
  <c r="AB194" i="6" s="1"/>
  <c r="AC203" i="6"/>
  <c r="AD203" i="6" s="1"/>
  <c r="AA203" i="6"/>
  <c r="AB203" i="6" s="1"/>
  <c r="AA211" i="6"/>
  <c r="AB211" i="6" s="1"/>
  <c r="AC211" i="6"/>
  <c r="AD211" i="6" s="1"/>
  <c r="J211" i="4" s="1"/>
  <c r="AC219" i="6"/>
  <c r="AD219" i="6" s="1"/>
  <c r="J219" i="4" s="1"/>
  <c r="AA219" i="6"/>
  <c r="AB219" i="6" s="1"/>
  <c r="AC227" i="6"/>
  <c r="AD227" i="6" s="1"/>
  <c r="AA227" i="6"/>
  <c r="AB227" i="6" s="1"/>
  <c r="AA235" i="6"/>
  <c r="AB235" i="6" s="1"/>
  <c r="AC235" i="6"/>
  <c r="AD235" i="6" s="1"/>
  <c r="T64" i="6"/>
  <c r="J120" i="4"/>
  <c r="T120" i="6"/>
  <c r="T152" i="6"/>
  <c r="T192" i="6"/>
  <c r="T217" i="6"/>
  <c r="T241" i="6"/>
  <c r="T7" i="6"/>
  <c r="J39" i="4"/>
  <c r="T39" i="6"/>
  <c r="J80" i="4"/>
  <c r="T80" i="6"/>
  <c r="J103" i="4"/>
  <c r="T103" i="6"/>
  <c r="J136" i="4"/>
  <c r="T136" i="6"/>
  <c r="T160" i="6"/>
  <c r="T184" i="6"/>
  <c r="J209" i="4"/>
  <c r="T209" i="6"/>
  <c r="J233" i="4"/>
  <c r="T233" i="6"/>
  <c r="J15" i="4"/>
  <c r="T15" i="6"/>
  <c r="J23" i="4"/>
  <c r="T23" i="6"/>
  <c r="T33" i="6"/>
  <c r="T40" i="6"/>
  <c r="J49" i="4"/>
  <c r="T49" i="6"/>
  <c r="J57" i="4"/>
  <c r="T57" i="6"/>
  <c r="T65" i="6"/>
  <c r="T73" i="6"/>
  <c r="J81" i="4"/>
  <c r="T81" i="6"/>
  <c r="J89" i="4"/>
  <c r="T89" i="6"/>
  <c r="T97" i="6"/>
  <c r="T105" i="6"/>
  <c r="J113" i="4"/>
  <c r="T113" i="6"/>
  <c r="T121" i="6"/>
  <c r="T129" i="6"/>
  <c r="J129" i="4"/>
  <c r="T137" i="6"/>
  <c r="J145" i="4"/>
  <c r="T145" i="6"/>
  <c r="J153" i="4"/>
  <c r="T153" i="6"/>
  <c r="T161" i="6"/>
  <c r="T169" i="6"/>
  <c r="J177" i="4"/>
  <c r="T177" i="6"/>
  <c r="J185" i="4"/>
  <c r="T185" i="6"/>
  <c r="T193" i="6"/>
  <c r="T202" i="6"/>
  <c r="J210" i="4"/>
  <c r="T210" i="6"/>
  <c r="T218" i="6"/>
  <c r="J218" i="4"/>
  <c r="T226" i="6"/>
  <c r="T234" i="6"/>
  <c r="J14" i="4"/>
  <c r="T14" i="6"/>
  <c r="T30" i="6"/>
  <c r="J72" i="4"/>
  <c r="T72" i="6"/>
  <c r="T112" i="6"/>
  <c r="J112" i="4"/>
  <c r="T144" i="6"/>
  <c r="J176" i="4"/>
  <c r="T176" i="6"/>
  <c r="J201" i="4"/>
  <c r="T201" i="6"/>
  <c r="T225" i="6"/>
  <c r="J8" i="4"/>
  <c r="T8" i="6"/>
  <c r="T16" i="6"/>
  <c r="T24" i="6"/>
  <c r="J34" i="4"/>
  <c r="T34" i="6"/>
  <c r="J42" i="4"/>
  <c r="T42" i="6"/>
  <c r="T50" i="6"/>
  <c r="T58" i="6"/>
  <c r="J66" i="4"/>
  <c r="T66" i="6"/>
  <c r="J74" i="4"/>
  <c r="T74" i="6"/>
  <c r="T82" i="6"/>
  <c r="J90" i="4"/>
  <c r="T90" i="6"/>
  <c r="J98" i="4"/>
  <c r="T98" i="6"/>
  <c r="J106" i="4"/>
  <c r="T106" i="6"/>
  <c r="T114" i="6"/>
  <c r="T122" i="6"/>
  <c r="J130" i="4"/>
  <c r="T130" i="6"/>
  <c r="J138" i="4"/>
  <c r="T138" i="6"/>
  <c r="T146" i="6"/>
  <c r="T154" i="6"/>
  <c r="J162" i="4"/>
  <c r="T162" i="6"/>
  <c r="J170" i="4"/>
  <c r="T170" i="6"/>
  <c r="T178" i="6"/>
  <c r="T186" i="6"/>
  <c r="J194" i="4"/>
  <c r="T194" i="6"/>
  <c r="J203" i="4"/>
  <c r="T203" i="6"/>
  <c r="T211" i="6"/>
  <c r="T219" i="6"/>
  <c r="J227" i="4"/>
  <c r="T227" i="6"/>
  <c r="J235" i="4"/>
  <c r="T235" i="6"/>
  <c r="T22" i="6"/>
  <c r="T96" i="6"/>
  <c r="J9" i="4"/>
  <c r="T9" i="6"/>
  <c r="J17" i="4"/>
  <c r="T17" i="6"/>
  <c r="T25" i="6"/>
  <c r="J41" i="4"/>
  <c r="T41" i="6"/>
  <c r="J43" i="4"/>
  <c r="T43" i="6"/>
  <c r="J51" i="4"/>
  <c r="T51" i="6"/>
  <c r="T59" i="6"/>
  <c r="J67" i="4"/>
  <c r="T67" i="6"/>
  <c r="T75" i="6"/>
  <c r="J75" i="4"/>
  <c r="J83" i="4"/>
  <c r="T83" i="6"/>
  <c r="T91" i="6"/>
  <c r="J99" i="4"/>
  <c r="T99" i="6"/>
  <c r="J107" i="4"/>
  <c r="T107" i="6"/>
  <c r="J115" i="4"/>
  <c r="T115" i="6"/>
  <c r="T123" i="6"/>
  <c r="J131" i="4"/>
  <c r="T131" i="6"/>
  <c r="J139" i="4"/>
  <c r="T139" i="6"/>
  <c r="J147" i="4"/>
  <c r="T147" i="6"/>
  <c r="T155" i="6"/>
  <c r="J163" i="4"/>
  <c r="T163" i="6"/>
  <c r="J171" i="4"/>
  <c r="T171" i="6"/>
  <c r="J179" i="4"/>
  <c r="T179" i="6"/>
  <c r="T187" i="6"/>
  <c r="J195" i="4"/>
  <c r="T195" i="6"/>
  <c r="T204" i="6"/>
  <c r="T212" i="6"/>
  <c r="T220" i="6"/>
  <c r="J228" i="4"/>
  <c r="T228" i="6"/>
  <c r="J236" i="4"/>
  <c r="T236" i="6"/>
  <c r="T48" i="6"/>
  <c r="J48" i="4"/>
  <c r="J88" i="4"/>
  <c r="T88" i="6"/>
  <c r="T128" i="6"/>
  <c r="J168" i="4"/>
  <c r="T168" i="6"/>
  <c r="T10" i="6"/>
  <c r="T18" i="6"/>
  <c r="J18" i="4"/>
  <c r="J26" i="4"/>
  <c r="T26" i="6"/>
  <c r="T35" i="6"/>
  <c r="T44" i="6"/>
  <c r="J52" i="4"/>
  <c r="T52" i="6"/>
  <c r="J60" i="4"/>
  <c r="T60" i="6"/>
  <c r="T68" i="6"/>
  <c r="T76" i="6"/>
  <c r="T84" i="6"/>
  <c r="J84" i="4"/>
  <c r="J92" i="4"/>
  <c r="T92" i="6"/>
  <c r="T100" i="6"/>
  <c r="T108" i="6"/>
  <c r="J116" i="4"/>
  <c r="T116" i="6"/>
  <c r="J124" i="4"/>
  <c r="T124" i="6"/>
  <c r="T132" i="6"/>
  <c r="T140" i="6"/>
  <c r="J148" i="4"/>
  <c r="T148" i="6"/>
  <c r="T156" i="6"/>
  <c r="J156" i="4"/>
  <c r="T164" i="6"/>
  <c r="T172" i="6"/>
  <c r="J180" i="4"/>
  <c r="T180" i="6"/>
  <c r="J188" i="4"/>
  <c r="T188" i="6"/>
  <c r="T196" i="6"/>
  <c r="T205" i="6"/>
  <c r="J213" i="4"/>
  <c r="T213" i="6"/>
  <c r="T221" i="6"/>
  <c r="T229" i="6"/>
  <c r="T237" i="6"/>
  <c r="T56" i="6"/>
  <c r="AA4" i="6"/>
  <c r="AB4" i="6" s="1"/>
  <c r="AC4" i="6"/>
  <c r="AD4" i="6" s="1"/>
  <c r="J4" i="4" s="1"/>
  <c r="T4" i="6"/>
  <c r="J11" i="4"/>
  <c r="T11" i="6"/>
  <c r="J19" i="4"/>
  <c r="T19" i="6"/>
  <c r="J27" i="4"/>
  <c r="T27" i="6"/>
  <c r="T36" i="6"/>
  <c r="J45" i="4"/>
  <c r="T45" i="6"/>
  <c r="T53" i="6"/>
  <c r="J61" i="4"/>
  <c r="T61" i="6"/>
  <c r="J69" i="4"/>
  <c r="T69" i="6"/>
  <c r="J77" i="4"/>
  <c r="T77" i="6"/>
  <c r="T85" i="6"/>
  <c r="T93" i="6"/>
  <c r="T101" i="6"/>
  <c r="T109" i="6"/>
  <c r="J117" i="4"/>
  <c r="T117" i="6"/>
  <c r="T125" i="6"/>
  <c r="T133" i="6"/>
  <c r="J141" i="4"/>
  <c r="T141" i="6"/>
  <c r="J149" i="4"/>
  <c r="T149" i="6"/>
  <c r="J157" i="4"/>
  <c r="T157" i="6"/>
  <c r="J165" i="4"/>
  <c r="T165" i="6"/>
  <c r="T173" i="6"/>
  <c r="J181" i="4"/>
  <c r="T181" i="6"/>
  <c r="T189" i="6"/>
  <c r="J197" i="4"/>
  <c r="T197" i="6"/>
  <c r="T207" i="6"/>
  <c r="J214" i="4"/>
  <c r="T214" i="6"/>
  <c r="J222" i="4"/>
  <c r="T222" i="6"/>
  <c r="T230" i="6"/>
  <c r="T238" i="6"/>
  <c r="T5" i="6"/>
  <c r="J12" i="4"/>
  <c r="T12" i="6"/>
  <c r="J20" i="4"/>
  <c r="T20" i="6"/>
  <c r="T28" i="6"/>
  <c r="T37" i="6"/>
  <c r="J46" i="4"/>
  <c r="T46" i="6"/>
  <c r="J54" i="4"/>
  <c r="T54" i="6"/>
  <c r="T62" i="6"/>
  <c r="T70" i="6"/>
  <c r="J78" i="4"/>
  <c r="T78" i="6"/>
  <c r="J86" i="4"/>
  <c r="T86" i="6"/>
  <c r="J94" i="4"/>
  <c r="T94" i="6"/>
  <c r="T102" i="6"/>
  <c r="J110" i="4"/>
  <c r="T110" i="6"/>
  <c r="J118" i="4"/>
  <c r="T118" i="6"/>
  <c r="J126" i="4"/>
  <c r="T126" i="6"/>
  <c r="T134" i="6"/>
  <c r="J142" i="4"/>
  <c r="T142" i="6"/>
  <c r="J150" i="4"/>
  <c r="T150" i="6"/>
  <c r="J158" i="4"/>
  <c r="T158" i="6"/>
  <c r="T166" i="6"/>
  <c r="J174" i="4"/>
  <c r="T174" i="6"/>
  <c r="J182" i="4"/>
  <c r="T182" i="6"/>
  <c r="J190" i="4"/>
  <c r="T190" i="6"/>
  <c r="T199" i="6"/>
  <c r="J206" i="4"/>
  <c r="T206" i="6"/>
  <c r="J215" i="4"/>
  <c r="T215" i="6"/>
  <c r="T223" i="6"/>
  <c r="T231" i="6"/>
  <c r="J239" i="4"/>
  <c r="T239" i="6"/>
  <c r="J6" i="4"/>
  <c r="T6" i="6"/>
  <c r="T13" i="6"/>
  <c r="J21" i="4"/>
  <c r="T21" i="6"/>
  <c r="J29" i="4"/>
  <c r="T29" i="6"/>
  <c r="J38" i="4"/>
  <c r="T38" i="6"/>
  <c r="T47" i="6"/>
  <c r="J55" i="4"/>
  <c r="T55" i="6"/>
  <c r="J63" i="4"/>
  <c r="T63" i="6"/>
  <c r="J71" i="4"/>
  <c r="T71" i="6"/>
  <c r="T79" i="6"/>
  <c r="J87" i="4"/>
  <c r="T87" i="6"/>
  <c r="J95" i="4"/>
  <c r="T95" i="6"/>
  <c r="T104" i="6"/>
  <c r="T111" i="6"/>
  <c r="J119" i="4"/>
  <c r="T119" i="6"/>
  <c r="J127" i="4"/>
  <c r="T127" i="6"/>
  <c r="T135" i="6"/>
  <c r="T143" i="6"/>
  <c r="T151" i="6"/>
  <c r="J151" i="4"/>
  <c r="J159" i="4"/>
  <c r="T159" i="6"/>
  <c r="T167" i="6"/>
  <c r="T175" i="6"/>
  <c r="J183" i="4"/>
  <c r="T183" i="6"/>
  <c r="J191" i="4"/>
  <c r="T191" i="6"/>
  <c r="T200" i="6"/>
  <c r="T208" i="6"/>
  <c r="J216" i="4"/>
  <c r="T216" i="6"/>
  <c r="J224" i="4"/>
  <c r="T224" i="6"/>
  <c r="T232" i="6"/>
  <c r="T240" i="6"/>
  <c r="N5" i="2" l="1"/>
  <c r="N5" i="4" s="1"/>
  <c r="R241" i="6" l="1"/>
  <c r="L241" i="4" s="1"/>
  <c r="Q241" i="6"/>
  <c r="K241" i="4" s="1"/>
  <c r="N241" i="2" l="1"/>
  <c r="N241" i="4" s="1"/>
  <c r="N240" i="2"/>
  <c r="N240" i="4" s="1"/>
  <c r="N239" i="2"/>
  <c r="N239" i="4" s="1"/>
  <c r="N238" i="2"/>
  <c r="N238" i="4" s="1"/>
  <c r="N237" i="2"/>
  <c r="N237" i="4" s="1"/>
  <c r="N236" i="2"/>
  <c r="N236" i="4" s="1"/>
  <c r="N235" i="2"/>
  <c r="N235" i="4" s="1"/>
  <c r="N234" i="2"/>
  <c r="N234" i="4" s="1"/>
  <c r="N228" i="2"/>
  <c r="N228" i="4" s="1"/>
  <c r="N233" i="2"/>
  <c r="N233" i="4" s="1"/>
  <c r="N232" i="2"/>
  <c r="N232" i="4" s="1"/>
  <c r="N231" i="2"/>
  <c r="N231" i="4" s="1"/>
  <c r="N230" i="2"/>
  <c r="N230" i="4" s="1"/>
  <c r="N229" i="2"/>
  <c r="N229" i="4" s="1"/>
  <c r="N227" i="2"/>
  <c r="N227" i="4" s="1"/>
  <c r="N225" i="2"/>
  <c r="N225" i="4" s="1"/>
  <c r="N224" i="2"/>
  <c r="N224" i="4" s="1"/>
  <c r="N222" i="2"/>
  <c r="N222" i="4" s="1"/>
  <c r="N220" i="2"/>
  <c r="N220" i="4" s="1"/>
  <c r="N219" i="2"/>
  <c r="N219" i="4" s="1"/>
  <c r="N218" i="2"/>
  <c r="N218" i="4" s="1"/>
  <c r="N217" i="2"/>
  <c r="N217" i="4" s="1"/>
  <c r="N215" i="2"/>
  <c r="N215" i="4" s="1"/>
  <c r="N216" i="2"/>
  <c r="N216" i="4" s="1"/>
  <c r="N214" i="2"/>
  <c r="N214" i="4" s="1"/>
  <c r="N213" i="2"/>
  <c r="N213" i="4" s="1"/>
  <c r="N212" i="2"/>
  <c r="N212" i="4" s="1"/>
  <c r="N211" i="2"/>
  <c r="N211" i="4" s="1"/>
  <c r="N210" i="2"/>
  <c r="N210" i="4" s="1"/>
  <c r="N209" i="2"/>
  <c r="N209" i="4" s="1"/>
  <c r="N208" i="2"/>
  <c r="N208" i="4" s="1"/>
  <c r="N206" i="2"/>
  <c r="N206" i="4" s="1"/>
  <c r="N207" i="2"/>
  <c r="N207" i="4" s="1"/>
  <c r="N205" i="2"/>
  <c r="N205" i="4" s="1"/>
  <c r="N204" i="2"/>
  <c r="N204" i="4" s="1"/>
  <c r="N203" i="2"/>
  <c r="N203" i="4" s="1"/>
  <c r="N202" i="2"/>
  <c r="N202" i="4" s="1"/>
  <c r="N201" i="2"/>
  <c r="N201" i="4" s="1"/>
  <c r="N200" i="2"/>
  <c r="N200" i="4" s="1"/>
  <c r="N199" i="2"/>
  <c r="N199" i="4" s="1"/>
  <c r="N197" i="2"/>
  <c r="N197" i="4" s="1"/>
  <c r="N196" i="2"/>
  <c r="N196" i="4" s="1"/>
  <c r="N195" i="2"/>
  <c r="N195" i="4" s="1"/>
  <c r="N194" i="2"/>
  <c r="N194" i="4" s="1"/>
  <c r="N193" i="2"/>
  <c r="N193" i="4" s="1"/>
  <c r="N192" i="2"/>
  <c r="N192" i="4" s="1"/>
  <c r="N191" i="2"/>
  <c r="N191" i="4" s="1"/>
  <c r="N190" i="2"/>
  <c r="N190" i="4" s="1"/>
  <c r="N189" i="2"/>
  <c r="N189" i="4" s="1"/>
  <c r="N188" i="2"/>
  <c r="N188" i="4" s="1"/>
  <c r="N187" i="2"/>
  <c r="N187" i="4" s="1"/>
  <c r="N186" i="2"/>
  <c r="N186" i="4" s="1"/>
  <c r="N185" i="2"/>
  <c r="N185" i="4" s="1"/>
  <c r="N184" i="2"/>
  <c r="N184" i="4" s="1"/>
  <c r="N183" i="2"/>
  <c r="N183" i="4" s="1"/>
  <c r="N182" i="2"/>
  <c r="N182" i="4" s="1"/>
  <c r="N181" i="2"/>
  <c r="N181" i="4" s="1"/>
  <c r="N180" i="2"/>
  <c r="N180" i="4" s="1"/>
  <c r="N179" i="2"/>
  <c r="N179" i="4" s="1"/>
  <c r="N178" i="2"/>
  <c r="N178" i="4" s="1"/>
  <c r="N177" i="2"/>
  <c r="N177" i="4" s="1"/>
  <c r="N176" i="2"/>
  <c r="N176" i="4" s="1"/>
  <c r="N175" i="2"/>
  <c r="N175" i="4" s="1"/>
  <c r="N174" i="2"/>
  <c r="N174" i="4" s="1"/>
  <c r="N173" i="2"/>
  <c r="N173" i="4" s="1"/>
  <c r="N172" i="2"/>
  <c r="N172" i="4" s="1"/>
  <c r="N171" i="2"/>
  <c r="N171" i="4" s="1"/>
  <c r="N170" i="2"/>
  <c r="N170" i="4" s="1"/>
  <c r="N169" i="2"/>
  <c r="N169" i="4" s="1"/>
  <c r="N168" i="2"/>
  <c r="N168" i="4" s="1"/>
  <c r="N167" i="2"/>
  <c r="N167" i="4" s="1"/>
  <c r="N166" i="2"/>
  <c r="N166" i="4" s="1"/>
  <c r="N165" i="2"/>
  <c r="N165" i="4" s="1"/>
  <c r="N164" i="2"/>
  <c r="N164" i="4" s="1"/>
  <c r="N163" i="2"/>
  <c r="N163" i="4" s="1"/>
  <c r="N162" i="2"/>
  <c r="N162" i="4" s="1"/>
  <c r="N161" i="2"/>
  <c r="N161" i="4" s="1"/>
  <c r="N160" i="2"/>
  <c r="N160" i="4" s="1"/>
  <c r="N159" i="2"/>
  <c r="N159" i="4" s="1"/>
  <c r="N158" i="2"/>
  <c r="N158" i="4" s="1"/>
  <c r="N157" i="2"/>
  <c r="N157" i="4" s="1"/>
  <c r="N156" i="2"/>
  <c r="N156" i="4" s="1"/>
  <c r="N155" i="2"/>
  <c r="N155" i="4" s="1"/>
  <c r="N154" i="2"/>
  <c r="N154" i="4" s="1"/>
  <c r="N153" i="2"/>
  <c r="N153" i="4" s="1"/>
  <c r="N152" i="2"/>
  <c r="N152" i="4" s="1"/>
  <c r="N151" i="2"/>
  <c r="N151" i="4" s="1"/>
  <c r="N150" i="2"/>
  <c r="N150" i="4" s="1"/>
  <c r="N149" i="2"/>
  <c r="N149" i="4" s="1"/>
  <c r="N148" i="2"/>
  <c r="N148" i="4" s="1"/>
  <c r="N147" i="2"/>
  <c r="N147" i="4" s="1"/>
  <c r="N146" i="2"/>
  <c r="N146" i="4" s="1"/>
  <c r="N145" i="2"/>
  <c r="N145" i="4" s="1"/>
  <c r="N144" i="2"/>
  <c r="N144" i="4" s="1"/>
  <c r="N143" i="2"/>
  <c r="N143" i="4" s="1"/>
  <c r="N142" i="2"/>
  <c r="N142" i="4" s="1"/>
  <c r="N141" i="2"/>
  <c r="N141" i="4" s="1"/>
  <c r="N140" i="2"/>
  <c r="N140" i="4" s="1"/>
  <c r="N139" i="2"/>
  <c r="N139" i="4" s="1"/>
  <c r="N138" i="2"/>
  <c r="N138" i="4" s="1"/>
  <c r="N137" i="2"/>
  <c r="N137" i="4" s="1"/>
  <c r="N135" i="2"/>
  <c r="N135" i="4" s="1"/>
  <c r="N136" i="2"/>
  <c r="N136" i="4" s="1"/>
  <c r="N134" i="2"/>
  <c r="N134" i="4" s="1"/>
  <c r="N133" i="2"/>
  <c r="N133" i="4" s="1"/>
  <c r="N132" i="2"/>
  <c r="N132" i="4" s="1"/>
  <c r="N131" i="2"/>
  <c r="N131" i="4" s="1"/>
  <c r="N130" i="2"/>
  <c r="N130" i="4" s="1"/>
  <c r="N129" i="2"/>
  <c r="N129" i="4" s="1"/>
  <c r="N128" i="2"/>
  <c r="N128" i="4" s="1"/>
  <c r="N127" i="2"/>
  <c r="N127" i="4" s="1"/>
  <c r="N126" i="2"/>
  <c r="N126" i="4" s="1"/>
  <c r="N125" i="2"/>
  <c r="N125" i="4" s="1"/>
  <c r="N124" i="2"/>
  <c r="N124" i="4" s="1"/>
  <c r="N123" i="2"/>
  <c r="N123" i="4" s="1"/>
  <c r="N122" i="2"/>
  <c r="N122" i="4" s="1"/>
  <c r="N121" i="2"/>
  <c r="N121" i="4" s="1"/>
  <c r="N120" i="2"/>
  <c r="N120" i="4" s="1"/>
  <c r="N119" i="2"/>
  <c r="N119" i="4" s="1"/>
  <c r="N118" i="2"/>
  <c r="N118" i="4" s="1"/>
  <c r="N117" i="2"/>
  <c r="N117" i="4" s="1"/>
  <c r="N116" i="2"/>
  <c r="N116" i="4" s="1"/>
  <c r="N115" i="2"/>
  <c r="N115" i="4" s="1"/>
  <c r="N114" i="2"/>
  <c r="N114" i="4" s="1"/>
  <c r="N113" i="2"/>
  <c r="N113" i="4" s="1"/>
  <c r="N112" i="2"/>
  <c r="N112" i="4" s="1"/>
  <c r="N111" i="2"/>
  <c r="N111" i="4" s="1"/>
  <c r="N110" i="2"/>
  <c r="N110" i="4" s="1"/>
  <c r="N102" i="2"/>
  <c r="N102" i="4" s="1"/>
  <c r="N109" i="2"/>
  <c r="N109" i="4" s="1"/>
  <c r="N108" i="2"/>
  <c r="N108" i="4" s="1"/>
  <c r="N107" i="2"/>
  <c r="N107" i="4" s="1"/>
  <c r="N106" i="2"/>
  <c r="N106" i="4" s="1"/>
  <c r="N105" i="2"/>
  <c r="N105" i="4" s="1"/>
  <c r="N103" i="2"/>
  <c r="N103" i="4" s="1"/>
  <c r="N104" i="2"/>
  <c r="N104" i="4" s="1"/>
  <c r="N101" i="2"/>
  <c r="N101" i="4" s="1"/>
  <c r="N100" i="2"/>
  <c r="N100" i="4" s="1"/>
  <c r="N99" i="2"/>
  <c r="N99" i="4" s="1"/>
  <c r="N98" i="2"/>
  <c r="N98" i="4" s="1"/>
  <c r="N97" i="2"/>
  <c r="N97" i="4" s="1"/>
  <c r="N96" i="2"/>
  <c r="N96" i="4" s="1"/>
  <c r="N95" i="2"/>
  <c r="N95" i="4" s="1"/>
  <c r="N94" i="2"/>
  <c r="N94" i="4" s="1"/>
  <c r="N93" i="2"/>
  <c r="N93" i="4" s="1"/>
  <c r="N92" i="2"/>
  <c r="N92" i="4" s="1"/>
  <c r="N91" i="2"/>
  <c r="N91" i="4" s="1"/>
  <c r="N90" i="2"/>
  <c r="N90" i="4" s="1"/>
  <c r="N89" i="2"/>
  <c r="N89" i="4" s="1"/>
  <c r="N88" i="2"/>
  <c r="N88" i="4" s="1"/>
  <c r="N87" i="2"/>
  <c r="N87" i="4" s="1"/>
  <c r="N86" i="2"/>
  <c r="N86" i="4" s="1"/>
  <c r="N85" i="2"/>
  <c r="N85" i="4" s="1"/>
  <c r="N84" i="2"/>
  <c r="N84" i="4" s="1"/>
  <c r="N83" i="2"/>
  <c r="N83" i="4" s="1"/>
  <c r="N82" i="2"/>
  <c r="N82" i="4" s="1"/>
  <c r="N81" i="2"/>
  <c r="N81" i="4" s="1"/>
  <c r="N80" i="2"/>
  <c r="N80" i="4" s="1"/>
  <c r="N79" i="2"/>
  <c r="N79" i="4" s="1"/>
  <c r="N78" i="2"/>
  <c r="N78" i="4" s="1"/>
  <c r="N77" i="2"/>
  <c r="N77" i="4" s="1"/>
  <c r="N76" i="2"/>
  <c r="N76" i="4" s="1"/>
  <c r="N75" i="2"/>
  <c r="N75" i="4" s="1"/>
  <c r="N74" i="2"/>
  <c r="N74" i="4" s="1"/>
  <c r="N73" i="2"/>
  <c r="N73" i="4" s="1"/>
  <c r="N72" i="2"/>
  <c r="N72" i="4" s="1"/>
  <c r="N71" i="2"/>
  <c r="N71" i="4" s="1"/>
  <c r="N70" i="2"/>
  <c r="N70" i="4" s="1"/>
  <c r="N69" i="2"/>
  <c r="N69" i="4" s="1"/>
  <c r="N68" i="2"/>
  <c r="N68" i="4" s="1"/>
  <c r="N67" i="2"/>
  <c r="N67" i="4" s="1"/>
  <c r="N66" i="2"/>
  <c r="N66" i="4" s="1"/>
  <c r="N65" i="2"/>
  <c r="N65" i="4" s="1"/>
  <c r="N64" i="2"/>
  <c r="N64" i="4" s="1"/>
  <c r="N63" i="2"/>
  <c r="N63" i="4" s="1"/>
  <c r="N62" i="2"/>
  <c r="N62" i="4" s="1"/>
  <c r="N61" i="2"/>
  <c r="N61" i="4" s="1"/>
  <c r="N60" i="2"/>
  <c r="N60" i="4" s="1"/>
  <c r="N59" i="2"/>
  <c r="N59" i="4" s="1"/>
  <c r="N58" i="2"/>
  <c r="N58" i="4" s="1"/>
  <c r="N57" i="2"/>
  <c r="N57" i="4" s="1"/>
  <c r="N56" i="2"/>
  <c r="N56" i="4" s="1"/>
  <c r="N55" i="2"/>
  <c r="N55" i="4" s="1"/>
  <c r="N54" i="2"/>
  <c r="N54" i="4" s="1"/>
  <c r="N53" i="2"/>
  <c r="N53" i="4" s="1"/>
  <c r="N52" i="2"/>
  <c r="N52" i="4" s="1"/>
  <c r="N51" i="2"/>
  <c r="N51" i="4" s="1"/>
  <c r="N50" i="2"/>
  <c r="N50" i="4" s="1"/>
  <c r="N49" i="2"/>
  <c r="N49" i="4" s="1"/>
  <c r="N48" i="2"/>
  <c r="N48" i="4" s="1"/>
  <c r="N47" i="2"/>
  <c r="N47" i="4" s="1"/>
  <c r="N46" i="2"/>
  <c r="N46" i="4" s="1"/>
  <c r="N45" i="2"/>
  <c r="N45" i="4" s="1"/>
  <c r="N44" i="2"/>
  <c r="N44" i="4" s="1"/>
  <c r="N43" i="2"/>
  <c r="N43" i="4" s="1"/>
  <c r="N42" i="2"/>
  <c r="N42" i="4" s="1"/>
  <c r="N40" i="2"/>
  <c r="N40" i="4" s="1"/>
  <c r="N39" i="2"/>
  <c r="N39" i="4" s="1"/>
  <c r="N38" i="2"/>
  <c r="N38" i="4" s="1"/>
  <c r="N37" i="2"/>
  <c r="N37" i="4" s="1"/>
  <c r="N36" i="2"/>
  <c r="N36" i="4" s="1"/>
  <c r="N35" i="2"/>
  <c r="N35" i="4" s="1"/>
  <c r="N41" i="2"/>
  <c r="N41" i="4" s="1"/>
  <c r="N34" i="2"/>
  <c r="N34" i="4" s="1"/>
  <c r="N33" i="2"/>
  <c r="N33" i="4" s="1"/>
  <c r="N30" i="2"/>
  <c r="N30" i="4" s="1"/>
  <c r="N29" i="2"/>
  <c r="N29" i="4" s="1"/>
  <c r="N28" i="2"/>
  <c r="N28" i="4" s="1"/>
  <c r="N27" i="2"/>
  <c r="N27" i="4" s="1"/>
  <c r="N26" i="2"/>
  <c r="N26" i="4" s="1"/>
  <c r="N25" i="2"/>
  <c r="N25" i="4" s="1"/>
  <c r="N24" i="2"/>
  <c r="N24" i="4" s="1"/>
  <c r="N23" i="2"/>
  <c r="N23" i="4" s="1"/>
  <c r="N22" i="2"/>
  <c r="N22" i="4" s="1"/>
  <c r="N21" i="2"/>
  <c r="N21" i="4" s="1"/>
  <c r="N20" i="2"/>
  <c r="N20" i="4" s="1"/>
  <c r="N19" i="2"/>
  <c r="N19" i="4" s="1"/>
  <c r="N18" i="2"/>
  <c r="N18" i="4" s="1"/>
  <c r="N17" i="2"/>
  <c r="N17" i="4" s="1"/>
  <c r="N16" i="2"/>
  <c r="N16" i="4" s="1"/>
  <c r="N15" i="2"/>
  <c r="N15" i="4" s="1"/>
  <c r="N14" i="2"/>
  <c r="N14" i="4" s="1"/>
  <c r="N13" i="2"/>
  <c r="N13" i="4" s="1"/>
  <c r="N12" i="2"/>
  <c r="N12" i="4" s="1"/>
  <c r="N11" i="2"/>
  <c r="N11" i="4" s="1"/>
  <c r="N10" i="2"/>
  <c r="N10" i="4" s="1"/>
  <c r="N9" i="2"/>
  <c r="N9" i="4" s="1"/>
  <c r="N8" i="2"/>
  <c r="N8" i="4" s="1"/>
  <c r="N7" i="2"/>
  <c r="N7" i="4" s="1"/>
  <c r="N6" i="2"/>
  <c r="N6" i="4" s="1"/>
  <c r="N4" i="2"/>
  <c r="N4" i="4" s="1"/>
  <c r="R18" i="3" l="1"/>
  <c r="U18" i="3"/>
  <c r="V39" i="4" s="1"/>
  <c r="U61" i="3"/>
  <c r="V207" i="4" s="1"/>
  <c r="N63" i="3"/>
  <c r="U215" i="4" s="1"/>
  <c r="U63" i="3"/>
  <c r="V215" i="4" s="1"/>
  <c r="U32" i="3"/>
  <c r="V124" i="4" s="1"/>
  <c r="T66" i="3"/>
  <c r="U66" i="3"/>
  <c r="V225" i="4" s="1"/>
  <c r="P50" i="3"/>
  <c r="U50" i="3"/>
  <c r="V190" i="4" s="1"/>
  <c r="N64" i="3"/>
  <c r="U217" i="4" s="1"/>
  <c r="U64" i="3"/>
  <c r="V217" i="4" s="1"/>
  <c r="U58" i="3"/>
  <c r="V201" i="4" s="1"/>
  <c r="U55" i="3"/>
  <c r="V197" i="4" s="1"/>
  <c r="T67" i="3"/>
  <c r="U67" i="3"/>
  <c r="V228" i="4" s="1"/>
  <c r="U68" i="3"/>
  <c r="V229" i="4" s="1"/>
  <c r="U17" i="3"/>
  <c r="V37" i="4" s="1"/>
  <c r="R20" i="3"/>
  <c r="U20" i="3"/>
  <c r="V42" i="4" s="1"/>
  <c r="P16" i="3"/>
  <c r="U16" i="3"/>
  <c r="V36" i="4" s="1"/>
  <c r="T60" i="3"/>
  <c r="U60" i="3"/>
  <c r="V204" i="4" s="1"/>
  <c r="R54" i="3"/>
  <c r="U54" i="3"/>
  <c r="V194" i="4" s="1"/>
  <c r="P51" i="3"/>
  <c r="U51" i="3"/>
  <c r="V191" i="4" s="1"/>
  <c r="T53" i="3"/>
  <c r="U53" i="3"/>
  <c r="V193" i="4" s="1"/>
  <c r="T26" i="3"/>
  <c r="U26" i="3"/>
  <c r="V91" i="4" s="1"/>
  <c r="U25" i="3"/>
  <c r="V82" i="4" s="1"/>
  <c r="R31" i="3"/>
  <c r="U31" i="3"/>
  <c r="V120" i="4" s="1"/>
  <c r="N22" i="3"/>
  <c r="U64" i="4" s="1"/>
  <c r="U22" i="3"/>
  <c r="V64" i="4" s="1"/>
  <c r="N4" i="3"/>
  <c r="U4" i="4" s="1"/>
  <c r="U4" i="3"/>
  <c r="V4" i="4" s="1"/>
  <c r="U5" i="3"/>
  <c r="V13" i="4" s="1"/>
  <c r="U27" i="3"/>
  <c r="V94" i="4" s="1"/>
  <c r="R46" i="3"/>
  <c r="U46" i="3"/>
  <c r="V178" i="4" s="1"/>
  <c r="U28" i="3"/>
  <c r="V114" i="4" s="1"/>
  <c r="U59" i="3"/>
  <c r="V203" i="4" s="1"/>
  <c r="U30" i="3"/>
  <c r="V119" i="4" s="1"/>
  <c r="T44" i="3"/>
  <c r="U44" i="3"/>
  <c r="V175" i="4" s="1"/>
  <c r="U52" i="3"/>
  <c r="V192" i="4" s="1"/>
  <c r="T52" i="3"/>
  <c r="R71" i="3"/>
  <c r="U71" i="3"/>
  <c r="V241" i="4" s="1"/>
  <c r="P19" i="3"/>
  <c r="U19" i="3"/>
  <c r="V41" i="4" s="1"/>
  <c r="R34" i="3"/>
  <c r="U34" i="3"/>
  <c r="V141" i="4" s="1"/>
  <c r="U12" i="3"/>
  <c r="V28" i="4" s="1"/>
  <c r="R12" i="3"/>
  <c r="U40" i="3"/>
  <c r="V169" i="4" s="1"/>
  <c r="U42" i="3"/>
  <c r="V173" i="4" s="1"/>
  <c r="R43" i="3"/>
  <c r="U43" i="3"/>
  <c r="V174" i="4" s="1"/>
  <c r="U41" i="3"/>
  <c r="V171" i="4" s="1"/>
  <c r="T41" i="3"/>
  <c r="R29" i="3"/>
  <c r="U29" i="3"/>
  <c r="V115" i="4" s="1"/>
  <c r="U47" i="3"/>
  <c r="V179" i="4" s="1"/>
  <c r="R49" i="3"/>
  <c r="U49" i="3"/>
  <c r="V184" i="4" s="1"/>
  <c r="U45" i="3"/>
  <c r="V176" i="4" s="1"/>
  <c r="U39" i="3"/>
  <c r="V164" i="4" s="1"/>
  <c r="U21" i="3"/>
  <c r="V51" i="4" s="1"/>
  <c r="U24" i="3"/>
  <c r="V81" i="4" s="1"/>
  <c r="U70" i="3"/>
  <c r="V239" i="4" s="1"/>
  <c r="U9" i="3"/>
  <c r="V18" i="4" s="1"/>
  <c r="U37" i="3"/>
  <c r="V158" i="4" s="1"/>
  <c r="U35" i="3"/>
  <c r="V146" i="4" s="1"/>
  <c r="N38" i="3"/>
  <c r="U159" i="4" s="1"/>
  <c r="U38" i="3"/>
  <c r="V159" i="4" s="1"/>
  <c r="U6" i="3"/>
  <c r="V14" i="4" s="1"/>
  <c r="R7" i="3"/>
  <c r="U7" i="3"/>
  <c r="V15" i="4" s="1"/>
  <c r="U8" i="3"/>
  <c r="V16" i="4" s="1"/>
  <c r="T8" i="3"/>
  <c r="U36" i="3"/>
  <c r="V156" i="4" s="1"/>
  <c r="U13" i="3"/>
  <c r="V29" i="4" s="1"/>
  <c r="U62" i="3"/>
  <c r="V212" i="4" s="1"/>
  <c r="P23" i="3"/>
  <c r="U23" i="3"/>
  <c r="V72" i="4" s="1"/>
  <c r="R57" i="3"/>
  <c r="U57" i="3"/>
  <c r="V199" i="4" s="1"/>
  <c r="U69" i="3"/>
  <c r="V230" i="4" s="1"/>
  <c r="R69" i="3"/>
  <c r="U33" i="3"/>
  <c r="V131" i="4" s="1"/>
  <c r="U48" i="3"/>
  <c r="V180" i="4" s="1"/>
  <c r="U11" i="3"/>
  <c r="V24" i="4" s="1"/>
  <c r="U65" i="3"/>
  <c r="V218" i="4" s="1"/>
  <c r="T65" i="3"/>
  <c r="U10" i="3"/>
  <c r="V20" i="4" s="1"/>
  <c r="Q218" i="6"/>
  <c r="K218" i="4" s="1"/>
  <c r="R218" i="6"/>
  <c r="L218" i="4" s="1"/>
  <c r="Q20" i="6"/>
  <c r="K20" i="4" s="1"/>
  <c r="R20" i="6"/>
  <c r="L20" i="4" s="1"/>
  <c r="Q39" i="6"/>
  <c r="K39" i="4" s="1"/>
  <c r="R39" i="6"/>
  <c r="L39" i="4" s="1"/>
  <c r="Q211" i="6"/>
  <c r="K211" i="4" s="1"/>
  <c r="R211" i="6"/>
  <c r="L211" i="4" s="1"/>
  <c r="Q224" i="6"/>
  <c r="K224" i="4" s="1"/>
  <c r="R224" i="6"/>
  <c r="L224" i="4" s="1"/>
  <c r="Q234" i="6"/>
  <c r="K234" i="4" s="1"/>
  <c r="R234" i="6"/>
  <c r="L234" i="4" s="1"/>
  <c r="Q237" i="6"/>
  <c r="K237" i="4" s="1"/>
  <c r="R237" i="6"/>
  <c r="L237" i="4" s="1"/>
  <c r="Q235" i="6"/>
  <c r="K235" i="4" s="1"/>
  <c r="R235" i="6"/>
  <c r="L235" i="4" s="1"/>
  <c r="Q207" i="6"/>
  <c r="K207" i="4" s="1"/>
  <c r="R207" i="6"/>
  <c r="L207" i="4" s="1"/>
  <c r="Q206" i="6"/>
  <c r="K206" i="4" s="1"/>
  <c r="R206" i="6"/>
  <c r="L206" i="4" s="1"/>
  <c r="Q215" i="6"/>
  <c r="K215" i="4" s="1"/>
  <c r="R215" i="6"/>
  <c r="L215" i="4" s="1"/>
  <c r="Q126" i="6"/>
  <c r="K126" i="4" s="1"/>
  <c r="R126" i="6"/>
  <c r="L126" i="4" s="1"/>
  <c r="Q128" i="6"/>
  <c r="K128" i="4" s="1"/>
  <c r="R128" i="6"/>
  <c r="L128" i="4" s="1"/>
  <c r="Q125" i="6"/>
  <c r="K125" i="4" s="1"/>
  <c r="R125" i="6"/>
  <c r="L125" i="4" s="1"/>
  <c r="Q124" i="6"/>
  <c r="K124" i="4" s="1"/>
  <c r="R124" i="6"/>
  <c r="L124" i="4" s="1"/>
  <c r="Q122" i="6"/>
  <c r="K122" i="4" s="1"/>
  <c r="R122" i="6"/>
  <c r="L122" i="4" s="1"/>
  <c r="Q236" i="6"/>
  <c r="K236" i="4" s="1"/>
  <c r="R236" i="6"/>
  <c r="L236" i="4" s="1"/>
  <c r="Q227" i="6"/>
  <c r="K227" i="4" s="1"/>
  <c r="R227" i="6"/>
  <c r="L227" i="4" s="1"/>
  <c r="Q222" i="6"/>
  <c r="K222" i="4" s="1"/>
  <c r="R222" i="6"/>
  <c r="L222" i="4" s="1"/>
  <c r="Q62" i="6"/>
  <c r="K62" i="4" s="1"/>
  <c r="R62" i="6"/>
  <c r="L62" i="4" s="1"/>
  <c r="Q76" i="6"/>
  <c r="K76" i="4" s="1"/>
  <c r="R76" i="6"/>
  <c r="L76" i="4" s="1"/>
  <c r="Q225" i="6"/>
  <c r="K225" i="4" s="1"/>
  <c r="R225" i="6"/>
  <c r="L225" i="4" s="1"/>
  <c r="Q205" i="6"/>
  <c r="K205" i="4" s="1"/>
  <c r="R205" i="6"/>
  <c r="L205" i="4" s="1"/>
  <c r="Q209" i="6"/>
  <c r="K209" i="4" s="1"/>
  <c r="R209" i="6"/>
  <c r="L209" i="4" s="1"/>
  <c r="Q190" i="6"/>
  <c r="K190" i="4" s="1"/>
  <c r="R190" i="6"/>
  <c r="L190" i="4" s="1"/>
  <c r="Q210" i="6"/>
  <c r="K210" i="4" s="1"/>
  <c r="R210" i="6"/>
  <c r="L210" i="4" s="1"/>
  <c r="Q217" i="6"/>
  <c r="K217" i="4" s="1"/>
  <c r="R217" i="6"/>
  <c r="L217" i="4" s="1"/>
  <c r="Q220" i="6"/>
  <c r="K220" i="4" s="1"/>
  <c r="R220" i="6"/>
  <c r="L220" i="4" s="1"/>
  <c r="Q208" i="6"/>
  <c r="K208" i="4" s="1"/>
  <c r="R208" i="6"/>
  <c r="L208" i="4" s="1"/>
  <c r="Q201" i="6"/>
  <c r="K201" i="4" s="1"/>
  <c r="R201" i="6"/>
  <c r="L201" i="4" s="1"/>
  <c r="Q197" i="6"/>
  <c r="K197" i="4" s="1"/>
  <c r="R197" i="6"/>
  <c r="L197" i="4" s="1"/>
  <c r="Q228" i="6"/>
  <c r="K228" i="4" s="1"/>
  <c r="R228" i="6"/>
  <c r="L228" i="4" s="1"/>
  <c r="Q23" i="6"/>
  <c r="K23" i="4" s="1"/>
  <c r="R23" i="6"/>
  <c r="L23" i="4" s="1"/>
  <c r="Q21" i="6"/>
  <c r="K21" i="4" s="1"/>
  <c r="R21" i="6"/>
  <c r="L21" i="4" s="1"/>
  <c r="Q34" i="6"/>
  <c r="K34" i="4" s="1"/>
  <c r="R34" i="6"/>
  <c r="L34" i="4" s="1"/>
  <c r="Q33" i="6"/>
  <c r="K33" i="4" s="1"/>
  <c r="R33" i="6"/>
  <c r="L33" i="4" s="1"/>
  <c r="Q229" i="6"/>
  <c r="K229" i="4" s="1"/>
  <c r="R229" i="6"/>
  <c r="L229" i="4" s="1"/>
  <c r="Q37" i="6"/>
  <c r="K37" i="4" s="1"/>
  <c r="R37" i="6"/>
  <c r="L37" i="4" s="1"/>
  <c r="Q42" i="6"/>
  <c r="K42" i="4" s="1"/>
  <c r="R42" i="6"/>
  <c r="L42" i="4" s="1"/>
  <c r="Q38" i="6"/>
  <c r="K38" i="4" s="1"/>
  <c r="R38" i="6"/>
  <c r="L38" i="4" s="1"/>
  <c r="Q36" i="6"/>
  <c r="K36" i="4" s="1"/>
  <c r="R36" i="6"/>
  <c r="L36" i="4" s="1"/>
  <c r="Q43" i="6"/>
  <c r="K43" i="4" s="1"/>
  <c r="R43" i="6"/>
  <c r="L43" i="4" s="1"/>
  <c r="Q204" i="6"/>
  <c r="K204" i="4" s="1"/>
  <c r="R204" i="6"/>
  <c r="L204" i="4" s="1"/>
  <c r="Q194" i="6"/>
  <c r="K194" i="4" s="1"/>
  <c r="R194" i="6"/>
  <c r="L194" i="4" s="1"/>
  <c r="Q191" i="6"/>
  <c r="K191" i="4" s="1"/>
  <c r="R191" i="6"/>
  <c r="L191" i="4" s="1"/>
  <c r="Q193" i="6"/>
  <c r="K193" i="4" s="1"/>
  <c r="R193" i="6"/>
  <c r="L193" i="4" s="1"/>
  <c r="Q196" i="6"/>
  <c r="K196" i="4" s="1"/>
  <c r="R196" i="6"/>
  <c r="L196" i="4" s="1"/>
  <c r="Q200" i="6"/>
  <c r="K200" i="4" s="1"/>
  <c r="R200" i="6"/>
  <c r="L200" i="4" s="1"/>
  <c r="Q58" i="6"/>
  <c r="K58" i="4" s="1"/>
  <c r="R58" i="6"/>
  <c r="L58" i="4" s="1"/>
  <c r="Q92" i="6"/>
  <c r="K92" i="4" s="1"/>
  <c r="R92" i="6"/>
  <c r="L92" i="4" s="1"/>
  <c r="Q91" i="6"/>
  <c r="K91" i="4" s="1"/>
  <c r="R91" i="6"/>
  <c r="L91" i="4" s="1"/>
  <c r="Q186" i="6"/>
  <c r="K186" i="4" s="1"/>
  <c r="R186" i="6"/>
  <c r="L186" i="4" s="1"/>
  <c r="Q82" i="6"/>
  <c r="K82" i="4" s="1"/>
  <c r="R82" i="6"/>
  <c r="L82" i="4" s="1"/>
  <c r="Q78" i="6"/>
  <c r="K78" i="4" s="1"/>
  <c r="R78" i="6"/>
  <c r="L78" i="4" s="1"/>
  <c r="Q109" i="6"/>
  <c r="K109" i="4" s="1"/>
  <c r="R109" i="6"/>
  <c r="L109" i="4" s="1"/>
  <c r="Q120" i="6"/>
  <c r="K120" i="4" s="1"/>
  <c r="R120" i="6"/>
  <c r="L120" i="4" s="1"/>
  <c r="Q65" i="6"/>
  <c r="K65" i="4" s="1"/>
  <c r="R65" i="6"/>
  <c r="L65" i="4" s="1"/>
  <c r="Q9" i="6"/>
  <c r="K9" i="4" s="1"/>
  <c r="R9" i="6"/>
  <c r="L9" i="4" s="1"/>
  <c r="Q64" i="6"/>
  <c r="K64" i="4" s="1"/>
  <c r="R64" i="6"/>
  <c r="L64" i="4" s="1"/>
  <c r="Q73" i="6"/>
  <c r="K73" i="4" s="1"/>
  <c r="R73" i="6"/>
  <c r="L73" i="4" s="1"/>
  <c r="Q69" i="6"/>
  <c r="K69" i="4" s="1"/>
  <c r="R69" i="6"/>
  <c r="L69" i="4" s="1"/>
  <c r="Q68" i="6"/>
  <c r="K68" i="4" s="1"/>
  <c r="R68" i="6"/>
  <c r="L68" i="4" s="1"/>
  <c r="Q5" i="6"/>
  <c r="K5" i="4" s="1"/>
  <c r="R5" i="6"/>
  <c r="L5" i="4" s="1"/>
  <c r="Q6" i="6"/>
  <c r="K6" i="4" s="1"/>
  <c r="R6" i="6"/>
  <c r="L6" i="4" s="1"/>
  <c r="Q84" i="6"/>
  <c r="K84" i="4" s="1"/>
  <c r="R84" i="6"/>
  <c r="L84" i="4" s="1"/>
  <c r="Q59" i="6"/>
  <c r="K59" i="4" s="1"/>
  <c r="R59" i="6"/>
  <c r="L59" i="4" s="1"/>
  <c r="Q11" i="6"/>
  <c r="K11" i="4" s="1"/>
  <c r="R11" i="6"/>
  <c r="L11" i="4" s="1"/>
  <c r="Q70" i="6"/>
  <c r="K70" i="4" s="1"/>
  <c r="R70" i="6"/>
  <c r="L70" i="4" s="1"/>
  <c r="Q98" i="6"/>
  <c r="K98" i="4" s="1"/>
  <c r="R98" i="6"/>
  <c r="L98" i="4" s="1"/>
  <c r="Q96" i="6"/>
  <c r="K96" i="4" s="1"/>
  <c r="R96" i="6"/>
  <c r="L96" i="4" s="1"/>
  <c r="Q97" i="6"/>
  <c r="K97" i="4" s="1"/>
  <c r="R97" i="6"/>
  <c r="L97" i="4" s="1"/>
  <c r="Q101" i="6"/>
  <c r="K101" i="4" s="1"/>
  <c r="R101" i="6"/>
  <c r="L101" i="4" s="1"/>
  <c r="Q74" i="6"/>
  <c r="K74" i="4" s="1"/>
  <c r="R74" i="6"/>
  <c r="L74" i="4" s="1"/>
  <c r="Q4" i="6"/>
  <c r="K4" i="4" s="1"/>
  <c r="R4" i="6"/>
  <c r="L4" i="4" s="1"/>
  <c r="Q89" i="6"/>
  <c r="K89" i="4" s="1"/>
  <c r="R89" i="6"/>
  <c r="L89" i="4" s="1"/>
  <c r="Q90" i="6"/>
  <c r="K90" i="4" s="1"/>
  <c r="R90" i="6"/>
  <c r="L90" i="4" s="1"/>
  <c r="Q67" i="6"/>
  <c r="K67" i="4" s="1"/>
  <c r="R67" i="6"/>
  <c r="L67" i="4" s="1"/>
  <c r="Q88" i="6"/>
  <c r="K88" i="4" s="1"/>
  <c r="R88" i="6"/>
  <c r="L88" i="4" s="1"/>
  <c r="Q85" i="6"/>
  <c r="K85" i="4" s="1"/>
  <c r="R85" i="6"/>
  <c r="L85" i="4" s="1"/>
  <c r="Q95" i="6"/>
  <c r="K95" i="4" s="1"/>
  <c r="R95" i="6"/>
  <c r="L95" i="4" s="1"/>
  <c r="Q93" i="6"/>
  <c r="K93" i="4" s="1"/>
  <c r="R93" i="6"/>
  <c r="L93" i="4" s="1"/>
  <c r="Q106" i="6"/>
  <c r="K106" i="4" s="1"/>
  <c r="R106" i="6"/>
  <c r="L106" i="4" s="1"/>
  <c r="Q108" i="6"/>
  <c r="K108" i="4" s="1"/>
  <c r="R108" i="6"/>
  <c r="L108" i="4" s="1"/>
  <c r="Q99" i="6"/>
  <c r="K99" i="4" s="1"/>
  <c r="R99" i="6"/>
  <c r="L99" i="4" s="1"/>
  <c r="Q87" i="6"/>
  <c r="K87" i="4" s="1"/>
  <c r="R87" i="6"/>
  <c r="L87" i="4" s="1"/>
  <c r="Q13" i="6"/>
  <c r="K13" i="4" s="1"/>
  <c r="R13" i="6"/>
  <c r="L13" i="4" s="1"/>
  <c r="Q107" i="6"/>
  <c r="K107" i="4" s="1"/>
  <c r="R107" i="6"/>
  <c r="L107" i="4" s="1"/>
  <c r="Q17" i="6"/>
  <c r="K17" i="4" s="1"/>
  <c r="R17" i="6"/>
  <c r="L17" i="4" s="1"/>
  <c r="Q94" i="6"/>
  <c r="K94" i="4" s="1"/>
  <c r="R94" i="6"/>
  <c r="L94" i="4" s="1"/>
  <c r="Q187" i="6"/>
  <c r="K187" i="4" s="1"/>
  <c r="R187" i="6"/>
  <c r="L187" i="4" s="1"/>
  <c r="Q178" i="6"/>
  <c r="K178" i="4" s="1"/>
  <c r="R178" i="6"/>
  <c r="L178" i="4" s="1"/>
  <c r="Q114" i="6"/>
  <c r="K114" i="4" s="1"/>
  <c r="R114" i="6"/>
  <c r="L114" i="4" s="1"/>
  <c r="Q240" i="6"/>
  <c r="K240" i="4" s="1"/>
  <c r="R240" i="6"/>
  <c r="L240" i="4" s="1"/>
  <c r="Q53" i="6"/>
  <c r="K53" i="4" s="1"/>
  <c r="R53" i="6"/>
  <c r="L53" i="4" s="1"/>
  <c r="Q45" i="6"/>
  <c r="K45" i="4" s="1"/>
  <c r="R45" i="6"/>
  <c r="L45" i="4" s="1"/>
  <c r="Q56" i="6"/>
  <c r="K56" i="4" s="1"/>
  <c r="R56" i="6"/>
  <c r="L56" i="4" s="1"/>
  <c r="Q71" i="6"/>
  <c r="K71" i="4" s="1"/>
  <c r="R71" i="6"/>
  <c r="L71" i="4" s="1"/>
  <c r="Q203" i="6"/>
  <c r="K203" i="4" s="1"/>
  <c r="R203" i="6"/>
  <c r="L203" i="4" s="1"/>
  <c r="Q80" i="6"/>
  <c r="K80" i="4" s="1"/>
  <c r="R80" i="6"/>
  <c r="L80" i="4" s="1"/>
  <c r="Q77" i="6"/>
  <c r="K77" i="4" s="1"/>
  <c r="R77" i="6"/>
  <c r="L77" i="4" s="1"/>
  <c r="Q168" i="6"/>
  <c r="K168" i="4" s="1"/>
  <c r="R168" i="6"/>
  <c r="L168" i="4" s="1"/>
  <c r="Q172" i="6"/>
  <c r="K172" i="4" s="1"/>
  <c r="R172" i="6"/>
  <c r="L172" i="4" s="1"/>
  <c r="Q119" i="6"/>
  <c r="K119" i="4" s="1"/>
  <c r="R119" i="6"/>
  <c r="L119" i="4" s="1"/>
  <c r="Q175" i="6"/>
  <c r="K175" i="4" s="1"/>
  <c r="R175" i="6"/>
  <c r="L175" i="4" s="1"/>
  <c r="Q148" i="6"/>
  <c r="K148" i="4" s="1"/>
  <c r="R148" i="6"/>
  <c r="L148" i="4" s="1"/>
  <c r="Q111" i="6"/>
  <c r="K111" i="4" s="1"/>
  <c r="R111" i="6"/>
  <c r="L111" i="4" s="1"/>
  <c r="Q192" i="6"/>
  <c r="K192" i="4" s="1"/>
  <c r="R192" i="6"/>
  <c r="L192" i="4" s="1"/>
  <c r="Q57" i="6"/>
  <c r="K57" i="4" s="1"/>
  <c r="R57" i="6"/>
  <c r="L57" i="4" s="1"/>
  <c r="Q66" i="6"/>
  <c r="K66" i="4" s="1"/>
  <c r="R66" i="6"/>
  <c r="L66" i="4" s="1"/>
  <c r="Q133" i="6"/>
  <c r="K133" i="4" s="1"/>
  <c r="R133" i="6"/>
  <c r="L133" i="4" s="1"/>
  <c r="Q213" i="6"/>
  <c r="K213" i="4" s="1"/>
  <c r="R213" i="6"/>
  <c r="L213" i="4" s="1"/>
  <c r="Q177" i="6"/>
  <c r="K177" i="4" s="1"/>
  <c r="R177" i="6"/>
  <c r="L177" i="4" s="1"/>
  <c r="Q63" i="6"/>
  <c r="K63" i="4" s="1"/>
  <c r="R63" i="6"/>
  <c r="L63" i="4" s="1"/>
  <c r="Q238" i="6"/>
  <c r="K238" i="4" s="1"/>
  <c r="R238" i="6"/>
  <c r="L238" i="4" s="1"/>
  <c r="Q41" i="6"/>
  <c r="K41" i="4" s="1"/>
  <c r="R41" i="6"/>
  <c r="L41" i="4" s="1"/>
  <c r="Q140" i="6"/>
  <c r="K140" i="4" s="1"/>
  <c r="R140" i="6"/>
  <c r="L140" i="4" s="1"/>
  <c r="Q47" i="6"/>
  <c r="K47" i="4" s="1"/>
  <c r="R47" i="6"/>
  <c r="L47" i="4" s="1"/>
  <c r="Q153" i="6"/>
  <c r="K153" i="4" s="1"/>
  <c r="R153" i="6"/>
  <c r="L153" i="4" s="1"/>
  <c r="Q141" i="6"/>
  <c r="K141" i="4" s="1"/>
  <c r="R141" i="6"/>
  <c r="L141" i="4" s="1"/>
  <c r="Q28" i="6"/>
  <c r="K28" i="4" s="1"/>
  <c r="R28" i="6"/>
  <c r="L28" i="4" s="1"/>
  <c r="Q181" i="6"/>
  <c r="K181" i="4" s="1"/>
  <c r="R181" i="6"/>
  <c r="L181" i="4" s="1"/>
  <c r="Q169" i="6"/>
  <c r="K169" i="4" s="1"/>
  <c r="R169" i="6"/>
  <c r="L169" i="4" s="1"/>
  <c r="Q173" i="6"/>
  <c r="K173" i="4" s="1"/>
  <c r="R173" i="6"/>
  <c r="L173" i="4" s="1"/>
  <c r="Q174" i="6"/>
  <c r="K174" i="4" s="1"/>
  <c r="R174" i="6"/>
  <c r="L174" i="4" s="1"/>
  <c r="Q170" i="6"/>
  <c r="K170" i="4" s="1"/>
  <c r="R170" i="6"/>
  <c r="L170" i="4" s="1"/>
  <c r="Q171" i="6"/>
  <c r="K171" i="4" s="1"/>
  <c r="R171" i="6"/>
  <c r="L171" i="4" s="1"/>
  <c r="Q165" i="6"/>
  <c r="K165" i="4" s="1"/>
  <c r="R165" i="6"/>
  <c r="L165" i="4" s="1"/>
  <c r="Q166" i="6"/>
  <c r="K166" i="4" s="1"/>
  <c r="R166" i="6"/>
  <c r="L166" i="4" s="1"/>
  <c r="Q167" i="6"/>
  <c r="K167" i="4" s="1"/>
  <c r="R167" i="6"/>
  <c r="L167" i="4" s="1"/>
  <c r="Q132" i="6"/>
  <c r="K132" i="4" s="1"/>
  <c r="R132" i="6"/>
  <c r="L132" i="4" s="1"/>
  <c r="Q117" i="6"/>
  <c r="K117" i="4" s="1"/>
  <c r="R117" i="6"/>
  <c r="L117" i="4" s="1"/>
  <c r="Q116" i="6"/>
  <c r="K116" i="4" s="1"/>
  <c r="R116" i="6"/>
  <c r="L116" i="4" s="1"/>
  <c r="Q182" i="6"/>
  <c r="K182" i="4" s="1"/>
  <c r="R182" i="6"/>
  <c r="L182" i="4" s="1"/>
  <c r="Q115" i="6"/>
  <c r="K115" i="4" s="1"/>
  <c r="R115" i="6"/>
  <c r="L115" i="4" s="1"/>
  <c r="Q113" i="6"/>
  <c r="K113" i="4" s="1"/>
  <c r="R113" i="6"/>
  <c r="L113" i="4" s="1"/>
  <c r="Q118" i="6"/>
  <c r="K118" i="4" s="1"/>
  <c r="R118" i="6"/>
  <c r="L118" i="4" s="1"/>
  <c r="Q185" i="6"/>
  <c r="K185" i="4" s="1"/>
  <c r="R185" i="6"/>
  <c r="L185" i="4" s="1"/>
  <c r="Q179" i="6"/>
  <c r="K179" i="4" s="1"/>
  <c r="R179" i="6"/>
  <c r="L179" i="4" s="1"/>
  <c r="Q184" i="6"/>
  <c r="K184" i="4" s="1"/>
  <c r="R184" i="6"/>
  <c r="L184" i="4" s="1"/>
  <c r="Q127" i="6"/>
  <c r="K127" i="4" s="1"/>
  <c r="R127" i="6"/>
  <c r="L127" i="4" s="1"/>
  <c r="Q176" i="6"/>
  <c r="K176" i="4" s="1"/>
  <c r="R176" i="6"/>
  <c r="L176" i="4" s="1"/>
  <c r="Q147" i="6"/>
  <c r="K147" i="4" s="1"/>
  <c r="R147" i="6"/>
  <c r="L147" i="4" s="1"/>
  <c r="Q86" i="6"/>
  <c r="K86" i="4" s="1"/>
  <c r="R86" i="6"/>
  <c r="L86" i="4" s="1"/>
  <c r="Q155" i="6"/>
  <c r="K155" i="4" s="1"/>
  <c r="R155" i="6"/>
  <c r="L155" i="4" s="1"/>
  <c r="Q12" i="6"/>
  <c r="K12" i="4" s="1"/>
  <c r="R12" i="6"/>
  <c r="L12" i="4" s="1"/>
  <c r="Q164" i="6"/>
  <c r="K164" i="4" s="1"/>
  <c r="R164" i="6"/>
  <c r="L164" i="4" s="1"/>
  <c r="Q54" i="6"/>
  <c r="K54" i="4" s="1"/>
  <c r="R54" i="6"/>
  <c r="L54" i="4" s="1"/>
  <c r="Q134" i="6"/>
  <c r="K134" i="4" s="1"/>
  <c r="R134" i="6"/>
  <c r="L134" i="4" s="1"/>
  <c r="Q130" i="6"/>
  <c r="K130" i="4" s="1"/>
  <c r="R130" i="6"/>
  <c r="L130" i="4" s="1"/>
  <c r="Q139" i="6"/>
  <c r="K139" i="4" s="1"/>
  <c r="R139" i="6"/>
  <c r="L139" i="4" s="1"/>
  <c r="Q51" i="6"/>
  <c r="K51" i="4" s="1"/>
  <c r="R51" i="6"/>
  <c r="L51" i="4" s="1"/>
  <c r="Q55" i="6"/>
  <c r="K55" i="4" s="1"/>
  <c r="R55" i="6"/>
  <c r="L55" i="4" s="1"/>
  <c r="Q81" i="6"/>
  <c r="K81" i="4" s="1"/>
  <c r="R81" i="6"/>
  <c r="L81" i="4" s="1"/>
  <c r="Q214" i="6"/>
  <c r="K214" i="4" s="1"/>
  <c r="R214" i="6"/>
  <c r="L214" i="4" s="1"/>
  <c r="Q27" i="6"/>
  <c r="K27" i="4" s="1"/>
  <c r="R27" i="6"/>
  <c r="L27" i="4" s="1"/>
  <c r="Q22" i="6"/>
  <c r="K22" i="4" s="1"/>
  <c r="R22" i="6"/>
  <c r="L22" i="4" s="1"/>
  <c r="Q19" i="6"/>
  <c r="K19" i="4" s="1"/>
  <c r="R19" i="6"/>
  <c r="L19" i="4" s="1"/>
  <c r="Q239" i="6"/>
  <c r="K239" i="4" s="1"/>
  <c r="R239" i="6"/>
  <c r="L239" i="4" s="1"/>
  <c r="Q145" i="6"/>
  <c r="K145" i="4" s="1"/>
  <c r="R145" i="6"/>
  <c r="L145" i="4" s="1"/>
  <c r="Q18" i="6"/>
  <c r="K18" i="4" s="1"/>
  <c r="R18" i="6"/>
  <c r="L18" i="4" s="1"/>
  <c r="Q158" i="6"/>
  <c r="K158" i="4" s="1"/>
  <c r="R158" i="6"/>
  <c r="L158" i="4" s="1"/>
  <c r="Q163" i="6"/>
  <c r="K163" i="4" s="1"/>
  <c r="R163" i="6"/>
  <c r="L163" i="4" s="1"/>
  <c r="Q144" i="6"/>
  <c r="K144" i="4" s="1"/>
  <c r="R144" i="6"/>
  <c r="L144" i="4" s="1"/>
  <c r="Q146" i="6"/>
  <c r="K146" i="4" s="1"/>
  <c r="R146" i="6"/>
  <c r="L146" i="4" s="1"/>
  <c r="Q157" i="6"/>
  <c r="K157" i="4" s="1"/>
  <c r="R157" i="6"/>
  <c r="L157" i="4" s="1"/>
  <c r="Q162" i="6"/>
  <c r="K162" i="4" s="1"/>
  <c r="R162" i="6"/>
  <c r="L162" i="4" s="1"/>
  <c r="Q159" i="6"/>
  <c r="K159" i="4" s="1"/>
  <c r="R159" i="6"/>
  <c r="L159" i="4" s="1"/>
  <c r="Q14" i="6"/>
  <c r="K14" i="4" s="1"/>
  <c r="R14" i="6"/>
  <c r="L14" i="4" s="1"/>
  <c r="Q15" i="6"/>
  <c r="K15" i="4" s="1"/>
  <c r="R15" i="6"/>
  <c r="L15" i="4" s="1"/>
  <c r="Q16" i="6"/>
  <c r="K16" i="4" s="1"/>
  <c r="R16" i="6"/>
  <c r="L16" i="4" s="1"/>
  <c r="Q143" i="6"/>
  <c r="K143" i="4" s="1"/>
  <c r="R143" i="6"/>
  <c r="L143" i="4" s="1"/>
  <c r="Q49" i="6"/>
  <c r="K49" i="4" s="1"/>
  <c r="R49" i="6"/>
  <c r="L49" i="4" s="1"/>
  <c r="Q30" i="6"/>
  <c r="K30" i="4" s="1"/>
  <c r="R30" i="6"/>
  <c r="L30" i="4" s="1"/>
  <c r="Q123" i="6"/>
  <c r="K123" i="4" s="1"/>
  <c r="R123" i="6"/>
  <c r="L123" i="4" s="1"/>
  <c r="Q137" i="6"/>
  <c r="K137" i="4" s="1"/>
  <c r="R137" i="6"/>
  <c r="L137" i="4" s="1"/>
  <c r="Q156" i="6"/>
  <c r="K156" i="4" s="1"/>
  <c r="R156" i="6"/>
  <c r="L156" i="4" s="1"/>
  <c r="Q104" i="6"/>
  <c r="K104" i="4" s="1"/>
  <c r="R104" i="6"/>
  <c r="L104" i="4" s="1"/>
  <c r="Q29" i="6"/>
  <c r="K29" i="4" s="1"/>
  <c r="R29" i="6"/>
  <c r="L29" i="4" s="1"/>
  <c r="Q212" i="6"/>
  <c r="K212" i="4" s="1"/>
  <c r="R212" i="6"/>
  <c r="L212" i="4" s="1"/>
  <c r="Q216" i="6"/>
  <c r="K216" i="4" s="1"/>
  <c r="R216" i="6"/>
  <c r="L216" i="4" s="1"/>
  <c r="Q26" i="6"/>
  <c r="K26" i="4" s="1"/>
  <c r="R26" i="6"/>
  <c r="L26" i="4" s="1"/>
  <c r="Q72" i="6"/>
  <c r="K72" i="4" s="1"/>
  <c r="R72" i="6"/>
  <c r="L72" i="4" s="1"/>
  <c r="Q219" i="6"/>
  <c r="K219" i="4" s="1"/>
  <c r="R219" i="6"/>
  <c r="L219" i="4" s="1"/>
  <c r="Q231" i="6"/>
  <c r="K231" i="4" s="1"/>
  <c r="R231" i="6"/>
  <c r="L231" i="4" s="1"/>
  <c r="Q25" i="6"/>
  <c r="K25" i="4" s="1"/>
  <c r="R25" i="6"/>
  <c r="L25" i="4" s="1"/>
  <c r="Q44" i="6"/>
  <c r="K44" i="4" s="1"/>
  <c r="R44" i="6"/>
  <c r="L44" i="4" s="1"/>
  <c r="Q195" i="6"/>
  <c r="K195" i="4" s="1"/>
  <c r="R195" i="6"/>
  <c r="L195" i="4" s="1"/>
  <c r="Q199" i="6"/>
  <c r="K199" i="4" s="1"/>
  <c r="R199" i="6"/>
  <c r="L199" i="4" s="1"/>
  <c r="Q105" i="6"/>
  <c r="K105" i="4" s="1"/>
  <c r="R105" i="6"/>
  <c r="L105" i="4" s="1"/>
  <c r="Q110" i="6"/>
  <c r="K110" i="4" s="1"/>
  <c r="R110" i="6"/>
  <c r="L110" i="4" s="1"/>
  <c r="Q202" i="6"/>
  <c r="K202" i="4" s="1"/>
  <c r="R202" i="6"/>
  <c r="L202" i="4" s="1"/>
  <c r="Q61" i="6"/>
  <c r="K61" i="4" s="1"/>
  <c r="R61" i="6"/>
  <c r="L61" i="4" s="1"/>
  <c r="Q102" i="6"/>
  <c r="K102" i="4" s="1"/>
  <c r="R102" i="6"/>
  <c r="L102" i="4" s="1"/>
  <c r="Q138" i="6"/>
  <c r="K138" i="4" s="1"/>
  <c r="R138" i="6"/>
  <c r="L138" i="4" s="1"/>
  <c r="Q60" i="6"/>
  <c r="K60" i="4" s="1"/>
  <c r="R60" i="6"/>
  <c r="L60" i="4" s="1"/>
  <c r="Q183" i="6"/>
  <c r="K183" i="4" s="1"/>
  <c r="R183" i="6"/>
  <c r="L183" i="4" s="1"/>
  <c r="Q152" i="6"/>
  <c r="K152" i="4" s="1"/>
  <c r="R152" i="6"/>
  <c r="L152" i="4" s="1"/>
  <c r="Q52" i="6"/>
  <c r="K52" i="4" s="1"/>
  <c r="R52" i="6"/>
  <c r="L52" i="4" s="1"/>
  <c r="Q50" i="6"/>
  <c r="K50" i="4" s="1"/>
  <c r="R50" i="6"/>
  <c r="L50" i="4" s="1"/>
  <c r="Q7" i="6"/>
  <c r="K7" i="4" s="1"/>
  <c r="R7" i="6"/>
  <c r="L7" i="4" s="1"/>
  <c r="Q48" i="6"/>
  <c r="K48" i="4" s="1"/>
  <c r="R48" i="6"/>
  <c r="L48" i="4" s="1"/>
  <c r="Q46" i="6"/>
  <c r="K46" i="4" s="1"/>
  <c r="R46" i="6"/>
  <c r="L46" i="4" s="1"/>
  <c r="Q100" i="6"/>
  <c r="K100" i="4" s="1"/>
  <c r="R100" i="6"/>
  <c r="L100" i="4" s="1"/>
  <c r="Q188" i="6"/>
  <c r="K188" i="4" s="1"/>
  <c r="R188" i="6"/>
  <c r="L188" i="4" s="1"/>
  <c r="Q232" i="6"/>
  <c r="K232" i="4" s="1"/>
  <c r="R232" i="6"/>
  <c r="L232" i="4" s="1"/>
  <c r="Q233" i="6"/>
  <c r="K233" i="4" s="1"/>
  <c r="R233" i="6"/>
  <c r="L233" i="4" s="1"/>
  <c r="Q160" i="6"/>
  <c r="K160" i="4" s="1"/>
  <c r="R160" i="6"/>
  <c r="L160" i="4" s="1"/>
  <c r="Q75" i="6"/>
  <c r="K75" i="4" s="1"/>
  <c r="R75" i="6"/>
  <c r="L75" i="4" s="1"/>
  <c r="Q79" i="6"/>
  <c r="K79" i="4" s="1"/>
  <c r="R79" i="6"/>
  <c r="L79" i="4" s="1"/>
  <c r="Q161" i="6"/>
  <c r="K161" i="4" s="1"/>
  <c r="R161" i="6"/>
  <c r="L161" i="4" s="1"/>
  <c r="Q230" i="6"/>
  <c r="K230" i="4" s="1"/>
  <c r="R230" i="6"/>
  <c r="L230" i="4" s="1"/>
  <c r="Q136" i="6"/>
  <c r="K136" i="4" s="1"/>
  <c r="R136" i="6"/>
  <c r="L136" i="4" s="1"/>
  <c r="Q154" i="6"/>
  <c r="K154" i="4" s="1"/>
  <c r="R154" i="6"/>
  <c r="L154" i="4" s="1"/>
  <c r="Q8" i="6"/>
  <c r="K8" i="4" s="1"/>
  <c r="R8" i="6"/>
  <c r="L8" i="4" s="1"/>
  <c r="Q40" i="6"/>
  <c r="K40" i="4" s="1"/>
  <c r="R40" i="6"/>
  <c r="L40" i="4" s="1"/>
  <c r="Q129" i="6"/>
  <c r="K129" i="4" s="1"/>
  <c r="R129" i="6"/>
  <c r="L129" i="4" s="1"/>
  <c r="Q112" i="6"/>
  <c r="K112" i="4" s="1"/>
  <c r="R112" i="6"/>
  <c r="L112" i="4" s="1"/>
  <c r="Q103" i="6"/>
  <c r="K103" i="4" s="1"/>
  <c r="R103" i="6"/>
  <c r="L103" i="4" s="1"/>
  <c r="Q149" i="6"/>
  <c r="K149" i="4" s="1"/>
  <c r="R149" i="6"/>
  <c r="L149" i="4" s="1"/>
  <c r="Q150" i="6"/>
  <c r="K150" i="4" s="1"/>
  <c r="R150" i="6"/>
  <c r="L150" i="4" s="1"/>
  <c r="Q121" i="6"/>
  <c r="K121" i="4" s="1"/>
  <c r="R121" i="6"/>
  <c r="L121" i="4" s="1"/>
  <c r="Q131" i="6"/>
  <c r="K131" i="4" s="1"/>
  <c r="R131" i="6"/>
  <c r="L131" i="4" s="1"/>
  <c r="Q180" i="6"/>
  <c r="K180" i="4" s="1"/>
  <c r="R180" i="6"/>
  <c r="L180" i="4" s="1"/>
  <c r="Q135" i="6"/>
  <c r="K135" i="4" s="1"/>
  <c r="R135" i="6"/>
  <c r="L135" i="4" s="1"/>
  <c r="Q24" i="6"/>
  <c r="K24" i="4" s="1"/>
  <c r="R24" i="6"/>
  <c r="L24" i="4" s="1"/>
  <c r="Q142" i="6"/>
  <c r="K142" i="4" s="1"/>
  <c r="R142" i="6"/>
  <c r="L142" i="4" s="1"/>
  <c r="Q83" i="6"/>
  <c r="K83" i="4" s="1"/>
  <c r="R83" i="6"/>
  <c r="L83" i="4" s="1"/>
  <c r="Q10" i="6"/>
  <c r="K10" i="4" s="1"/>
  <c r="R10" i="6"/>
  <c r="L10" i="4" s="1"/>
  <c r="R35" i="6"/>
  <c r="L35" i="4" s="1"/>
  <c r="Q35" i="6"/>
  <c r="K35" i="4" s="1"/>
  <c r="Q151" i="6"/>
  <c r="K151" i="4" s="1"/>
  <c r="R151" i="6"/>
  <c r="L151" i="4" s="1"/>
  <c r="Q189" i="6"/>
  <c r="K189" i="4" s="1"/>
  <c r="R189" i="6"/>
  <c r="L189" i="4" s="1"/>
  <c r="V24" i="3" l="1"/>
  <c r="W81" i="4" s="1"/>
  <c r="V13" i="3"/>
  <c r="W29" i="4" s="1"/>
  <c r="V11" i="3"/>
  <c r="W24" i="4" s="1"/>
  <c r="V48" i="3"/>
  <c r="W180" i="4" s="1"/>
  <c r="V36" i="3"/>
  <c r="W156" i="4" s="1"/>
  <c r="V7" i="3"/>
  <c r="W15" i="4" s="1"/>
  <c r="V9" i="3"/>
  <c r="W18" i="4" s="1"/>
  <c r="V39" i="3"/>
  <c r="W164" i="4" s="1"/>
  <c r="V45" i="3"/>
  <c r="W176" i="4" s="1"/>
  <c r="V47" i="3"/>
  <c r="W179" i="4" s="1"/>
  <c r="V42" i="3"/>
  <c r="W173" i="4" s="1"/>
  <c r="V59" i="3"/>
  <c r="W203" i="4" s="1"/>
  <c r="V25" i="3"/>
  <c r="W82" i="4" s="1"/>
  <c r="V17" i="3"/>
  <c r="W37" i="4" s="1"/>
  <c r="V58" i="3"/>
  <c r="W201" i="4" s="1"/>
  <c r="V32" i="3"/>
  <c r="W124" i="4" s="1"/>
  <c r="V61" i="3"/>
  <c r="W207" i="4" s="1"/>
  <c r="V33" i="3"/>
  <c r="W131" i="4" s="1"/>
  <c r="V6" i="3"/>
  <c r="W14" i="4" s="1"/>
  <c r="V35" i="3"/>
  <c r="W146" i="4" s="1"/>
  <c r="V37" i="3"/>
  <c r="W158" i="4" s="1"/>
  <c r="V70" i="3"/>
  <c r="W239" i="4" s="1"/>
  <c r="V21" i="3"/>
  <c r="W51" i="4" s="1"/>
  <c r="V40" i="3"/>
  <c r="W169" i="4" s="1"/>
  <c r="V28" i="3"/>
  <c r="W114" i="4" s="1"/>
  <c r="V27" i="3"/>
  <c r="W94" i="4" s="1"/>
  <c r="V4" i="3"/>
  <c r="W4" i="4" s="1"/>
  <c r="V20" i="3"/>
  <c r="W42" i="4" s="1"/>
  <c r="V68" i="3"/>
  <c r="W229" i="4" s="1"/>
  <c r="V64" i="3"/>
  <c r="W217" i="4" s="1"/>
  <c r="R63" i="3"/>
  <c r="T64" i="3"/>
  <c r="R68" i="3"/>
  <c r="N66" i="3"/>
  <c r="U225" i="4" s="1"/>
  <c r="T35" i="3"/>
  <c r="N33" i="3"/>
  <c r="U131" i="4" s="1"/>
  <c r="L33" i="3"/>
  <c r="P25" i="3"/>
  <c r="L9" i="3"/>
  <c r="P48" i="3"/>
  <c r="T32" i="3"/>
  <c r="R36" i="3"/>
  <c r="T58" i="3"/>
  <c r="L36" i="3"/>
  <c r="R35" i="3"/>
  <c r="N54" i="3"/>
  <c r="U194" i="4" s="1"/>
  <c r="N11" i="3"/>
  <c r="U24" i="4" s="1"/>
  <c r="L50" i="3"/>
  <c r="P32" i="3"/>
  <c r="P68" i="3"/>
  <c r="N9" i="3"/>
  <c r="U18" i="4" s="1"/>
  <c r="P63" i="3"/>
  <c r="L48" i="3"/>
  <c r="R6" i="3"/>
  <c r="T7" i="3"/>
  <c r="N68" i="3"/>
  <c r="U229" i="4" s="1"/>
  <c r="P18" i="3"/>
  <c r="R58" i="3"/>
  <c r="R32" i="3"/>
  <c r="T57" i="3"/>
  <c r="T18" i="3"/>
  <c r="L44" i="3"/>
  <c r="R66" i="3"/>
  <c r="T13" i="3"/>
  <c r="R64" i="3"/>
  <c r="R51" i="3"/>
  <c r="P64" i="3"/>
  <c r="T70" i="3"/>
  <c r="L64" i="3"/>
  <c r="T37" i="3"/>
  <c r="T63" i="3"/>
  <c r="T68" i="3"/>
  <c r="R33" i="3"/>
  <c r="R50" i="3"/>
  <c r="P36" i="3"/>
  <c r="N16" i="3"/>
  <c r="U36" i="4" s="1"/>
  <c r="R17" i="3"/>
  <c r="N7" i="3"/>
  <c r="U15" i="4" s="1"/>
  <c r="N50" i="3"/>
  <c r="U190" i="4" s="1"/>
  <c r="P61" i="3"/>
  <c r="T54" i="3"/>
  <c r="P11" i="3"/>
  <c r="R38" i="3"/>
  <c r="L58" i="3"/>
  <c r="P58" i="3"/>
  <c r="N32" i="3"/>
  <c r="U124" i="4" s="1"/>
  <c r="L11" i="3"/>
  <c r="P17" i="3"/>
  <c r="N17" i="3"/>
  <c r="U37" i="4" s="1"/>
  <c r="N25" i="3"/>
  <c r="U82" i="4" s="1"/>
  <c r="N61" i="3"/>
  <c r="U207" i="4" s="1"/>
  <c r="L54" i="3"/>
  <c r="P7" i="3"/>
  <c r="L23" i="3"/>
  <c r="R9" i="3"/>
  <c r="N58" i="3"/>
  <c r="U201" i="4" s="1"/>
  <c r="P9" i="3"/>
  <c r="L32" i="3"/>
  <c r="P38" i="3"/>
  <c r="T9" i="3"/>
  <c r="P24" i="3"/>
  <c r="T24" i="3"/>
  <c r="T36" i="3"/>
  <c r="N35" i="3"/>
  <c r="U146" i="4" s="1"/>
  <c r="N48" i="3"/>
  <c r="U180" i="4" s="1"/>
  <c r="R11" i="3"/>
  <c r="T11" i="3"/>
  <c r="P57" i="3"/>
  <c r="N70" i="3"/>
  <c r="U239" i="4" s="1"/>
  <c r="P33" i="3"/>
  <c r="N36" i="3"/>
  <c r="U156" i="4" s="1"/>
  <c r="N13" i="3"/>
  <c r="U29" i="4" s="1"/>
  <c r="R48" i="3"/>
  <c r="L37" i="3"/>
  <c r="T48" i="3"/>
  <c r="N24" i="3"/>
  <c r="U81" i="4" s="1"/>
  <c r="P35" i="3"/>
  <c r="P6" i="3"/>
  <c r="T6" i="3"/>
  <c r="N6" i="3"/>
  <c r="U14" i="4" s="1"/>
  <c r="P70" i="3"/>
  <c r="N57" i="3"/>
  <c r="U199" i="4" s="1"/>
  <c r="T33" i="3"/>
  <c r="N37" i="3"/>
  <c r="U158" i="4" s="1"/>
  <c r="P37" i="3"/>
  <c r="R70" i="3"/>
  <c r="R37" i="3"/>
  <c r="R24" i="3"/>
  <c r="P21" i="3"/>
  <c r="P31" i="3"/>
  <c r="P26" i="3"/>
  <c r="V54" i="3"/>
  <c r="W194" i="4" s="1"/>
  <c r="T45" i="3"/>
  <c r="R4" i="3"/>
  <c r="T42" i="3"/>
  <c r="T49" i="3"/>
  <c r="T34" i="3"/>
  <c r="V51" i="3"/>
  <c r="W191" i="4" s="1"/>
  <c r="L51" i="3"/>
  <c r="T59" i="3"/>
  <c r="T4" i="3"/>
  <c r="R25" i="3"/>
  <c r="N51" i="3"/>
  <c r="U191" i="4" s="1"/>
  <c r="T25" i="3"/>
  <c r="N26" i="3"/>
  <c r="U91" i="4" s="1"/>
  <c r="P28" i="3"/>
  <c r="P22" i="3"/>
  <c r="L22" i="3"/>
  <c r="R22" i="3"/>
  <c r="P4" i="3"/>
  <c r="N31" i="3"/>
  <c r="U120" i="4" s="1"/>
  <c r="R53" i="3"/>
  <c r="P39" i="3"/>
  <c r="T51" i="3"/>
  <c r="R26" i="3"/>
  <c r="R47" i="3"/>
  <c r="N34" i="3"/>
  <c r="U141" i="4" s="1"/>
  <c r="T27" i="3"/>
  <c r="N28" i="3"/>
  <c r="U114" i="4" s="1"/>
  <c r="N21" i="3"/>
  <c r="U51" i="4" s="1"/>
  <c r="N42" i="3"/>
  <c r="U173" i="4" s="1"/>
  <c r="P47" i="3"/>
  <c r="T47" i="3"/>
  <c r="R44" i="3"/>
  <c r="N27" i="3"/>
  <c r="U94" i="4" s="1"/>
  <c r="N45" i="3"/>
  <c r="U176" i="4" s="1"/>
  <c r="R55" i="3"/>
  <c r="N55" i="3"/>
  <c r="U197" i="4" s="1"/>
  <c r="V49" i="3"/>
  <c r="W184" i="4" s="1"/>
  <c r="P49" i="3"/>
  <c r="L49" i="3"/>
  <c r="V29" i="3"/>
  <c r="W115" i="4" s="1"/>
  <c r="N29" i="3"/>
  <c r="U115" i="4" s="1"/>
  <c r="V43" i="3"/>
  <c r="W174" i="4" s="1"/>
  <c r="T43" i="3"/>
  <c r="T21" i="3"/>
  <c r="R59" i="3"/>
  <c r="T39" i="3"/>
  <c r="N59" i="3"/>
  <c r="U203" i="4" s="1"/>
  <c r="P54" i="3"/>
  <c r="R42" i="3"/>
  <c r="P29" i="3"/>
  <c r="L40" i="3"/>
  <c r="P40" i="3"/>
  <c r="N71" i="3"/>
  <c r="U241" i="4" s="1"/>
  <c r="N49" i="3"/>
  <c r="U184" i="4" s="1"/>
  <c r="P44" i="3"/>
  <c r="P45" i="3"/>
  <c r="R27" i="3"/>
  <c r="R60" i="3"/>
  <c r="T28" i="3"/>
  <c r="N44" i="3"/>
  <c r="U175" i="4" s="1"/>
  <c r="R16" i="3"/>
  <c r="T10" i="3"/>
  <c r="P10" i="3"/>
  <c r="R30" i="3"/>
  <c r="P30" i="3"/>
  <c r="V5" i="3"/>
  <c r="W13" i="4" s="1"/>
  <c r="T5" i="3"/>
  <c r="P5" i="3"/>
  <c r="R21" i="3"/>
  <c r="P59" i="3"/>
  <c r="N39" i="3"/>
  <c r="U164" i="4" s="1"/>
  <c r="T17" i="3"/>
  <c r="R39" i="3"/>
  <c r="P42" i="3"/>
  <c r="P43" i="3"/>
  <c r="T29" i="3"/>
  <c r="N47" i="3"/>
  <c r="U179" i="4" s="1"/>
  <c r="P27" i="3"/>
  <c r="R45" i="3"/>
  <c r="R28" i="3"/>
  <c r="L47" i="3"/>
  <c r="N65" i="3"/>
  <c r="U218" i="4" s="1"/>
  <c r="P65" i="3"/>
  <c r="V38" i="3"/>
  <c r="W159" i="4" s="1"/>
  <c r="T38" i="3"/>
  <c r="R62" i="3"/>
  <c r="N62" i="3"/>
  <c r="U212" i="4" s="1"/>
  <c r="V57" i="3"/>
  <c r="W199" i="4" s="1"/>
  <c r="V23" i="3"/>
  <c r="W72" i="4" s="1"/>
  <c r="R23" i="3"/>
  <c r="V34" i="3"/>
  <c r="W141" i="4" s="1"/>
  <c r="V19" i="3"/>
  <c r="W41" i="4" s="1"/>
  <c r="N19" i="3"/>
  <c r="U41" i="4" s="1"/>
  <c r="V63" i="3"/>
  <c r="W215" i="4" s="1"/>
  <c r="R19" i="3"/>
  <c r="P34" i="3"/>
  <c r="T23" i="3"/>
  <c r="P69" i="3"/>
  <c r="T69" i="3"/>
  <c r="V69" i="3"/>
  <c r="W230" i="4" s="1"/>
  <c r="N69" i="3"/>
  <c r="U230" i="4" s="1"/>
  <c r="V18" i="3"/>
  <c r="W39" i="4" s="1"/>
  <c r="N18" i="3"/>
  <c r="U39" i="4" s="1"/>
  <c r="T19" i="3"/>
  <c r="T61" i="3"/>
  <c r="P71" i="3"/>
  <c r="N23" i="3"/>
  <c r="U72" i="4" s="1"/>
  <c r="N12" i="3"/>
  <c r="U28" i="4" s="1"/>
  <c r="V26" i="3"/>
  <c r="W91" i="4" s="1"/>
  <c r="R5" i="3"/>
  <c r="N5" i="3"/>
  <c r="U13" i="4" s="1"/>
  <c r="R67" i="3"/>
  <c r="P67" i="3"/>
  <c r="V44" i="3"/>
  <c r="W175" i="4" s="1"/>
  <c r="P53" i="3"/>
  <c r="N43" i="3"/>
  <c r="U174" i="4" s="1"/>
  <c r="N40" i="3"/>
  <c r="U169" i="4" s="1"/>
  <c r="T40" i="3"/>
  <c r="T20" i="3"/>
  <c r="V52" i="3"/>
  <c r="W192" i="4" s="1"/>
  <c r="N52" i="3"/>
  <c r="U192" i="4" s="1"/>
  <c r="R52" i="3"/>
  <c r="P52" i="3"/>
  <c r="V53" i="3"/>
  <c r="W193" i="4" s="1"/>
  <c r="N53" i="3"/>
  <c r="U193" i="4" s="1"/>
  <c r="P60" i="3"/>
  <c r="N20" i="3"/>
  <c r="U42" i="4" s="1"/>
  <c r="V41" i="3"/>
  <c r="W171" i="4" s="1"/>
  <c r="R41" i="3"/>
  <c r="N41" i="3"/>
  <c r="U171" i="4" s="1"/>
  <c r="P41" i="3"/>
  <c r="L53" i="3"/>
  <c r="R61" i="3"/>
  <c r="R40" i="3"/>
  <c r="P20" i="3"/>
  <c r="N60" i="3"/>
  <c r="U204" i="4" s="1"/>
  <c r="V8" i="3"/>
  <c r="W16" i="4" s="1"/>
  <c r="R8" i="3"/>
  <c r="N8" i="3"/>
  <c r="U16" i="4" s="1"/>
  <c r="P8" i="3"/>
  <c r="V60" i="3"/>
  <c r="W204" i="4" s="1"/>
  <c r="V16" i="3"/>
  <c r="W36" i="4" s="1"/>
  <c r="T16" i="3"/>
  <c r="V62" i="3"/>
  <c r="W212" i="4" s="1"/>
  <c r="P62" i="3"/>
  <c r="T62" i="3"/>
  <c r="R13" i="3"/>
  <c r="P13" i="3"/>
  <c r="T12" i="3"/>
  <c r="V12" i="3"/>
  <c r="W28" i="4" s="1"/>
  <c r="P12" i="3"/>
  <c r="V71" i="3"/>
  <c r="W241" i="4" s="1"/>
  <c r="T71" i="3"/>
  <c r="T46" i="3"/>
  <c r="N46" i="3"/>
  <c r="U178" i="4" s="1"/>
  <c r="V31" i="3"/>
  <c r="W120" i="4" s="1"/>
  <c r="T31" i="3"/>
  <c r="V55" i="3"/>
  <c r="W197" i="4" s="1"/>
  <c r="P55" i="3"/>
  <c r="T55" i="3"/>
  <c r="V50" i="3"/>
  <c r="W190" i="4" s="1"/>
  <c r="T50" i="3"/>
  <c r="V65" i="3"/>
  <c r="W218" i="4" s="1"/>
  <c r="R65" i="3"/>
  <c r="V66" i="3"/>
  <c r="W225" i="4" s="1"/>
  <c r="P66" i="3"/>
  <c r="N10" i="3"/>
  <c r="U20" i="4" s="1"/>
  <c r="V10" i="3"/>
  <c r="W20" i="4" s="1"/>
  <c r="R10" i="3"/>
  <c r="N30" i="3"/>
  <c r="U119" i="4" s="1"/>
  <c r="V30" i="3"/>
  <c r="W119" i="4" s="1"/>
  <c r="T30" i="3"/>
  <c r="V22" i="3"/>
  <c r="W64" i="4" s="1"/>
  <c r="T22" i="3"/>
  <c r="V46" i="3"/>
  <c r="W178" i="4" s="1"/>
  <c r="P46" i="3"/>
  <c r="V67" i="3"/>
  <c r="W228" i="4" s="1"/>
  <c r="N67" i="3"/>
  <c r="U228" i="4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MHPRegistry2012" type="6" refreshedVersion="4" background="1" saveData="1">
    <textPr codePage="437" sourceFile="C:\Users\shamshaw\Downloads\MHPRegistry2012.txt" comma="1">
      <textFields count="27">
        <textField/>
        <textField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<sst xmlns="http://schemas.openxmlformats.org/spreadsheetml/2006/main" count="4860" uniqueCount="1856">
  <si>
    <t>MHP_ID</t>
  </si>
  <si>
    <t>County</t>
  </si>
  <si>
    <t>Addison</t>
  </si>
  <si>
    <t>Bristol</t>
  </si>
  <si>
    <t>05443</t>
  </si>
  <si>
    <t>Reg and Brenda</t>
  </si>
  <si>
    <t>Blaise</t>
  </si>
  <si>
    <t>802-453-4207</t>
  </si>
  <si>
    <t>80 Lower Hardscrabble Rd.</t>
  </si>
  <si>
    <t>VT</t>
  </si>
  <si>
    <t>Route 116</t>
  </si>
  <si>
    <t>802-877-2626</t>
  </si>
  <si>
    <t>PO Box 311</t>
  </si>
  <si>
    <t>Vergennes</t>
  </si>
  <si>
    <t>05491</t>
  </si>
  <si>
    <t>Lauritsen MHP</t>
  </si>
  <si>
    <t>Corner of Maple and Pine Streets.</t>
  </si>
  <si>
    <t>KTP or Kountry Trailer Park</t>
  </si>
  <si>
    <t>Off Liberty Street in Village of Bristol</t>
  </si>
  <si>
    <t>05733</t>
  </si>
  <si>
    <t>Johnson</t>
  </si>
  <si>
    <t>Brandon</t>
  </si>
  <si>
    <t>Middlebury</t>
  </si>
  <si>
    <t>05753</t>
  </si>
  <si>
    <t>Vernon</t>
  </si>
  <si>
    <t>Quesnel MHP</t>
  </si>
  <si>
    <t>462 Airport Access Road</t>
  </si>
  <si>
    <t>Quesnel</t>
  </si>
  <si>
    <t>05740</t>
  </si>
  <si>
    <t>16 Perkins Lane</t>
  </si>
  <si>
    <t>802-388-6603</t>
  </si>
  <si>
    <t>C. David Belcher Trust</t>
  </si>
  <si>
    <t>86 Court Street</t>
  </si>
  <si>
    <t>Vaughn MHP</t>
  </si>
  <si>
    <t>Monkton</t>
  </si>
  <si>
    <t>Hollow Road</t>
  </si>
  <si>
    <t>05469</t>
  </si>
  <si>
    <t>Salisbury</t>
  </si>
  <si>
    <t>05769</t>
  </si>
  <si>
    <t>Randall</t>
  </si>
  <si>
    <t>Kirby</t>
  </si>
  <si>
    <t>802-352-4437</t>
  </si>
  <si>
    <t>PO Box 297</t>
  </si>
  <si>
    <t>East Middlebury</t>
  </si>
  <si>
    <t>Starksboro</t>
  </si>
  <si>
    <t>05487</t>
  </si>
  <si>
    <t>Tom</t>
  </si>
  <si>
    <t>Lazy Brook Park</t>
  </si>
  <si>
    <t>Hillside Manor Park</t>
  </si>
  <si>
    <t>Big Hollow Road and Ruby Brace Road</t>
  </si>
  <si>
    <t>Otter Creek Park</t>
  </si>
  <si>
    <t>Panton Road</t>
  </si>
  <si>
    <t>High Manor Park</t>
  </si>
  <si>
    <t>Waltham</t>
  </si>
  <si>
    <t>1202 Green Street</t>
  </si>
  <si>
    <t>Farnsworth</t>
  </si>
  <si>
    <t>802-877-3425</t>
  </si>
  <si>
    <t>Bennington</t>
  </si>
  <si>
    <t>Arlington</t>
  </si>
  <si>
    <t>Rte 7A, Park Lane</t>
  </si>
  <si>
    <t>05250</t>
  </si>
  <si>
    <t>Bill</t>
  </si>
  <si>
    <t>Matson</t>
  </si>
  <si>
    <t>Bruce</t>
  </si>
  <si>
    <t>Mears</t>
  </si>
  <si>
    <t>211 Northside Drive</t>
  </si>
  <si>
    <t>05201</t>
  </si>
  <si>
    <t>802-442-8139</t>
  </si>
  <si>
    <t>PO Box 1247</t>
  </si>
  <si>
    <t>Barney Road, Bennington</t>
  </si>
  <si>
    <t>Marilyn</t>
  </si>
  <si>
    <t>Weglarz</t>
  </si>
  <si>
    <t>802-447-7970</t>
  </si>
  <si>
    <t>Barre</t>
  </si>
  <si>
    <t>05641</t>
  </si>
  <si>
    <t>100 Mountain View Road</t>
  </si>
  <si>
    <t>North Branch Street Ext., Bennington</t>
  </si>
  <si>
    <t>Garden Homes Vermont</t>
  </si>
  <si>
    <t>PO Box 4401</t>
  </si>
  <si>
    <t>Stamford</t>
  </si>
  <si>
    <t>CT</t>
  </si>
  <si>
    <t>06907</t>
  </si>
  <si>
    <t>203-348-2200</t>
  </si>
  <si>
    <t>Sunset Farm MHP</t>
  </si>
  <si>
    <t>John</t>
  </si>
  <si>
    <t>Pownal</t>
  </si>
  <si>
    <t>05261</t>
  </si>
  <si>
    <t>Gore Road, Bennington</t>
  </si>
  <si>
    <t>Route 7, West Road, Bennington</t>
  </si>
  <si>
    <t>802-379-5804</t>
  </si>
  <si>
    <t>Chapel Road, Bennington</t>
  </si>
  <si>
    <t>Chris</t>
  </si>
  <si>
    <t>Denio</t>
  </si>
  <si>
    <t>802-379-1837</t>
  </si>
  <si>
    <t>2557 Nathan Drive 1</t>
  </si>
  <si>
    <t>Off Chapel Road</t>
  </si>
  <si>
    <t>Morgan Street, Bennington</t>
  </si>
  <si>
    <t>Thomas</t>
  </si>
  <si>
    <t>802-828-6904</t>
  </si>
  <si>
    <t>Housing Foundation Inc</t>
  </si>
  <si>
    <t>Montpelier</t>
  </si>
  <si>
    <t>05602</t>
  </si>
  <si>
    <t>333 North Branch Extension, Bennington</t>
  </si>
  <si>
    <t>Michael</t>
  </si>
  <si>
    <t>413-664-1053</t>
  </si>
  <si>
    <t>34 Ashland Street</t>
  </si>
  <si>
    <t>North Adams</t>
  </si>
  <si>
    <t>MA</t>
  </si>
  <si>
    <t>01247</t>
  </si>
  <si>
    <t>S. Stream Road</t>
  </si>
  <si>
    <t>Sweet</t>
  </si>
  <si>
    <t>Smith's Way</t>
  </si>
  <si>
    <t>East Main Street</t>
  </si>
  <si>
    <t>Pamela</t>
  </si>
  <si>
    <t>Monroe</t>
  </si>
  <si>
    <t>802-442-5657</t>
  </si>
  <si>
    <t>Smith</t>
  </si>
  <si>
    <t>Manchester</t>
  </si>
  <si>
    <t>209 Riverside Heights</t>
  </si>
  <si>
    <t>05255</t>
  </si>
  <si>
    <t>Donald</t>
  </si>
  <si>
    <t>Dorr</t>
  </si>
  <si>
    <t>802-362-2210</t>
  </si>
  <si>
    <t>Manchester Center</t>
  </si>
  <si>
    <t>6137 North Main Street</t>
  </si>
  <si>
    <t>Gerald</t>
  </si>
  <si>
    <t>233 Squires Road</t>
  </si>
  <si>
    <t>Ouellette</t>
  </si>
  <si>
    <t>802-362-1581</t>
  </si>
  <si>
    <t>60 Lincoln Street</t>
  </si>
  <si>
    <t>Harvey</t>
  </si>
  <si>
    <t>Route 7</t>
  </si>
  <si>
    <t>Williston</t>
  </si>
  <si>
    <t>05495</t>
  </si>
  <si>
    <t>Royal Pine Villa Mobile Home Court</t>
  </si>
  <si>
    <t>3207 Route 7, Pownal</t>
  </si>
  <si>
    <t>Scott W.</t>
  </si>
  <si>
    <t>Lampman</t>
  </si>
  <si>
    <t>802-823-5222</t>
  </si>
  <si>
    <t>Scott</t>
  </si>
  <si>
    <t>PO Box 45</t>
  </si>
  <si>
    <t>Richard</t>
  </si>
  <si>
    <t>Gray</t>
  </si>
  <si>
    <t>Barbers Pond Trailer Park</t>
  </si>
  <si>
    <t>Barbers Pond Road</t>
  </si>
  <si>
    <t>Braintree</t>
  </si>
  <si>
    <t>Shaftsbury</t>
  </si>
  <si>
    <t>05262</t>
  </si>
  <si>
    <t>Woodford</t>
  </si>
  <si>
    <t>48 Penny Lane, off Rte. 9 East</t>
  </si>
  <si>
    <t>Caledonia</t>
  </si>
  <si>
    <t>Burke</t>
  </si>
  <si>
    <t>05832</t>
  </si>
  <si>
    <t>802-985-3623</t>
  </si>
  <si>
    <t>Shelburne</t>
  </si>
  <si>
    <t>05482</t>
  </si>
  <si>
    <t>Hardwick</t>
  </si>
  <si>
    <t>Mackville Road, Hardwick</t>
  </si>
  <si>
    <t>05843</t>
  </si>
  <si>
    <t>Lamoille Housing Partnership</t>
  </si>
  <si>
    <t>PO Box 637</t>
  </si>
  <si>
    <t>Morrisville</t>
  </si>
  <si>
    <t>05661</t>
  </si>
  <si>
    <t>802-888-5714</t>
  </si>
  <si>
    <t>BCP MHP</t>
  </si>
  <si>
    <t>Route 16, East Hardwick, VT</t>
  </si>
  <si>
    <t>52 Molleur Drive</t>
  </si>
  <si>
    <t>05836</t>
  </si>
  <si>
    <t>Leslie and Jeremy</t>
  </si>
  <si>
    <t>Michaud</t>
  </si>
  <si>
    <t>802-472-6261</t>
  </si>
  <si>
    <t>70 Michaud Farm Road</t>
  </si>
  <si>
    <t>E. Hardwick</t>
  </si>
  <si>
    <t>Riverview Estates</t>
  </si>
  <si>
    <t>Lyndon</t>
  </si>
  <si>
    <t>Rte 114/East Burke Road</t>
  </si>
  <si>
    <t>05851</t>
  </si>
  <si>
    <t>Mark</t>
  </si>
  <si>
    <t>Bean</t>
  </si>
  <si>
    <t>PO Box 1375</t>
  </si>
  <si>
    <t>Lyndonville</t>
  </si>
  <si>
    <t>802-626-8686</t>
  </si>
  <si>
    <t>Maple Ridge Trailer Park</t>
  </si>
  <si>
    <t>P.O. Box 259</t>
  </si>
  <si>
    <t>802-535-3555</t>
  </si>
  <si>
    <t>Northern Hill Estates</t>
  </si>
  <si>
    <t>Hill Street</t>
  </si>
  <si>
    <t>Tute Hill</t>
  </si>
  <si>
    <t>McGill Avenue MHP</t>
  </si>
  <si>
    <t>St. Johnsbury</t>
  </si>
  <si>
    <t>11 McGill Avenue</t>
  </si>
  <si>
    <t>05819</t>
  </si>
  <si>
    <t>Chad</t>
  </si>
  <si>
    <t>Roy</t>
  </si>
  <si>
    <t>18 Oak Street</t>
  </si>
  <si>
    <t>1700 Williston Road</t>
  </si>
  <si>
    <t>Suite 2</t>
  </si>
  <si>
    <t>South Burlington</t>
  </si>
  <si>
    <t>05403</t>
  </si>
  <si>
    <t>Fernwood Manor</t>
  </si>
  <si>
    <t>Chittenden</t>
  </si>
  <si>
    <t>Bolton</t>
  </si>
  <si>
    <t>Route 2, Bolton</t>
  </si>
  <si>
    <t>05676</t>
  </si>
  <si>
    <t>802-828-3022</t>
  </si>
  <si>
    <t>Burlington</t>
  </si>
  <si>
    <t>1106 North Avenue</t>
  </si>
  <si>
    <t>05401</t>
  </si>
  <si>
    <t>Charlotte</t>
  </si>
  <si>
    <t>Jackson Hill, Charlotte</t>
  </si>
  <si>
    <t>05445</t>
  </si>
  <si>
    <t>Frank</t>
  </si>
  <si>
    <t>Tenney</t>
  </si>
  <si>
    <t>802-425-4572</t>
  </si>
  <si>
    <t>76 Jackson Hill Road</t>
  </si>
  <si>
    <t>802-425-2180</t>
  </si>
  <si>
    <t>Colchester</t>
  </si>
  <si>
    <t>1518 Porters Point Road</t>
  </si>
  <si>
    <t>05446</t>
  </si>
  <si>
    <t>Dieter D.</t>
  </si>
  <si>
    <t>Mulac</t>
  </si>
  <si>
    <t>802-865-5183</t>
  </si>
  <si>
    <t>187 Heartwood Lane</t>
  </si>
  <si>
    <t>802-862-7231</t>
  </si>
  <si>
    <t>3691 Roosevelt Highway</t>
  </si>
  <si>
    <t>Westbury Park</t>
  </si>
  <si>
    <t>289 Coventry Road</t>
  </si>
  <si>
    <t>Betty</t>
  </si>
  <si>
    <t>Windemere Estates</t>
  </si>
  <si>
    <t>Mount Mansfield Ave., Colchester</t>
  </si>
  <si>
    <t>Essex</t>
  </si>
  <si>
    <t>63 River Road</t>
  </si>
  <si>
    <t>05452</t>
  </si>
  <si>
    <t>Moreau Revocable Trust</t>
  </si>
  <si>
    <t>1683 St. Andrews Way</t>
  </si>
  <si>
    <t>Prescott</t>
  </si>
  <si>
    <t>AZ</t>
  </si>
  <si>
    <t>86301</t>
  </si>
  <si>
    <t>Hinesburg</t>
  </si>
  <si>
    <t>Richmond Road</t>
  </si>
  <si>
    <t>05761</t>
  </si>
  <si>
    <t>Buck Hill Road East</t>
  </si>
  <si>
    <t>North Rd. and Richmond Rd., Hinesburg</t>
  </si>
  <si>
    <t>05461</t>
  </si>
  <si>
    <t>Birchwood Manor</t>
  </si>
  <si>
    <t>Milton</t>
  </si>
  <si>
    <t>101 West Milton Road, Milton</t>
  </si>
  <si>
    <t>05468</t>
  </si>
  <si>
    <t>Milton Mobile Home Cooperative, Inc.</t>
  </si>
  <si>
    <t>401 Rte 7 South 101</t>
  </si>
  <si>
    <t>St. Albans</t>
  </si>
  <si>
    <t>05478</t>
  </si>
  <si>
    <t>802-527-2361</t>
  </si>
  <si>
    <t>22 Forbes Road, Milton</t>
  </si>
  <si>
    <t>Riverview Commons</t>
  </si>
  <si>
    <t>Richmond</t>
  </si>
  <si>
    <t>Route 117 and Governor Peck Road</t>
  </si>
  <si>
    <t>05477</t>
  </si>
  <si>
    <t>Falcon Management Co.</t>
  </si>
  <si>
    <t>545 Cedar Lane</t>
  </si>
  <si>
    <t>Teaneck</t>
  </si>
  <si>
    <t>NJ</t>
  </si>
  <si>
    <t>07666</t>
  </si>
  <si>
    <t>201-836-0300</t>
  </si>
  <si>
    <t>Shelburne Road</t>
  </si>
  <si>
    <t>Livingston's Trailer Park</t>
  </si>
  <si>
    <t>Nashville Road  Brentwood Dr. Spear St Shelburne VT</t>
  </si>
  <si>
    <t>Clarence</t>
  </si>
  <si>
    <t>Chaplin</t>
  </si>
  <si>
    <t>Rooney</t>
  </si>
  <si>
    <t>7 Lakewood Parkway</t>
  </si>
  <si>
    <t>05408</t>
  </si>
  <si>
    <t>802-862-7386</t>
  </si>
  <si>
    <t>Chambers MHP</t>
  </si>
  <si>
    <t>St. George</t>
  </si>
  <si>
    <t>Route 116, St. George</t>
  </si>
  <si>
    <t>St. George Villa</t>
  </si>
  <si>
    <t>8066 Rte 2A</t>
  </si>
  <si>
    <t>Oak Hill Trailer Park</t>
  </si>
  <si>
    <t>Porter Wood Drive, Williston</t>
  </si>
  <si>
    <t>Ronald</t>
  </si>
  <si>
    <t>Raymond</t>
  </si>
  <si>
    <t>802-434-5846</t>
  </si>
  <si>
    <t>185 Lincoln Hill Road</t>
  </si>
  <si>
    <t>Huntington</t>
  </si>
  <si>
    <t>05462</t>
  </si>
  <si>
    <t>French Hill Manor</t>
  </si>
  <si>
    <t>Route 2</t>
  </si>
  <si>
    <t>David</t>
  </si>
  <si>
    <t>Champlain Housing Trust</t>
  </si>
  <si>
    <t>88 King Street</t>
  </si>
  <si>
    <t>802-862-6244</t>
  </si>
  <si>
    <t>126 Williston Woods Road</t>
  </si>
  <si>
    <t>Williston Woods Cooperative Housing Corp</t>
  </si>
  <si>
    <t>Canaan</t>
  </si>
  <si>
    <t>Off Route 102, West of Canaan</t>
  </si>
  <si>
    <t>05903</t>
  </si>
  <si>
    <t>Concord</t>
  </si>
  <si>
    <t>NH</t>
  </si>
  <si>
    <t>Franklin</t>
  </si>
  <si>
    <t>Enosburg</t>
  </si>
  <si>
    <t>05450</t>
  </si>
  <si>
    <t>Enosburg Falls</t>
  </si>
  <si>
    <t>91 Pleasant View Drive</t>
  </si>
  <si>
    <t>Roger</t>
  </si>
  <si>
    <t>Robitaille</t>
  </si>
  <si>
    <t>802-933-2454</t>
  </si>
  <si>
    <t>Richford</t>
  </si>
  <si>
    <t>05476</t>
  </si>
  <si>
    <t>Rhodeside Acres</t>
  </si>
  <si>
    <t>Georgia</t>
  </si>
  <si>
    <t>Stonebridge Road, Georgia</t>
  </si>
  <si>
    <t>Morgan</t>
  </si>
  <si>
    <t>Highgate</t>
  </si>
  <si>
    <t>Route 78, east of Highgate Center, Pine Haven</t>
  </si>
  <si>
    <t>05459</t>
  </si>
  <si>
    <t>Norman</t>
  </si>
  <si>
    <t>Laroche</t>
  </si>
  <si>
    <t>802-868-7032</t>
  </si>
  <si>
    <t>PO Box 188</t>
  </si>
  <si>
    <t>15 Pine Haven</t>
  </si>
  <si>
    <t>Highgate Center</t>
  </si>
  <si>
    <t>Route 78 Highgate</t>
  </si>
  <si>
    <t>Desorcie</t>
  </si>
  <si>
    <t>802-868-4409</t>
  </si>
  <si>
    <t>PO Box 97</t>
  </si>
  <si>
    <t>Anderson</t>
  </si>
  <si>
    <t>Swanton</t>
  </si>
  <si>
    <t>05488</t>
  </si>
  <si>
    <t>Lamkin Trailer Park</t>
  </si>
  <si>
    <t>Lamkin Street</t>
  </si>
  <si>
    <t>Mike</t>
  </si>
  <si>
    <t>Bouthillette</t>
  </si>
  <si>
    <t>802-527-7312</t>
  </si>
  <si>
    <t>215 Troy Street</t>
  </si>
  <si>
    <t>234 Troy Street</t>
  </si>
  <si>
    <t>Sheldon</t>
  </si>
  <si>
    <t>05483</t>
  </si>
  <si>
    <t>Jewett</t>
  </si>
  <si>
    <t>47 Nason Street, St. Albans</t>
  </si>
  <si>
    <t>1 Lapierre Drive</t>
  </si>
  <si>
    <t>Lapierre</t>
  </si>
  <si>
    <t>126-128 132 Pearl Street; 3-5 Walnut Street</t>
  </si>
  <si>
    <t>Lakeview Trailer Park</t>
  </si>
  <si>
    <t>Route 7, South of St. Albans</t>
  </si>
  <si>
    <t>Choiniere</t>
  </si>
  <si>
    <t>RD 2 Nason Street, St. Albans</t>
  </si>
  <si>
    <t>Simonds</t>
  </si>
  <si>
    <t>102 Lower Newton Street</t>
  </si>
  <si>
    <t>Country Acres</t>
  </si>
  <si>
    <t>South River Road</t>
  </si>
  <si>
    <t>Terese</t>
  </si>
  <si>
    <t>Maslack Ayer</t>
  </si>
  <si>
    <t>802-862-0486</t>
  </si>
  <si>
    <t>PO Box 9213</t>
  </si>
  <si>
    <t>05407</t>
  </si>
  <si>
    <t>Homestead Acres Mobile Home Cooperative</t>
  </si>
  <si>
    <t>Homestead Drive</t>
  </si>
  <si>
    <t>Homestead Acres Co-op, Inc.</t>
  </si>
  <si>
    <t>McWilliams Properties, LLC</t>
  </si>
  <si>
    <t>37 New Street</t>
  </si>
  <si>
    <t>Kevin</t>
  </si>
  <si>
    <t>McWilliams</t>
  </si>
  <si>
    <t>802-868-2451</t>
  </si>
  <si>
    <t>Sunset Terrace Estates</t>
  </si>
  <si>
    <t>35 New Street</t>
  </si>
  <si>
    <t>Middle Road, Swanton</t>
  </si>
  <si>
    <t>Jewett Street MHP</t>
  </si>
  <si>
    <t>4-12 Jewett Street, Swanton Town and Village</t>
  </si>
  <si>
    <t>Cheney</t>
  </si>
  <si>
    <t>PO Box 342</t>
  </si>
  <si>
    <t>Blair Trailer Park</t>
  </si>
  <si>
    <t>Grand Isle</t>
  </si>
  <si>
    <t>Alburgh</t>
  </si>
  <si>
    <t>05440</t>
  </si>
  <si>
    <t>802-796-3282</t>
  </si>
  <si>
    <t>Romeo</t>
  </si>
  <si>
    <t>Blair</t>
  </si>
  <si>
    <t>PO Box 444</t>
  </si>
  <si>
    <t>Alburg</t>
  </si>
  <si>
    <t>East Shore Road, Grand Isle</t>
  </si>
  <si>
    <t>05458</t>
  </si>
  <si>
    <t>Lamoille</t>
  </si>
  <si>
    <t>Eden</t>
  </si>
  <si>
    <t>05652</t>
  </si>
  <si>
    <t>802-888-5995</t>
  </si>
  <si>
    <t>K A Harvey MFG Homes</t>
  </si>
  <si>
    <t>270-2 Harrell St.</t>
  </si>
  <si>
    <t>Hyde Park</t>
  </si>
  <si>
    <t>05655</t>
  </si>
  <si>
    <t>Kenneth</t>
  </si>
  <si>
    <t>802-888-5618</t>
  </si>
  <si>
    <t>Highland Heights MHP</t>
  </si>
  <si>
    <t>Wescom Road, Johnson</t>
  </si>
  <si>
    <t>05656</t>
  </si>
  <si>
    <t>Highland Heights MHP Inc</t>
  </si>
  <si>
    <t>Route 15, Johnson</t>
  </si>
  <si>
    <t>George</t>
  </si>
  <si>
    <t>Wilson Road, North Hyde Park</t>
  </si>
  <si>
    <t>Morristown</t>
  </si>
  <si>
    <t>Off Cochran Road</t>
  </si>
  <si>
    <t>Orange</t>
  </si>
  <si>
    <t>Bradford</t>
  </si>
  <si>
    <t>North side of VT Route 25, just east of US Route 5</t>
  </si>
  <si>
    <t>05033</t>
  </si>
  <si>
    <t>802-476-4493</t>
  </si>
  <si>
    <t>Route 12A</t>
  </si>
  <si>
    <t>05060</t>
  </si>
  <si>
    <t>Meadowbrook MHP</t>
  </si>
  <si>
    <t>161 Smith Road</t>
  </si>
  <si>
    <t>Alice</t>
  </si>
  <si>
    <t>802-476-3204</t>
  </si>
  <si>
    <t>Randolph</t>
  </si>
  <si>
    <t>802-728-4305</t>
  </si>
  <si>
    <t>Randolph Area Community Development Corp.</t>
  </si>
  <si>
    <t>Carriage Barn Park</t>
  </si>
  <si>
    <t>26 Park Street</t>
  </si>
  <si>
    <t>Jacobs</t>
  </si>
  <si>
    <t>PO Box 86</t>
  </si>
  <si>
    <t>802-728-5837</t>
  </si>
  <si>
    <t>05061</t>
  </si>
  <si>
    <t>Cowdrey MHP</t>
  </si>
  <si>
    <t>116 Greene Hill Drive</t>
  </si>
  <si>
    <t>Washington</t>
  </si>
  <si>
    <t>05675</t>
  </si>
  <si>
    <t>Cold Springs Trailer Park</t>
  </si>
  <si>
    <t>West Fairlee</t>
  </si>
  <si>
    <t>05083</t>
  </si>
  <si>
    <t>Williamstown</t>
  </si>
  <si>
    <t>05679</t>
  </si>
  <si>
    <t>Buttles Trailer Park</t>
  </si>
  <si>
    <t>FL</t>
  </si>
  <si>
    <t>Jamieson MHP</t>
  </si>
  <si>
    <t>81 Jamieson Road</t>
  </si>
  <si>
    <t>Shirley</t>
  </si>
  <si>
    <t>Jamieson</t>
  </si>
  <si>
    <t>802-272-6506</t>
  </si>
  <si>
    <t>PO Box 383</t>
  </si>
  <si>
    <t>Route 14, Williamstown</t>
  </si>
  <si>
    <t>Bilodeau MHP</t>
  </si>
  <si>
    <t>Railroad Street</t>
  </si>
  <si>
    <t>Bilodeau</t>
  </si>
  <si>
    <t>Berlin</t>
  </si>
  <si>
    <t>Fairview Estates</t>
  </si>
  <si>
    <t>Orleans</t>
  </si>
  <si>
    <t>Barton</t>
  </si>
  <si>
    <t>114 Park Street</t>
  </si>
  <si>
    <t>05822</t>
  </si>
  <si>
    <t>Coventry</t>
  </si>
  <si>
    <t>US Route 5, Coventry</t>
  </si>
  <si>
    <t>05825</t>
  </si>
  <si>
    <t>Newport</t>
  </si>
  <si>
    <t>05855</t>
  </si>
  <si>
    <t>Derby</t>
  </si>
  <si>
    <t>05829</t>
  </si>
  <si>
    <t>224 Shattuck Hill Road</t>
  </si>
  <si>
    <t>Derby Center Mobile Court</t>
  </si>
  <si>
    <t>27 Boucher Circle, Derby</t>
  </si>
  <si>
    <t>Cotnoir</t>
  </si>
  <si>
    <t>Rene</t>
  </si>
  <si>
    <t>1413 Pine Hill Road</t>
  </si>
  <si>
    <t>Rutland</t>
  </si>
  <si>
    <t>Route 53, Forest Dale</t>
  </si>
  <si>
    <t>Valley View MHP</t>
  </si>
  <si>
    <t>Stephen</t>
  </si>
  <si>
    <t>Zahn</t>
  </si>
  <si>
    <t>386-546-6113</t>
  </si>
  <si>
    <t>Route 73, Brandon</t>
  </si>
  <si>
    <t>Pine Tree Park</t>
  </si>
  <si>
    <t>Frog Hollow Road, Brandon</t>
  </si>
  <si>
    <t>Conway Terrace, Forest Dale</t>
  </si>
  <si>
    <t>FWMHP, LLC</t>
  </si>
  <si>
    <t>Castleton</t>
  </si>
  <si>
    <t>05735</t>
  </si>
  <si>
    <t>Billings</t>
  </si>
  <si>
    <t>PO Box 6473</t>
  </si>
  <si>
    <t>05702</t>
  </si>
  <si>
    <t>802-775-3335</t>
  </si>
  <si>
    <t>River Street, Castleton</t>
  </si>
  <si>
    <t>Fair Haven</t>
  </si>
  <si>
    <t>05743</t>
  </si>
  <si>
    <t>Clarendon</t>
  </si>
  <si>
    <t>Route 7, North Clarendon</t>
  </si>
  <si>
    <t>05759</t>
  </si>
  <si>
    <t>44 Rabtoy Lane</t>
  </si>
  <si>
    <t>Rabtoy</t>
  </si>
  <si>
    <t>North Clarendon</t>
  </si>
  <si>
    <t>Iroquois Village</t>
  </si>
  <si>
    <t>Boynton Drive</t>
  </si>
  <si>
    <t>Karl R.</t>
  </si>
  <si>
    <t>802-773-2832</t>
  </si>
  <si>
    <t>2334 East Clarendon Road</t>
  </si>
  <si>
    <t>Housing Trust of Rutland County</t>
  </si>
  <si>
    <t>802-775-3139</t>
  </si>
  <si>
    <t>05701</t>
  </si>
  <si>
    <t>3 Depot Street</t>
  </si>
  <si>
    <t>Bernardo</t>
  </si>
  <si>
    <t>Valente</t>
  </si>
  <si>
    <t>1364 Pond Hill Road</t>
  </si>
  <si>
    <t>Green Mountain Mobile Manor</t>
  </si>
  <si>
    <t>Airport Road</t>
  </si>
  <si>
    <t>802-265-3597</t>
  </si>
  <si>
    <t>3 Willard Avenue</t>
  </si>
  <si>
    <t>Phelps Family Park</t>
  </si>
  <si>
    <t>Pittsford</t>
  </si>
  <si>
    <t>US Rte 7 and Phelps Lane, Pittsford,VT.</t>
  </si>
  <si>
    <t>05763</t>
  </si>
  <si>
    <t>Poultney</t>
  </si>
  <si>
    <t>05764</t>
  </si>
  <si>
    <t>Arnold</t>
  </si>
  <si>
    <t>518-692-9387</t>
  </si>
  <si>
    <t>Annette</t>
  </si>
  <si>
    <t>20 Church Street</t>
  </si>
  <si>
    <t>Greenwich</t>
  </si>
  <si>
    <t>NY</t>
  </si>
  <si>
    <t>12834</t>
  </si>
  <si>
    <t>Mussey Street Park</t>
  </si>
  <si>
    <t>186 Mussey Street</t>
  </si>
  <si>
    <t>Giancola</t>
  </si>
  <si>
    <t>802-773-6251</t>
  </si>
  <si>
    <t>Crestmark Incorporated</t>
  </si>
  <si>
    <t>140 Granger Steet</t>
  </si>
  <si>
    <t>Preston</t>
  </si>
  <si>
    <t>P.O. Box 6333</t>
  </si>
  <si>
    <t>Miller</t>
  </si>
  <si>
    <t>Mussey Street MHP</t>
  </si>
  <si>
    <t>209-215 Mussey Street</t>
  </si>
  <si>
    <t>33 Allen Street</t>
  </si>
  <si>
    <t>Guido</t>
  </si>
  <si>
    <t>Forte</t>
  </si>
  <si>
    <t>802-773-9590</t>
  </si>
  <si>
    <t>T and C Corporation</t>
  </si>
  <si>
    <t>197 - 183A-E Curtis Avenue</t>
  </si>
  <si>
    <t>Mussey Street, Rutland</t>
  </si>
  <si>
    <t>Yolanda</t>
  </si>
  <si>
    <t>LaValley</t>
  </si>
  <si>
    <t>802-775-4762</t>
  </si>
  <si>
    <t>185 Dorr Drive</t>
  </si>
  <si>
    <t>Bendig</t>
  </si>
  <si>
    <t>802-775-4821</t>
  </si>
  <si>
    <t>PO Box 204</t>
  </si>
  <si>
    <t>Center Rutland</t>
  </si>
  <si>
    <t>05736</t>
  </si>
  <si>
    <t>Prestons Park</t>
  </si>
  <si>
    <t>Curtis Avenue</t>
  </si>
  <si>
    <t>Maryanne</t>
  </si>
  <si>
    <t>Wells</t>
  </si>
  <si>
    <t>Lakes End Court Road</t>
  </si>
  <si>
    <t>05774</t>
  </si>
  <si>
    <t>Raelene</t>
  </si>
  <si>
    <t>Bardwell</t>
  </si>
  <si>
    <t>510 Gage Street</t>
  </si>
  <si>
    <t>596 South Barre Road, Barre VT</t>
  </si>
  <si>
    <t>180 Mill Street, East Barre</t>
  </si>
  <si>
    <t>Bridge Street MHP</t>
  </si>
  <si>
    <t>19 Bridge Street</t>
  </si>
  <si>
    <t>802-223-9571</t>
  </si>
  <si>
    <t>East Montpelier</t>
  </si>
  <si>
    <t>05651</t>
  </si>
  <si>
    <t>Henry A.</t>
  </si>
  <si>
    <t>802-223-2524</t>
  </si>
  <si>
    <t>Berlin Corner MHP</t>
  </si>
  <si>
    <t>Turner Hill Road</t>
  </si>
  <si>
    <t>Patterson MHP</t>
  </si>
  <si>
    <t>Duxbury</t>
  </si>
  <si>
    <t>489 Main Street</t>
  </si>
  <si>
    <t>Waterbury</t>
  </si>
  <si>
    <t>Route 14, East Montpelier</t>
  </si>
  <si>
    <t>Moretown</t>
  </si>
  <si>
    <t>05660</t>
  </si>
  <si>
    <t>Northfield</t>
  </si>
  <si>
    <t>94 North Main Street</t>
  </si>
  <si>
    <t>05663</t>
  </si>
  <si>
    <t>Ronald E.</t>
  </si>
  <si>
    <t>Tucker</t>
  </si>
  <si>
    <t>Cornelia</t>
  </si>
  <si>
    <t>Winch Hill Park</t>
  </si>
  <si>
    <t>Winch Hill</t>
  </si>
  <si>
    <t>103 Fiske Drive</t>
  </si>
  <si>
    <t>Donna M.</t>
  </si>
  <si>
    <t>Gerdes</t>
  </si>
  <si>
    <t>802-485-6925</t>
  </si>
  <si>
    <t>Donna</t>
  </si>
  <si>
    <t>431 Roxbury Road</t>
  </si>
  <si>
    <t>Roxbury</t>
  </si>
  <si>
    <t>05669</t>
  </si>
  <si>
    <t>Trombly's Trailer Park</t>
  </si>
  <si>
    <t>196 VT Rte 12 South</t>
  </si>
  <si>
    <t>Trombly</t>
  </si>
  <si>
    <t>802-485-8394</t>
  </si>
  <si>
    <t>Fairgrounds Road, Northfield</t>
  </si>
  <si>
    <t>802-485-8158</t>
  </si>
  <si>
    <t>Box 119</t>
  </si>
  <si>
    <t>Northfield Falls</t>
  </si>
  <si>
    <t>05664</t>
  </si>
  <si>
    <t>Verd-Mont</t>
  </si>
  <si>
    <t>Waitsfield</t>
  </si>
  <si>
    <t>Verdmont Road</t>
  </si>
  <si>
    <t>05673</t>
  </si>
  <si>
    <t>Off Kneeland Flats Road, Waterbury, VT</t>
  </si>
  <si>
    <t>Donald J.</t>
  </si>
  <si>
    <t>Peck</t>
  </si>
  <si>
    <t>Donald and Patricia</t>
  </si>
  <si>
    <t>Pittsfield</t>
  </si>
  <si>
    <t>05762</t>
  </si>
  <si>
    <t>Andy</t>
  </si>
  <si>
    <t>Lebanon</t>
  </si>
  <si>
    <t>03766</t>
  </si>
  <si>
    <t>05601</t>
  </si>
  <si>
    <t>Tenney's Trailer Park</t>
  </si>
  <si>
    <t>Windham</t>
  </si>
  <si>
    <t>Athens</t>
  </si>
  <si>
    <t>170 Brookline Road</t>
  </si>
  <si>
    <t>05143</t>
  </si>
  <si>
    <t>Tenney Sr.</t>
  </si>
  <si>
    <t>802-869-3155</t>
  </si>
  <si>
    <t>Tenney, Sr.</t>
  </si>
  <si>
    <t>156 Brookline Road</t>
  </si>
  <si>
    <t>Tenney, Jr.</t>
  </si>
  <si>
    <t>802-869-2158</t>
  </si>
  <si>
    <t>Black Mountain Park</t>
  </si>
  <si>
    <t>Brattleboro</t>
  </si>
  <si>
    <t>Crescent Drive, Brattleboro VT 05301</t>
  </si>
  <si>
    <t>802-257-4877</t>
  </si>
  <si>
    <t>42 Village Dr</t>
  </si>
  <si>
    <t>Mountain Home Park</t>
  </si>
  <si>
    <t>Deepwood Drive, Brattleboro</t>
  </si>
  <si>
    <t>05301</t>
  </si>
  <si>
    <t>Glen Park</t>
  </si>
  <si>
    <t>Glen Street, Brattleboro, VT</t>
  </si>
  <si>
    <t>Charette's Trailer Park</t>
  </si>
  <si>
    <t>Dummerston</t>
  </si>
  <si>
    <t>Rte 5</t>
  </si>
  <si>
    <t>05357</t>
  </si>
  <si>
    <t>Guilford</t>
  </si>
  <si>
    <t>Route 5 South, 3 miles from the Mass. border</t>
  </si>
  <si>
    <t>Ralph</t>
  </si>
  <si>
    <t>Winchester</t>
  </si>
  <si>
    <t>5356 Coolidge Hwy</t>
  </si>
  <si>
    <t>Wilkins Trailer Park</t>
  </si>
  <si>
    <t>Jamaica</t>
  </si>
  <si>
    <t>38 River Road</t>
  </si>
  <si>
    <t>05343</t>
  </si>
  <si>
    <t>Larry</t>
  </si>
  <si>
    <t>Locust Hill MHP</t>
  </si>
  <si>
    <t>Putney</t>
  </si>
  <si>
    <t>Locust Lane, Putney VT</t>
  </si>
  <si>
    <t>05346</t>
  </si>
  <si>
    <t>802-254-4604</t>
  </si>
  <si>
    <t>Windham and Windsor Housing Trust</t>
  </si>
  <si>
    <t>68 Birge Street</t>
  </si>
  <si>
    <t>Rockingham</t>
  </si>
  <si>
    <t>212 Rockingham Street, Bellows Falls</t>
  </si>
  <si>
    <t>05101</t>
  </si>
  <si>
    <t>Bellows Falls</t>
  </si>
  <si>
    <t>North Shore Trailer Park</t>
  </si>
  <si>
    <t>127 Missing Link Road</t>
  </si>
  <si>
    <t>Holcomb</t>
  </si>
  <si>
    <t>Benson's Park</t>
  </si>
  <si>
    <t>Westminster Street</t>
  </si>
  <si>
    <t>05154</t>
  </si>
  <si>
    <t>Dave</t>
  </si>
  <si>
    <t>Moore</t>
  </si>
  <si>
    <t>802-869-2020</t>
  </si>
  <si>
    <t>PO Box 424</t>
  </si>
  <si>
    <t>Saxtons River</t>
  </si>
  <si>
    <t>Newton Road, Vernon</t>
  </si>
  <si>
    <t>05354</t>
  </si>
  <si>
    <t>Westminster</t>
  </si>
  <si>
    <t>Back Westminster Road</t>
  </si>
  <si>
    <t>05158</t>
  </si>
  <si>
    <t>Windsor</t>
  </si>
  <si>
    <t>Bethel</t>
  </si>
  <si>
    <t>Camp Brook Road</t>
  </si>
  <si>
    <t>05032</t>
  </si>
  <si>
    <t>Pleasant Street</t>
  </si>
  <si>
    <t>Cavendish</t>
  </si>
  <si>
    <t>Farrugia Drive</t>
  </si>
  <si>
    <t>Proctorsville</t>
  </si>
  <si>
    <t>05153</t>
  </si>
  <si>
    <t>Chester</t>
  </si>
  <si>
    <t>Roy and Renee</t>
  </si>
  <si>
    <t>Amsden</t>
  </si>
  <si>
    <t>37 Rolland Road</t>
  </si>
  <si>
    <t>802-875-2358</t>
  </si>
  <si>
    <t>Hartford</t>
  </si>
  <si>
    <t>Old River Road</t>
  </si>
  <si>
    <t>05001</t>
  </si>
  <si>
    <t>Leisure Living Parks, Inc.</t>
  </si>
  <si>
    <t>PO Box 4314</t>
  </si>
  <si>
    <t>White River Junction</t>
  </si>
  <si>
    <t>802-295-7216</t>
  </si>
  <si>
    <t>Chambers Mobile Home Village</t>
  </si>
  <si>
    <t>1 Chambers Lane</t>
  </si>
  <si>
    <t>Tall Timbers MH Community, LLC</t>
  </si>
  <si>
    <t>Hebert</t>
  </si>
  <si>
    <t>802-295-3373</t>
  </si>
  <si>
    <t>603-448-0825</t>
  </si>
  <si>
    <t>Wilder</t>
  </si>
  <si>
    <t>05088</t>
  </si>
  <si>
    <t>Woodside Manor</t>
  </si>
  <si>
    <t>Blake Drive, Hartford and Hartland</t>
  </si>
  <si>
    <t>Dale</t>
  </si>
  <si>
    <t>Snader</t>
  </si>
  <si>
    <t>Tuckerville</t>
  </si>
  <si>
    <t>Ludlow</t>
  </si>
  <si>
    <t>Tuckerville Parkway, Ludlow</t>
  </si>
  <si>
    <t>05149</t>
  </si>
  <si>
    <t>Black River Mobile Court</t>
  </si>
  <si>
    <t>36 Main Street</t>
  </si>
  <si>
    <t>Sheehan</t>
  </si>
  <si>
    <t>32 Main Street</t>
  </si>
  <si>
    <t>Stryhas Trailer Park</t>
  </si>
  <si>
    <t>Pleasant Street Extension</t>
  </si>
  <si>
    <t>Terrianne</t>
  </si>
  <si>
    <t>Stryhas</t>
  </si>
  <si>
    <t>8472 Jones Road</t>
  </si>
  <si>
    <t>Larkspur</t>
  </si>
  <si>
    <t>CO</t>
  </si>
  <si>
    <t>80118</t>
  </si>
  <si>
    <t>303-660-4737</t>
  </si>
  <si>
    <t>Royalton</t>
  </si>
  <si>
    <t>05068</t>
  </si>
  <si>
    <t>South Royalton</t>
  </si>
  <si>
    <t>Riverbend Park</t>
  </si>
  <si>
    <t>South Windsor Street</t>
  </si>
  <si>
    <t>802-291-7000</t>
  </si>
  <si>
    <t>Twin Pines Housing Trust</t>
  </si>
  <si>
    <t>802-763-7716</t>
  </si>
  <si>
    <t>PO Box 190</t>
  </si>
  <si>
    <t>Sharon</t>
  </si>
  <si>
    <t>05065</t>
  </si>
  <si>
    <t>Rte 14</t>
  </si>
  <si>
    <t>Springfield</t>
  </si>
  <si>
    <t>05156</t>
  </si>
  <si>
    <t>Dunham</t>
  </si>
  <si>
    <t>E</t>
  </si>
  <si>
    <t>Rupsis</t>
  </si>
  <si>
    <t>06770</t>
  </si>
  <si>
    <t>203-232-2335</t>
  </si>
  <si>
    <t>Red Maple MHP</t>
  </si>
  <si>
    <t>258 Fairground Road</t>
  </si>
  <si>
    <t>Hall</t>
  </si>
  <si>
    <t>802-886-5092</t>
  </si>
  <si>
    <t>260 Fairground Road</t>
  </si>
  <si>
    <t>Martin Court MHP</t>
  </si>
  <si>
    <t>Martin Court</t>
  </si>
  <si>
    <t>Dailey</t>
  </si>
  <si>
    <t>Gary</t>
  </si>
  <si>
    <t>PO Box 62</t>
  </si>
  <si>
    <t>North Springfield</t>
  </si>
  <si>
    <t>05150</t>
  </si>
  <si>
    <t>802-886-8356</t>
  </si>
  <si>
    <t>Weathersfield</t>
  </si>
  <si>
    <t>5268 Route 5</t>
  </si>
  <si>
    <t>05151</t>
  </si>
  <si>
    <t>Maxwell</t>
  </si>
  <si>
    <t>Frazer</t>
  </si>
  <si>
    <t>802-674-9288</t>
  </si>
  <si>
    <t>PO Box 201</t>
  </si>
  <si>
    <t>Ascutney</t>
  </si>
  <si>
    <t>05030</t>
  </si>
  <si>
    <t>Mountain View Trailer Park</t>
  </si>
  <si>
    <t>Jason Smith Rd. Ascutney, VT</t>
  </si>
  <si>
    <t>Everett</t>
  </si>
  <si>
    <t>Bingham</t>
  </si>
  <si>
    <t>PO Box 221</t>
  </si>
  <si>
    <t>802-674-5626</t>
  </si>
  <si>
    <t>Route 5</t>
  </si>
  <si>
    <t>Steven</t>
  </si>
  <si>
    <t>802-356-9237</t>
  </si>
  <si>
    <t>Windy Hill Acres</t>
  </si>
  <si>
    <t>Town Farm Road, Springfield</t>
  </si>
  <si>
    <t>Ascutney Basin Road</t>
  </si>
  <si>
    <t>802-484-7214</t>
  </si>
  <si>
    <t>Colonial Manor</t>
  </si>
  <si>
    <t>Joy</t>
  </si>
  <si>
    <t>802-546-7136</t>
  </si>
  <si>
    <t>Wes and Joy</t>
  </si>
  <si>
    <t>1161 Route 5</t>
  </si>
  <si>
    <t>05089</t>
  </si>
  <si>
    <t>Bunker Hill Community Co-op</t>
  </si>
  <si>
    <t>77A Bunker Hill Court</t>
  </si>
  <si>
    <t>Bunker Hill Community Cooperative</t>
  </si>
  <si>
    <t>Woodstock</t>
  </si>
  <si>
    <t>Route 12 Hartland Four Corners</t>
  </si>
  <si>
    <t>05091</t>
  </si>
  <si>
    <t>RR 2, Woodstock</t>
  </si>
  <si>
    <t>Park Name</t>
  </si>
  <si>
    <t>Town</t>
  </si>
  <si>
    <t>Physical Address</t>
  </si>
  <si>
    <t>Physical Zip Code</t>
  </si>
  <si>
    <t>Year Established</t>
  </si>
  <si>
    <t>Manager First Name</t>
  </si>
  <si>
    <t>Manager Last Name</t>
  </si>
  <si>
    <t>Manager Phone Number</t>
  </si>
  <si>
    <t>Owner First Name</t>
  </si>
  <si>
    <t>Owner Last Name</t>
  </si>
  <si>
    <t>Owner Organization</t>
  </si>
  <si>
    <t>Owner Address</t>
  </si>
  <si>
    <t>Owner Address 2</t>
  </si>
  <si>
    <t>Owner City</t>
  </si>
  <si>
    <t>Owner State</t>
  </si>
  <si>
    <t>Owner Zip Code</t>
  </si>
  <si>
    <t>Owner Phone Number</t>
  </si>
  <si>
    <t>Total Lots</t>
  </si>
  <si>
    <t>Leased Lots</t>
  </si>
  <si>
    <t>Vacant Lots</t>
  </si>
  <si>
    <t>Leaseholder Owned</t>
  </si>
  <si>
    <t>Other Owned</t>
  </si>
  <si>
    <t>Total Rent</t>
  </si>
  <si>
    <t>MOBILE HOME PARK INFRASTRUCTURE ANALYSIS</t>
  </si>
  <si>
    <t>MHP ID</t>
  </si>
  <si>
    <t>MHP Name</t>
  </si>
  <si>
    <t>Town Name</t>
  </si>
  <si>
    <t>Water System Type</t>
  </si>
  <si>
    <t>Connection Type / Source</t>
  </si>
  <si>
    <t>Treatment Violations</t>
  </si>
  <si>
    <t>All Violations</t>
  </si>
  <si>
    <t>Sewage</t>
  </si>
  <si>
    <t>Permit DEC</t>
  </si>
  <si>
    <t>Permit Act 250</t>
  </si>
  <si>
    <t>For profit</t>
  </si>
  <si>
    <t>Community On-Site</t>
  </si>
  <si>
    <t>Municipal</t>
  </si>
  <si>
    <t>Bennington Water Dept.</t>
  </si>
  <si>
    <t>MH-8-0005</t>
  </si>
  <si>
    <t>Consecutive Community</t>
  </si>
  <si>
    <t>Hartford Water Dept.</t>
  </si>
  <si>
    <t>Non-profit</t>
  </si>
  <si>
    <t xml:space="preserve">Community </t>
  </si>
  <si>
    <t>gravel wells (2)</t>
  </si>
  <si>
    <t>rock well</t>
  </si>
  <si>
    <t>Springfield Water Dept.</t>
  </si>
  <si>
    <t>Individual On-Site</t>
  </si>
  <si>
    <t>community, driven well</t>
  </si>
  <si>
    <t>On-Site</t>
  </si>
  <si>
    <t>Randolph Village</t>
  </si>
  <si>
    <t>drilled well</t>
  </si>
  <si>
    <t>rock well &amp; spring</t>
  </si>
  <si>
    <t>MH-4-0004</t>
  </si>
  <si>
    <t>4C0070 to -3</t>
  </si>
  <si>
    <t>Well</t>
  </si>
  <si>
    <t>WW-4-3200</t>
  </si>
  <si>
    <t>gravel well</t>
  </si>
  <si>
    <t>MH-2-0002</t>
  </si>
  <si>
    <t>2S0629-3</t>
  </si>
  <si>
    <t>driven well</t>
  </si>
  <si>
    <t>spring</t>
  </si>
  <si>
    <t>On-site</t>
  </si>
  <si>
    <t>wells</t>
  </si>
  <si>
    <t>Drilled well</t>
  </si>
  <si>
    <t xml:space="preserve"> spring</t>
  </si>
  <si>
    <t>3 rock wells</t>
  </si>
  <si>
    <t>Shaftsbury Water System</t>
  </si>
  <si>
    <t>Cooperative</t>
  </si>
  <si>
    <t>Brattleboro Water Dept.</t>
  </si>
  <si>
    <t>2W0260</t>
  </si>
  <si>
    <t>springs</t>
  </si>
  <si>
    <t>Putney Water System</t>
  </si>
  <si>
    <t>Burlington Dept. Public Works Water Div.</t>
  </si>
  <si>
    <t>Richford Water System</t>
  </si>
  <si>
    <t>gravel well &amp; spring</t>
  </si>
  <si>
    <t>MH-5-0014</t>
  </si>
  <si>
    <t>rock well, springs (2)</t>
  </si>
  <si>
    <t>WW-4-2535</t>
  </si>
  <si>
    <t>rock wells (2)</t>
  </si>
  <si>
    <t>East Middlebury F.D. 1</t>
  </si>
  <si>
    <t>Shelburne Water Dept.</t>
  </si>
  <si>
    <t>Milton Water Dept.</t>
  </si>
  <si>
    <t>WW-4-0035, ID-9-0065</t>
  </si>
  <si>
    <t>Hinesburg Water Dept.</t>
  </si>
  <si>
    <t>Bristol Water Dept.</t>
  </si>
  <si>
    <t>Enosburg Falls Water System</t>
  </si>
  <si>
    <t>6F0199</t>
  </si>
  <si>
    <t>Bedrock well</t>
  </si>
  <si>
    <t>St. Albans Water Dept.</t>
  </si>
  <si>
    <t>MH-6-0009</t>
  </si>
  <si>
    <t>MH-6-0010</t>
  </si>
  <si>
    <t>6F0061 (expired)</t>
  </si>
  <si>
    <t>Swanton Village Water</t>
  </si>
  <si>
    <t>MH-6-0007</t>
  </si>
  <si>
    <t>6F0290-1</t>
  </si>
  <si>
    <t>Vergennes Panton Water District</t>
  </si>
  <si>
    <t>Johnson Village Water Dept.</t>
  </si>
  <si>
    <t>5L0179-1</t>
  </si>
  <si>
    <t>7C0157, 7C0157-1</t>
  </si>
  <si>
    <t>ID-9-0143</t>
  </si>
  <si>
    <t>well points</t>
  </si>
  <si>
    <t>MH-4-0006, ID-9-0222</t>
  </si>
  <si>
    <t>4C0545</t>
  </si>
  <si>
    <t>rock wells (2), Q235</t>
  </si>
  <si>
    <t>Berlin Water</t>
  </si>
  <si>
    <t>rock well, gravel wells (3)</t>
  </si>
  <si>
    <t>ID-9-0221</t>
  </si>
  <si>
    <t xml:space="preserve"> rock well</t>
  </si>
  <si>
    <t>ID-9-0131</t>
  </si>
  <si>
    <t>30013 &amp; P24300013-1</t>
  </si>
  <si>
    <t>Williamstown Water Dept.</t>
  </si>
  <si>
    <t>groundwater</t>
  </si>
  <si>
    <t>MH-5-0009 to -3, ID-9-0270</t>
  </si>
  <si>
    <t>500032 to -11</t>
  </si>
  <si>
    <t>rock wells (5)</t>
  </si>
  <si>
    <t>MH-8-0007, WW-8-0128</t>
  </si>
  <si>
    <t>Hardwick Town Water System</t>
  </si>
  <si>
    <t>Fair Haven Water Dept.</t>
  </si>
  <si>
    <t>Northfield Water Dept.</t>
  </si>
  <si>
    <t>MH-5-0008</t>
  </si>
  <si>
    <t>rock wells (3)</t>
  </si>
  <si>
    <t>5L0923 to 5L0923-2</t>
  </si>
  <si>
    <t>Approval letter</t>
  </si>
  <si>
    <t>5L0931 to 5L0931-6</t>
  </si>
  <si>
    <t>5L0056-2</t>
  </si>
  <si>
    <t>MH-5-0002</t>
  </si>
  <si>
    <t>MH-5-0011</t>
  </si>
  <si>
    <t>5W0384 to -2</t>
  </si>
  <si>
    <t>Waterbury Village Water</t>
  </si>
  <si>
    <t>driven point and gravel wells</t>
  </si>
  <si>
    <t>Derby Center Water System</t>
  </si>
  <si>
    <t>Lyndonville Water System</t>
  </si>
  <si>
    <t>St. Johnsbury Water System</t>
  </si>
  <si>
    <t>MH-7-0003 to 0003-2a</t>
  </si>
  <si>
    <t>7C0020-5</t>
  </si>
  <si>
    <t>Municipal/On-site</t>
  </si>
  <si>
    <t>Rutland City Water Dept.</t>
  </si>
  <si>
    <t>MH-1-0017</t>
  </si>
  <si>
    <t>Spring</t>
  </si>
  <si>
    <t>rock well &amp; gravel well</t>
  </si>
  <si>
    <t>dug well (1), gravel well (1)</t>
  </si>
  <si>
    <t>Manchester Water Dept.</t>
  </si>
  <si>
    <t>MH-8-0006</t>
  </si>
  <si>
    <t>5424, 5580</t>
  </si>
  <si>
    <t xml:space="preserve">community, </t>
  </si>
  <si>
    <t>rock and dug wells</t>
  </si>
  <si>
    <t>rock wells (2), gravel well</t>
  </si>
  <si>
    <t>300021-7</t>
  </si>
  <si>
    <t>ID-9-0188, TT-6-0055</t>
  </si>
  <si>
    <t>Bellows Falls Water Dept.</t>
  </si>
  <si>
    <t>ID-9-0234</t>
  </si>
  <si>
    <t>MH-7-0006</t>
  </si>
  <si>
    <t>200002 and -A</t>
  </si>
  <si>
    <t>WW-1-1818</t>
  </si>
  <si>
    <t>7C0701</t>
  </si>
  <si>
    <t>East Hardwick Fire District 2</t>
  </si>
  <si>
    <t>East Hardwick Fire District 1</t>
  </si>
  <si>
    <t>MH-5-0003,WW-5-5284</t>
  </si>
  <si>
    <t>springs (2)</t>
  </si>
  <si>
    <t>WW-6-0586</t>
  </si>
  <si>
    <t>Ownership Type</t>
  </si>
  <si>
    <t>Year Est.</t>
  </si>
  <si>
    <t>MOBILE HOME PARKS WITH LOTS SUSCEPTIBLE TO FLOOD HAZARDS</t>
  </si>
  <si>
    <t>Fluvial Erosion Hazard / River Setback</t>
  </si>
  <si>
    <t>Estimated Number of Lots by Highest FEMA Flood Hazard Areas</t>
  </si>
  <si>
    <t>Mobile Home Park Name</t>
  </si>
  <si>
    <t>Flooded during 2011</t>
  </si>
  <si>
    <t>Highest Flood Hazard Area of Lots in Park</t>
  </si>
  <si>
    <t>Highest FEH Zone of Lots in Park</t>
  </si>
  <si>
    <t>Highest Flood Hazard Area of Land in Park</t>
  </si>
  <si>
    <t>Floodplain Data Source</t>
  </si>
  <si>
    <t>Total Lots in Park</t>
  </si>
  <si>
    <t>FEH Zone</t>
  </si>
  <si>
    <t>% of Lots</t>
  </si>
  <si>
    <t>River Buffer</t>
  </si>
  <si>
    <t>Floodway</t>
  </si>
  <si>
    <t>100 Year Floodplain</t>
  </si>
  <si>
    <t>500 Year Floodplain</t>
  </si>
  <si>
    <t>All Flood Hazards</t>
  </si>
  <si>
    <t>Yes*</t>
  </si>
  <si>
    <t>Extreme</t>
  </si>
  <si>
    <t>Draft DFIRM</t>
  </si>
  <si>
    <t>DFIRM</t>
  </si>
  <si>
    <t>100 Year Flood Plain</t>
  </si>
  <si>
    <t>No</t>
  </si>
  <si>
    <t>High</t>
  </si>
  <si>
    <t>Very High</t>
  </si>
  <si>
    <t>Digitized FIRM</t>
  </si>
  <si>
    <t>None</t>
  </si>
  <si>
    <t>Not Available</t>
  </si>
  <si>
    <t>500 Year Flood Plain</t>
  </si>
  <si>
    <t>Paper FIRM</t>
  </si>
  <si>
    <t>Within 50' or 100' of River</t>
  </si>
  <si>
    <t>% of Lots2</t>
  </si>
  <si>
    <t>% of Lots3</t>
  </si>
  <si>
    <t>% of Lots4</t>
  </si>
  <si>
    <t>% of Lots5</t>
  </si>
  <si>
    <t>% of Lots6</t>
  </si>
  <si>
    <t>SUMMARY OF MOBILE HOME PARK ANALYSIS</t>
  </si>
  <si>
    <t>Year Purchased</t>
  </si>
  <si>
    <t>Park Owned</t>
  </si>
  <si>
    <t># Lots</t>
  </si>
  <si>
    <t>% Lots</t>
  </si>
  <si>
    <t>% Leased</t>
  </si>
  <si>
    <t>Park Owned2</t>
  </si>
  <si>
    <t>Other Owned3</t>
  </si>
  <si>
    <t>Park Owned4</t>
  </si>
  <si>
    <t>Other Owned5</t>
  </si>
  <si>
    <t>Park Owned6</t>
  </si>
  <si>
    <t>Other Owned7</t>
  </si>
  <si>
    <t>Park Owned8</t>
  </si>
  <si>
    <t>Other Owned9</t>
  </si>
  <si>
    <t># Lots10</t>
  </si>
  <si>
    <t>% Lots11</t>
  </si>
  <si>
    <t># Lots12</t>
  </si>
  <si>
    <t>% Lots13</t>
  </si>
  <si>
    <t># Lots14</t>
  </si>
  <si>
    <t>% Lots15</t>
  </si>
  <si>
    <t># Lots16</t>
  </si>
  <si>
    <t>% Lots17</t>
  </si>
  <si>
    <t># Lots18</t>
  </si>
  <si>
    <t>% Lots19</t>
  </si>
  <si>
    <t>Vacancy and Rent Trend Summary</t>
  </si>
  <si>
    <t>Sewer System Type</t>
  </si>
  <si>
    <t>Infrastructure Summary</t>
  </si>
  <si>
    <t>% of Lots in FEH or River Setback</t>
  </si>
  <si>
    <t>Flood Hazard Summary</t>
  </si>
  <si>
    <t>% of Lots in all Flood Hazard Areas</t>
  </si>
  <si>
    <t># of Lots in FEH or River Setback</t>
  </si>
  <si>
    <t># of Lots in all Flood Hazard Areas</t>
  </si>
  <si>
    <t>Unknown</t>
  </si>
  <si>
    <t>Blaises Riverside Rentals, LLC</t>
  </si>
  <si>
    <t>802-388-7816</t>
  </si>
  <si>
    <t>115 Quesnel lane</t>
  </si>
  <si>
    <t>505 Mims Avenue</t>
  </si>
  <si>
    <t>P.O. Box 353</t>
  </si>
  <si>
    <t>Johnston</t>
  </si>
  <si>
    <t>SC</t>
  </si>
  <si>
    <t>29832</t>
  </si>
  <si>
    <t>1869 Harwood Hill Road</t>
  </si>
  <si>
    <t>802-828-3295</t>
  </si>
  <si>
    <t>Deyo</t>
  </si>
  <si>
    <t>James</t>
  </si>
  <si>
    <t>418 Lane Road</t>
  </si>
  <si>
    <t>Dorset</t>
  </si>
  <si>
    <t>05251</t>
  </si>
  <si>
    <t>978-407-0913</t>
  </si>
  <si>
    <t>Patrick and Connie</t>
  </si>
  <si>
    <t>401-765-7300</t>
  </si>
  <si>
    <t>c/o First Choice Property Management</t>
  </si>
  <si>
    <t>48 Hamlet Avenue</t>
  </si>
  <si>
    <t>Woonsocket</t>
  </si>
  <si>
    <t>RI</t>
  </si>
  <si>
    <t>02895</t>
  </si>
  <si>
    <t>Jeff</t>
  </si>
  <si>
    <t>Bishop</t>
  </si>
  <si>
    <t>Cathedral Square Corporation</t>
  </si>
  <si>
    <t>Pleasant View Drive MHP</t>
  </si>
  <si>
    <t>802-524-5480</t>
  </si>
  <si>
    <t>248 Rhodeside Acres</t>
  </si>
  <si>
    <t>ANDCO Mobile Home Co-op, Inc.</t>
  </si>
  <si>
    <t>115 Virginia Lane</t>
  </si>
  <si>
    <t>P.O. Box 1207</t>
  </si>
  <si>
    <t>Spring St RT 7</t>
  </si>
  <si>
    <t>Ken and Martha</t>
  </si>
  <si>
    <t>802-272-9476</t>
  </si>
  <si>
    <t>Doyle</t>
  </si>
  <si>
    <t>Depot Street Fair Haven MHP</t>
  </si>
  <si>
    <t>Edgewood and Highland Avenue</t>
  </si>
  <si>
    <t>Leck</t>
  </si>
  <si>
    <t>772-589-1753</t>
  </si>
  <si>
    <t>Sebastian</t>
  </si>
  <si>
    <t>32958</t>
  </si>
  <si>
    <t>802-379-0112</t>
  </si>
  <si>
    <t>LaGue Inc.</t>
  </si>
  <si>
    <t>Dorothy</t>
  </si>
  <si>
    <t>Northstar MHP</t>
  </si>
  <si>
    <t>Hartland</t>
  </si>
  <si>
    <t>05048</t>
  </si>
  <si>
    <t>Martin</t>
  </si>
  <si>
    <t>802-436-2554</t>
  </si>
  <si>
    <t>Hideaway Campground Association, Inc.</t>
  </si>
  <si>
    <t>Squirrel Hill</t>
  </si>
  <si>
    <t>802-228-4567</t>
  </si>
  <si>
    <t>802-345-4265</t>
  </si>
  <si>
    <t>Eric</t>
  </si>
  <si>
    <t>Pamela and Gary</t>
  </si>
  <si>
    <t>Data sources:</t>
  </si>
  <si>
    <t>Infrastructure Tab - Vermont Agency of Natural Resources</t>
  </si>
  <si>
    <r>
      <t>Text/Data entered (original) on that Tab in bold type.</t>
    </r>
    <r>
      <rPr>
        <sz val="11"/>
        <color theme="1"/>
        <rFont val="Calibri"/>
        <family val="2"/>
        <scheme val="minor"/>
      </rPr>
      <t xml:space="preserve"> </t>
    </r>
  </si>
  <si>
    <t>Text/Data pulled from other Tab in regular type.</t>
  </si>
  <si>
    <t>MHP's list sorted alphabetically by County, Town, then MHP Name</t>
  </si>
  <si>
    <t>Key = MHP ID (Department assigned number for each MHP)</t>
  </si>
  <si>
    <t xml:space="preserve">Flood Hazards Tab - University of Vermont Department of Community Development and Applied Economics research funded by the USDA Disaster Resilience for Rural Communities Program </t>
  </si>
  <si>
    <t>Catamount Mobile Home Park</t>
  </si>
  <si>
    <t>Green Mountain Mobile Home Park</t>
  </si>
  <si>
    <t>BAM Development LLC</t>
  </si>
  <si>
    <t>Country Estates Mobile Home Park, LLC</t>
  </si>
  <si>
    <t>Frazers Mobile Home Park, LLC</t>
  </si>
  <si>
    <t>Richards Mobile Home Park</t>
  </si>
  <si>
    <t>Skunk Hollow Mobile Home Park</t>
  </si>
  <si>
    <t>Greene's Mobile Home Park</t>
  </si>
  <si>
    <t>East Barre</t>
  </si>
  <si>
    <t>05649</t>
  </si>
  <si>
    <t>Markwell Mobile Home Park</t>
  </si>
  <si>
    <t>T and L Mobile Home Park</t>
  </si>
  <si>
    <t>358 Mill Road</t>
  </si>
  <si>
    <t>Marjorie</t>
  </si>
  <si>
    <t>Hamel</t>
  </si>
  <si>
    <t>802-763-7565</t>
  </si>
  <si>
    <t>Shady Pines Mobile Home Park</t>
  </si>
  <si>
    <t>P.O. Box 157</t>
  </si>
  <si>
    <t>Amsden's Mobile Home Park</t>
  </si>
  <si>
    <t>Farrar Mobile Home Park</t>
  </si>
  <si>
    <t>Farrugia Mobile Home Park</t>
  </si>
  <si>
    <t>Mountain View Court Mobile Home</t>
  </si>
  <si>
    <t>East Mountain Mobile Home Park</t>
  </si>
  <si>
    <t>Manchester Mobile Home Park</t>
  </si>
  <si>
    <t>Evergreen Mobile Home Park</t>
  </si>
  <si>
    <t>Harrington Mobile Home Park</t>
  </si>
  <si>
    <t>802-490-6483</t>
  </si>
  <si>
    <t>Mobile Acres Mobile Home Park</t>
  </si>
  <si>
    <t>River Hill Mobile Home Park</t>
  </si>
  <si>
    <t>928-713-7237</t>
  </si>
  <si>
    <t>Lindale Mobile Home Park</t>
  </si>
  <si>
    <t>Lakeview Mobile Home Park</t>
  </si>
  <si>
    <t>Triple L Mobile Home Park</t>
  </si>
  <si>
    <t>527 Orchard Street</t>
  </si>
  <si>
    <t>Tenney Mobile Home Park</t>
  </si>
  <si>
    <t>Post Mobile Home Park</t>
  </si>
  <si>
    <t>Lapierre Mobile Home Park</t>
  </si>
  <si>
    <t>Town and Country Estates</t>
  </si>
  <si>
    <t>LynnLou Mobile Home Park</t>
  </si>
  <si>
    <t>Kittell's Mobile Home Park</t>
  </si>
  <si>
    <t>Roy's Mobile Home Park</t>
  </si>
  <si>
    <t>Simonds Mobile Home Park</t>
  </si>
  <si>
    <t>Desorcie Mobile Home Park</t>
  </si>
  <si>
    <t>Brookside Mobile Home Park</t>
  </si>
  <si>
    <t>Brierwood Mobile Home Park</t>
  </si>
  <si>
    <t>East Wind Mobile Home Park</t>
  </si>
  <si>
    <t>Unsworth Properties, LLC</t>
  </si>
  <si>
    <t>802-879-4504</t>
  </si>
  <si>
    <t>Trek Communities, LLC</t>
  </si>
  <si>
    <t>Riverside Mobile Home Park</t>
  </si>
  <si>
    <t>Martha A and Kenneth A</t>
  </si>
  <si>
    <t>Mt Ascutney Mobile Home Park</t>
  </si>
  <si>
    <t>Green Lantern Mobile Home Park</t>
  </si>
  <si>
    <t>Oak Street Mobile Home Park</t>
  </si>
  <si>
    <t>Woodbriar Mobile Home Park</t>
  </si>
  <si>
    <t>Whistle Stop Mobile Home Park</t>
  </si>
  <si>
    <t>Weston Mobile Home Park</t>
  </si>
  <si>
    <t>Coburn Mobile Home Park</t>
  </si>
  <si>
    <t>Cooper's Bay Mobile Home Park</t>
  </si>
  <si>
    <t>Deepwood Mobile Home Park</t>
  </si>
  <si>
    <t>Mountain View Mobile Home Park</t>
  </si>
  <si>
    <t>Northwind Mobile Home Park</t>
  </si>
  <si>
    <t>Olcott Falls Mobile Home Park</t>
  </si>
  <si>
    <t>Sandy Pines Mobile Home Park</t>
  </si>
  <si>
    <t>Forest Dale Mobile Home Park</t>
  </si>
  <si>
    <t>White Birches Mobile Home Park</t>
  </si>
  <si>
    <t>Garrity</t>
  </si>
  <si>
    <t>W B Mobile Home Park, Inc.</t>
  </si>
  <si>
    <t>6 North Pond Road</t>
  </si>
  <si>
    <t>Southwick</t>
  </si>
  <si>
    <t>01077</t>
  </si>
  <si>
    <t>860-402-2344</t>
  </si>
  <si>
    <t>Northfield Falls Mobile Home Park</t>
  </si>
  <si>
    <t>Berlin Mobile Home Park</t>
  </si>
  <si>
    <t>River Run Mobile Home Park</t>
  </si>
  <si>
    <t>RMC Mobile Home Park</t>
  </si>
  <si>
    <t>Crosstown Road Mobile Home Park</t>
  </si>
  <si>
    <t>1083 US Route 2</t>
  </si>
  <si>
    <t>East Barre Mobile Home Park</t>
  </si>
  <si>
    <t>Pleasant View Mobile Home Park</t>
  </si>
  <si>
    <t>Limehurst Mobile Home Park</t>
  </si>
  <si>
    <t>Fradette</t>
  </si>
  <si>
    <t>802-472-8444</t>
  </si>
  <si>
    <t>111 Porter Brook Road</t>
  </si>
  <si>
    <t>East Hardwick</t>
  </si>
  <si>
    <t>Smith Mobile Home Park</t>
  </si>
  <si>
    <t>Johnson Mobile Home Park</t>
  </si>
  <si>
    <t>94 North Main Mobile Home Park</t>
  </si>
  <si>
    <t>Tucker Mobile Home Park</t>
  </si>
  <si>
    <t>Windy Hollow Mobile Home Park</t>
  </si>
  <si>
    <t>ANDCO Mobile Home Park</t>
  </si>
  <si>
    <t>Lennox Mobile Home Park</t>
  </si>
  <si>
    <t>Skip's Mobile Home Park</t>
  </si>
  <si>
    <t>Lakes End Mobile Home Park</t>
  </si>
  <si>
    <t>144 W. Cobble Hill Road</t>
  </si>
  <si>
    <t>Shattuck Hill Mobile Home Park</t>
  </si>
  <si>
    <t>West Road Mobile Home Park</t>
  </si>
  <si>
    <t>Gore Road Mobile Home Park</t>
  </si>
  <si>
    <t>Mears Mobile Home Park</t>
  </si>
  <si>
    <t>81 Cramton Road</t>
  </si>
  <si>
    <t>Dorr Drive Mobile Home Park</t>
  </si>
  <si>
    <t>Sam St, Steve St, Kate St, Lily Pond Rd</t>
  </si>
  <si>
    <t>Allen Street Mobile Home Park</t>
  </si>
  <si>
    <t>Willows Mobile Home Park</t>
  </si>
  <si>
    <t>Merrimac Mobile Home Park</t>
  </si>
  <si>
    <t>Sweet's Mobile Home Park</t>
  </si>
  <si>
    <t>Patnode Mobile Home Park</t>
  </si>
  <si>
    <t>Smith's Mobile Home Park</t>
  </si>
  <si>
    <t>Derby Mobile Home Park</t>
  </si>
  <si>
    <t>Woodland Heights Mobile Home Park</t>
  </si>
  <si>
    <t>Maple Ridge Mobile Home Park</t>
  </si>
  <si>
    <t>Strong's Mobile Home Park</t>
  </si>
  <si>
    <t>St. Albans Mobile Home Park</t>
  </si>
  <si>
    <t>Kneeland Flats Mobile Home Park</t>
  </si>
  <si>
    <t>54 South Street</t>
  </si>
  <si>
    <t>Valley Mobile Home Park</t>
  </si>
  <si>
    <t>J. Earl Perkins Mobile Home Park</t>
  </si>
  <si>
    <t>Hillside Mobile Home Park</t>
  </si>
  <si>
    <t>Winter Lane</t>
  </si>
  <si>
    <t>Kenneth A.</t>
  </si>
  <si>
    <t>Rabtoy MHP</t>
  </si>
  <si>
    <t>Sylvia</t>
  </si>
  <si>
    <t>O'Brien</t>
  </si>
  <si>
    <t>99 North Main Mobile Home Park</t>
  </si>
  <si>
    <t>Forestdale Manor</t>
  </si>
  <si>
    <t>WW-3-10169</t>
  </si>
  <si>
    <t>1R0342</t>
  </si>
  <si>
    <t>In Dam Inundation Area</t>
  </si>
  <si>
    <t>Preliminary DFIRM</t>
  </si>
  <si>
    <t>Yes</t>
  </si>
  <si>
    <t>well</t>
  </si>
  <si>
    <t>Community</t>
  </si>
  <si>
    <t>MH-5-0007, WW-5-3236</t>
  </si>
  <si>
    <t>MH-9-0003-1</t>
  </si>
  <si>
    <t>2W0260-1, -2</t>
  </si>
  <si>
    <t>MH-4-0001, ID-9-0035</t>
  </si>
  <si>
    <t>MH-4-0005</t>
  </si>
  <si>
    <t>MH-1-0010</t>
  </si>
  <si>
    <t>MH-7-0004, WW-7-1562</t>
  </si>
  <si>
    <t>MH-8-0003, MH-8-0004-DUP</t>
  </si>
  <si>
    <t>MHP-2-0010</t>
  </si>
  <si>
    <t>MHP-3-0009, ID-9-0160, WW-3-0200-R2</t>
  </si>
  <si>
    <t>WW-7-1640</t>
  </si>
  <si>
    <t>MH-1-0011, MH-1-0019</t>
  </si>
  <si>
    <t>MH-1-0014</t>
  </si>
  <si>
    <t>MH-1-0018</t>
  </si>
  <si>
    <t>MH-5-0015</t>
  </si>
  <si>
    <t>MH-5-0019, WW-5-6011</t>
  </si>
  <si>
    <t>MH-6-0005</t>
  </si>
  <si>
    <t>MH-6-0011</t>
  </si>
  <si>
    <t>MH-7-0007</t>
  </si>
  <si>
    <t>MH-8-0001-1</t>
  </si>
  <si>
    <t>MH-8-0002</t>
  </si>
  <si>
    <t>MH-9-0009</t>
  </si>
  <si>
    <t>MH-9-0006, WW-9-0982</t>
  </si>
  <si>
    <t>MH-9-0010</t>
  </si>
  <si>
    <t>MHP-3-0007</t>
  </si>
  <si>
    <t>MHP-3-0008</t>
  </si>
  <si>
    <t>MH-5-0013</t>
  </si>
  <si>
    <t>5W0257-2</t>
  </si>
  <si>
    <t>MH-5-0004, WW-5-6413</t>
  </si>
  <si>
    <t>MH-5-0005</t>
  </si>
  <si>
    <t>MH-5-0006</t>
  </si>
  <si>
    <t>MH-5-0010, WW-5-3880</t>
  </si>
  <si>
    <t xml:space="preserve">EC-5-1866-R2 </t>
  </si>
  <si>
    <t>MH-5-0017, WW-5-6731, EC-5-3521</t>
  </si>
  <si>
    <t>MH-4-0000, WW-4-3008</t>
  </si>
  <si>
    <t>MH-1-0006</t>
  </si>
  <si>
    <t>MH-5-0016</t>
  </si>
  <si>
    <t>WW-4-3966-1</t>
  </si>
  <si>
    <t>MH-7-0008</t>
  </si>
  <si>
    <t>7C0101</t>
  </si>
  <si>
    <t>MH-2-0014, WW-2-0311-R2</t>
  </si>
  <si>
    <t>3W0155, WW-3-1547-2</t>
  </si>
  <si>
    <t>Small-Scale (potable, &lt;25 users)</t>
  </si>
  <si>
    <t>Pownal Fire District #2</t>
  </si>
  <si>
    <t>WW-2-5101</t>
  </si>
  <si>
    <t>Kirby Dr.</t>
  </si>
  <si>
    <t>Abraham</t>
  </si>
  <si>
    <t>Cozy Meadow</t>
  </si>
  <si>
    <t>Thomas and Debra</t>
  </si>
  <si>
    <t>Hanson</t>
  </si>
  <si>
    <t>P.O. Box 566</t>
  </si>
  <si>
    <t>Nassau</t>
  </si>
  <si>
    <t>518-477-4127</t>
  </si>
  <si>
    <t>Burdick and Burdick Trailer Park</t>
  </si>
  <si>
    <t>4 Blueberry Hill, Route 7</t>
  </si>
  <si>
    <t>413-663-9285</t>
  </si>
  <si>
    <t>Glenwood Mobile Home Park</t>
  </si>
  <si>
    <t>Burke Hollow Road, Burke</t>
  </si>
  <si>
    <t>Evergreen Manor</t>
  </si>
  <si>
    <t>Rural Edge</t>
  </si>
  <si>
    <t>North Avenue Co-op</t>
  </si>
  <si>
    <t>CDI Development Fund, Inc.</t>
  </si>
  <si>
    <t>P.O. Box 1051</t>
  </si>
  <si>
    <t>Northampton</t>
  </si>
  <si>
    <t>518-569-7863</t>
  </si>
  <si>
    <t>Shelburnewood Drive</t>
  </si>
  <si>
    <t>219 Shelburnewood Drive</t>
  </si>
  <si>
    <t>Brian K</t>
  </si>
  <si>
    <t>Audrey M.</t>
  </si>
  <si>
    <t>802-782-9178</t>
  </si>
  <si>
    <t>802-782-9197</t>
  </si>
  <si>
    <t>Harvey MHP</t>
  </si>
  <si>
    <t>Ship Sevin II, LLC</t>
  </si>
  <si>
    <t>Downstreet Housing and Community Development</t>
  </si>
  <si>
    <t>Jacobs Mobile Home Park</t>
  </si>
  <si>
    <t>Jacobs Court</t>
  </si>
  <si>
    <t>Linda</t>
  </si>
  <si>
    <t>Haven Meadows</t>
  </si>
  <si>
    <t>Estate of Rodney F. White</t>
  </si>
  <si>
    <t>Sheila</t>
  </si>
  <si>
    <t>Jones</t>
  </si>
  <si>
    <t>802-483-2868</t>
  </si>
  <si>
    <t>1372 US Route 7</t>
  </si>
  <si>
    <t>So. side of Curtis Ave.</t>
  </si>
  <si>
    <t>B and D Properties, LLC</t>
  </si>
  <si>
    <t>HARR LLC</t>
  </si>
  <si>
    <t>Junction Road</t>
  </si>
  <si>
    <t>US Route 2, Berlin</t>
  </si>
  <si>
    <t>2112 River Road, Moretown</t>
  </si>
  <si>
    <t>East Wind Drive, Waterbury Center, VT</t>
  </si>
  <si>
    <t>42 Village Drive - Off Route 9 West</t>
  </si>
  <si>
    <t>Tri-Park Cooperative Housing Corp.</t>
  </si>
  <si>
    <t>North Shore Properties, LLC</t>
  </si>
  <si>
    <t>Richards Mobile Home Park LLC</t>
  </si>
  <si>
    <t>40 Moosewood Way, Quechee</t>
  </si>
  <si>
    <t>860-235-9067</t>
  </si>
  <si>
    <t>21 Pattagansett Drive</t>
  </si>
  <si>
    <t>East Lyme</t>
  </si>
  <si>
    <t>Royalton Terrace</t>
  </si>
  <si>
    <t>12123</t>
  </si>
  <si>
    <t>01061</t>
  </si>
  <si>
    <t>06333</t>
  </si>
  <si>
    <t>VACANCY AND RENT ANALYSIS</t>
  </si>
  <si>
    <t>Champlain Water District</t>
  </si>
  <si>
    <t>WW-3-0850</t>
  </si>
  <si>
    <t>Maximum Contamination Violations</t>
  </si>
  <si>
    <t>WSID (Water Supply ID)</t>
  </si>
  <si>
    <t>Monitoring and Reporting Violations</t>
  </si>
  <si>
    <t>WW-5-4262</t>
  </si>
  <si>
    <t>Vacancy and Rent Tab - Vermont DHCD Registration of Mobile Home Parks</t>
  </si>
  <si>
    <t>Addison County Community Trust</t>
  </si>
  <si>
    <t>Michelle</t>
  </si>
  <si>
    <t>Northern Vermont Rentals, LLC</t>
  </si>
  <si>
    <t>PO Box 4322</t>
  </si>
  <si>
    <t>802-535-6360</t>
  </si>
  <si>
    <t>802-861-6468</t>
  </si>
  <si>
    <t>William</t>
  </si>
  <si>
    <t>802-310-0522</t>
  </si>
  <si>
    <t>Katy Win Mobile Home Development</t>
  </si>
  <si>
    <t>Katy Win Road</t>
  </si>
  <si>
    <t>Pinecrest Mobile Home Park</t>
  </si>
  <si>
    <t>22 Keith Ave. Ste. 100</t>
  </si>
  <si>
    <t>Kristen</t>
  </si>
  <si>
    <t>Connors</t>
  </si>
  <si>
    <t>802-295-0042</t>
  </si>
  <si>
    <t>Davis</t>
  </si>
  <si>
    <t>Buttles Park Road</t>
  </si>
  <si>
    <t>802-238-1896</t>
  </si>
  <si>
    <t>Forest Dale Mobile Home Park, Inc.</t>
  </si>
  <si>
    <t>Triangle Cooperative, Inc.</t>
  </si>
  <si>
    <t>Eastwood Manor Mobile Home Park</t>
  </si>
  <si>
    <t>184 Beach Road</t>
  </si>
  <si>
    <t>Rte 12 adjacent to Tops Supermarket</t>
  </si>
  <si>
    <t>14 North Shore Drive</t>
  </si>
  <si>
    <t>P.O. Box 726</t>
  </si>
  <si>
    <t>Naugatuck</t>
  </si>
  <si>
    <t>05047</t>
  </si>
  <si>
    <t>WW-6-3036, WW-6-3036-1</t>
  </si>
  <si>
    <t>WW-3-0586, WW-3-0586-1</t>
  </si>
  <si>
    <t>ID-9-0086</t>
  </si>
  <si>
    <t>518-932-7528</t>
  </si>
  <si>
    <t>PO Box 4255</t>
  </si>
  <si>
    <t>802-447-0429</t>
  </si>
  <si>
    <t>Emaish</t>
  </si>
  <si>
    <t>Shires Housing Inc.</t>
  </si>
  <si>
    <t>882 Murphy Rd</t>
  </si>
  <si>
    <t>North Bennington</t>
  </si>
  <si>
    <t>Kamaljit</t>
  </si>
  <si>
    <t>Singh</t>
  </si>
  <si>
    <t>802-472-6882</t>
  </si>
  <si>
    <t>802-651-3000</t>
  </si>
  <si>
    <t>Brian</t>
  </si>
  <si>
    <t>802-933-5114</t>
  </si>
  <si>
    <t>PO Box 780</t>
  </si>
  <si>
    <t>St.Albans</t>
  </si>
  <si>
    <t>VT Route 66</t>
  </si>
  <si>
    <t>Eugene</t>
  </si>
  <si>
    <t>Bisson</t>
  </si>
  <si>
    <t>PO Box 536</t>
  </si>
  <si>
    <t>93 Mountain Home Park</t>
  </si>
  <si>
    <t>Depot Street</t>
  </si>
  <si>
    <t>Hideaway Campground Assoc.</t>
  </si>
  <si>
    <t>Overlooked Park</t>
  </si>
  <si>
    <t>EPE Realty Corporation</t>
  </si>
  <si>
    <t>226 Holiday Drive, Suite 20</t>
  </si>
  <si>
    <t>802-578-7206</t>
  </si>
  <si>
    <t>05257</t>
  </si>
  <si>
    <t>DEC Permits</t>
  </si>
  <si>
    <t>WW-2-5591</t>
  </si>
  <si>
    <t>EC-1-0424</t>
  </si>
  <si>
    <t>WW-2-0568-5</t>
  </si>
  <si>
    <t>WW-4-1679 (1 -22)</t>
  </si>
  <si>
    <t>C. David</t>
  </si>
  <si>
    <t>Belcher, Trustee</t>
  </si>
  <si>
    <t>29 Knapp St.</t>
  </si>
  <si>
    <t>Teresa</t>
  </si>
  <si>
    <t>Hays</t>
  </si>
  <si>
    <t>802-375-4043</t>
  </si>
  <si>
    <t>Jim</t>
  </si>
  <si>
    <t>Squires Road Mobile Home Park</t>
  </si>
  <si>
    <t>102 North County Road</t>
  </si>
  <si>
    <t>Florida</t>
  </si>
  <si>
    <t>78 East Street, Unit B</t>
  </si>
  <si>
    <t>Singh Enterprises, LLC</t>
  </si>
  <si>
    <t>PO Box 385</t>
  </si>
  <si>
    <t>Fairfax</t>
  </si>
  <si>
    <t>Wendy</t>
  </si>
  <si>
    <t>Iby</t>
  </si>
  <si>
    <t>MT Pleasant MHP, LLC</t>
  </si>
  <si>
    <t>203-456-2917</t>
  </si>
  <si>
    <t>Goldblum</t>
  </si>
  <si>
    <t>Mt Pleasant MHP, LLC</t>
  </si>
  <si>
    <t>30 Nutmeg Drive</t>
  </si>
  <si>
    <t>Trumbull</t>
  </si>
  <si>
    <t>203-380-8300</t>
  </si>
  <si>
    <t>Ship Sevin I, LLC.</t>
  </si>
  <si>
    <t>802-859-8871</t>
  </si>
  <si>
    <t>Deborah B.</t>
  </si>
  <si>
    <t>Lewis</t>
  </si>
  <si>
    <t>Rhodeside Acres Properties LLC</t>
  </si>
  <si>
    <t>Nancy</t>
  </si>
  <si>
    <t>N and A Pine Haven Inc.</t>
  </si>
  <si>
    <t>Spillane and Curley Properties, LLC</t>
  </si>
  <si>
    <t>Krause</t>
  </si>
  <si>
    <t>Brault's Park</t>
  </si>
  <si>
    <t>Armstrong Mobile Home Park</t>
  </si>
  <si>
    <t>Kelley MHP</t>
  </si>
  <si>
    <t>Floyd</t>
  </si>
  <si>
    <t>Kelley</t>
  </si>
  <si>
    <t>802-274-4348</t>
  </si>
  <si>
    <t>Floyd D.</t>
  </si>
  <si>
    <t>Nadeau Trailer Park</t>
  </si>
  <si>
    <t>153 Nadeau Park Road, Route 14</t>
  </si>
  <si>
    <t>Lawson</t>
  </si>
  <si>
    <t>482-A Airport Road</t>
  </si>
  <si>
    <t>802-274-0195</t>
  </si>
  <si>
    <t>Pine Hill Properties LLC</t>
  </si>
  <si>
    <t>2477 US Route 5</t>
  </si>
  <si>
    <t>Triangle Court MHP</t>
  </si>
  <si>
    <t>Windy Hollow Mobile Home Cooperative, Inc.</t>
  </si>
  <si>
    <t>Robin Crowningshield, President</t>
  </si>
  <si>
    <t>525 River Street, 27</t>
  </si>
  <si>
    <t>Deborah</t>
  </si>
  <si>
    <t>Eddy, Administrator</t>
  </si>
  <si>
    <t>Deborah Eddy, Administrator</t>
  </si>
  <si>
    <t>Lennox Road, Poultney</t>
  </si>
  <si>
    <t>Billings Mobile Manor</t>
  </si>
  <si>
    <t>PO Box 6333</t>
  </si>
  <si>
    <t>Weston's Mobile Home Cooperative, Inc.</t>
  </si>
  <si>
    <t>77 Second Street</t>
  </si>
  <si>
    <t>802-661-8280</t>
  </si>
  <si>
    <t>171 Brookline Road</t>
  </si>
  <si>
    <t>Vernon Estates Inc.</t>
  </si>
  <si>
    <t>Taplin</t>
  </si>
  <si>
    <t>802-565-8666</t>
  </si>
  <si>
    <t>802-295-7104</t>
  </si>
  <si>
    <t>White River Jct</t>
  </si>
  <si>
    <t>c/o Christine Towpasz</t>
  </si>
  <si>
    <t>421 S. Windsor Street</t>
  </si>
  <si>
    <t>Halls Mobile Home Park</t>
  </si>
  <si>
    <t>PO Box 633</t>
  </si>
  <si>
    <t>1 Cubb Court</t>
  </si>
  <si>
    <t>05454</t>
  </si>
  <si>
    <t>06611</t>
  </si>
  <si>
    <t>05860</t>
  </si>
  <si>
    <t>Chester Water Dept.</t>
  </si>
  <si>
    <t>Colchester Fire District #1</t>
  </si>
  <si>
    <t>Colchester Fire District #3</t>
  </si>
  <si>
    <t>Canaan Fire District #1</t>
  </si>
  <si>
    <t>Alburgh  Community Water Supply</t>
  </si>
  <si>
    <t>Bethel Water Department</t>
  </si>
  <si>
    <t>Village of Ludlow Water Dept.</t>
  </si>
  <si>
    <t>Windsor Water Department</t>
  </si>
  <si>
    <t>Barre Town Water System</t>
  </si>
  <si>
    <t>Royalton Fire District #1</t>
  </si>
  <si>
    <t>Woodstock Aqueduct Company</t>
  </si>
  <si>
    <t>Bradford Village Water System</t>
  </si>
  <si>
    <t>Brandon Fire District #1</t>
  </si>
  <si>
    <t>Colchester Fire  District #2</t>
  </si>
  <si>
    <t>MH-9-0007, WW-9-0443</t>
  </si>
  <si>
    <t>MH-9-0005, MH-9-0008, WW-9-1818</t>
  </si>
  <si>
    <t>WW-7-2018-1</t>
  </si>
  <si>
    <t>4 lots on municipal system</t>
  </si>
  <si>
    <t>WW-1-3206</t>
  </si>
  <si>
    <t>WW-5-7389, WW-5-7390</t>
  </si>
  <si>
    <t>Deyo, Trustee</t>
  </si>
  <si>
    <t>Gerald B. Deyo Trust</t>
  </si>
  <si>
    <t>Millard Mobile Home Park LLC</t>
  </si>
  <si>
    <t>34 Ashland St</t>
  </si>
  <si>
    <t>85 Sparrows Way</t>
  </si>
  <si>
    <t>Grise</t>
  </si>
  <si>
    <t>523 VT Route 7A</t>
  </si>
  <si>
    <t>802-227-0754</t>
  </si>
  <si>
    <t>802-473-3093</t>
  </si>
  <si>
    <t>Northern Vermont Rentals LLC</t>
  </si>
  <si>
    <t>Property Management Associates</t>
  </si>
  <si>
    <t>802-860-3315</t>
  </si>
  <si>
    <t>Westbury Homeowners Association, Inc.</t>
  </si>
  <si>
    <t>Judith</t>
  </si>
  <si>
    <t>Sunset Lake Cooperative, Inc.</t>
  </si>
  <si>
    <t>60 Jourdan St.</t>
  </si>
  <si>
    <t>First Choice</t>
  </si>
  <si>
    <t>Property Management</t>
  </si>
  <si>
    <t>Lakeview Cooperative Inc.</t>
  </si>
  <si>
    <t>c/o Property Management Associates</t>
  </si>
  <si>
    <t>PO Box 1201</t>
  </si>
  <si>
    <t>802-860-2200</t>
  </si>
  <si>
    <t>St. George Community Cooperative, Inc.</t>
  </si>
  <si>
    <t>Begin</t>
  </si>
  <si>
    <t>Begin Riverside Park, LLC</t>
  </si>
  <si>
    <t>12 East Street</t>
  </si>
  <si>
    <t>PO Box 63</t>
  </si>
  <si>
    <t>Beecher Falls</t>
  </si>
  <si>
    <t>802-266-3650</t>
  </si>
  <si>
    <t>Val's Mobile Home Park, LLC</t>
  </si>
  <si>
    <t>P.O. Box 744</t>
  </si>
  <si>
    <t>Laurel Drive</t>
  </si>
  <si>
    <t>802-309-0211</t>
  </si>
  <si>
    <t>Ship Sevin II, LLC.</t>
  </si>
  <si>
    <t>PO Box 435</t>
  </si>
  <si>
    <t>148 Redemption Road</t>
  </si>
  <si>
    <t>802-754-9378</t>
  </si>
  <si>
    <t>Brookdale Manor LLC</t>
  </si>
  <si>
    <t>Franklin St. Route 7 South</t>
  </si>
  <si>
    <t>802-353-8836</t>
  </si>
  <si>
    <t>Kathy</t>
  </si>
  <si>
    <t>14195 81st Avenue</t>
  </si>
  <si>
    <t>Cedar Drive</t>
  </si>
  <si>
    <t>RG Properties III, Inc</t>
  </si>
  <si>
    <t>RG Properties III, Inc.</t>
  </si>
  <si>
    <t>US Route 302</t>
  </si>
  <si>
    <t>Route 12 / Northfield Street</t>
  </si>
  <si>
    <t>VT Route 12</t>
  </si>
  <si>
    <t>Katherine</t>
  </si>
  <si>
    <t>Cobb</t>
  </si>
  <si>
    <t>802-254-2714</t>
  </si>
  <si>
    <t>Trust of Helen Rena Wilkins</t>
  </si>
  <si>
    <t>802-246-2129</t>
  </si>
  <si>
    <t>802-254-2129</t>
  </si>
  <si>
    <t>203-668-3591</t>
  </si>
  <si>
    <t>Marilyn L</t>
  </si>
  <si>
    <t>700 West Harbor Dr, No. 402</t>
  </si>
  <si>
    <t>San Diego</t>
  </si>
  <si>
    <t>CA</t>
  </si>
  <si>
    <t>619-702-7249</t>
  </si>
  <si>
    <t>Roland Road</t>
  </si>
  <si>
    <t>Toby</t>
  </si>
  <si>
    <t>Debattiste</t>
  </si>
  <si>
    <t>802-674-2290</t>
  </si>
  <si>
    <t>05902</t>
  </si>
  <si>
    <t>92101</t>
  </si>
  <si>
    <t>2019 Vacancy</t>
  </si>
  <si>
    <t>WW-3-3153</t>
  </si>
  <si>
    <t>Rockydale Road</t>
  </si>
  <si>
    <t>28 Howard St., Ste. 302</t>
  </si>
  <si>
    <t>Alliance Property Management, Inc.</t>
  </si>
  <si>
    <t>Mark Bean</t>
  </si>
  <si>
    <t>Memorial Drive</t>
  </si>
  <si>
    <t>66 Avenue A</t>
  </si>
  <si>
    <t>Woodland Shores Park RLLP</t>
  </si>
  <si>
    <t>Ship Sevin I, LLC</t>
  </si>
  <si>
    <t>Begin Riverside Park</t>
  </si>
  <si>
    <t>Wanita</t>
  </si>
  <si>
    <t>Deborah B</t>
  </si>
  <si>
    <t>Pauls Court</t>
  </si>
  <si>
    <t>Pine Haven Estates A</t>
  </si>
  <si>
    <t>Pine Haven Estates B</t>
  </si>
  <si>
    <t>248 S. Main Street</t>
  </si>
  <si>
    <t>Lamos</t>
  </si>
  <si>
    <t>802-848-2046</t>
  </si>
  <si>
    <t>Jeffrey and Tina</t>
  </si>
  <si>
    <t>41 Elm Avenue</t>
  </si>
  <si>
    <t>46 B Donaldson Rd</t>
  </si>
  <si>
    <t>Mountain View Park</t>
  </si>
  <si>
    <t>Mountain View Park, LLC</t>
  </si>
  <si>
    <t>95 Donna Lane</t>
  </si>
  <si>
    <t>Washington North MHP</t>
  </si>
  <si>
    <t>Georges Way</t>
  </si>
  <si>
    <t>Steve</t>
  </si>
  <si>
    <t>Karl</t>
  </si>
  <si>
    <t>802-775-3456</t>
  </si>
  <si>
    <t>802-236-3311</t>
  </si>
  <si>
    <t>617-510-4175</t>
  </si>
  <si>
    <t>802-490-9679</t>
  </si>
  <si>
    <t>Tonys Lane</t>
  </si>
  <si>
    <t>Christine Towpasz</t>
  </si>
  <si>
    <t>Moses MHP</t>
  </si>
  <si>
    <t>Moses Lane</t>
  </si>
  <si>
    <t>Nelson</t>
  </si>
  <si>
    <t>Lyford</t>
  </si>
  <si>
    <t>802-249-2125</t>
  </si>
  <si>
    <t>142 Washington Road</t>
  </si>
  <si>
    <t>Pinney Lane MHP</t>
  </si>
  <si>
    <t>Pinney Lane</t>
  </si>
  <si>
    <t>Thetford Lane MHP</t>
  </si>
  <si>
    <t>Thetford Lane</t>
  </si>
  <si>
    <t>Blackburn</t>
  </si>
  <si>
    <t>Quarry Road, LLC</t>
  </si>
  <si>
    <t>780 Quarry Rd</t>
  </si>
  <si>
    <t>203-515-5911</t>
  </si>
  <si>
    <t>David M</t>
  </si>
  <si>
    <t>Estate of Gordon Markwell</t>
  </si>
  <si>
    <t>802-457-2643</t>
  </si>
  <si>
    <t>Bunker Hill</t>
  </si>
  <si>
    <t>Community Cooperative</t>
  </si>
  <si>
    <t>2020 Vacancy</t>
  </si>
  <si>
    <t>WW-8-1518, -2, -3, -4, -5</t>
  </si>
  <si>
    <t>ACCT Mobile Home Parks LLC</t>
  </si>
  <si>
    <t>803-334-1234</t>
  </si>
  <si>
    <t>Greenslet</t>
  </si>
  <si>
    <t>802-440-5289</t>
  </si>
  <si>
    <t>Shires</t>
  </si>
  <si>
    <t>Housing</t>
  </si>
  <si>
    <t>Mindy Jo</t>
  </si>
  <si>
    <t>Harrington</t>
  </si>
  <si>
    <t>Millard MHP LLC</t>
  </si>
  <si>
    <t>Pownal Mobile Homes</t>
  </si>
  <si>
    <t>Pownal Estates MHP</t>
  </si>
  <si>
    <t>Brault's Mobile Homes Inc</t>
  </si>
  <si>
    <t>PO BOX 1201</t>
  </si>
  <si>
    <t>Real Property Management Sterling</t>
  </si>
  <si>
    <t>802-598-0251</t>
  </si>
  <si>
    <t>Shelburnewood Cooperative, Inc.</t>
  </si>
  <si>
    <t>802-557-2619</t>
  </si>
  <si>
    <t>22449 Calverton Road</t>
  </si>
  <si>
    <t>Shaker Heights</t>
  </si>
  <si>
    <t>OH</t>
  </si>
  <si>
    <t>802-865-5900</t>
  </si>
  <si>
    <t>Concord Estates MHP</t>
  </si>
  <si>
    <t>44 Glenside Lane</t>
  </si>
  <si>
    <t>Vals Mobile Home Park, LLC.</t>
  </si>
  <si>
    <t>Cota</t>
  </si>
  <si>
    <t>Bonnie</t>
  </si>
  <si>
    <t>802-782-5790</t>
  </si>
  <si>
    <t>802-582-4626</t>
  </si>
  <si>
    <t>Brandon Chadwick</t>
  </si>
  <si>
    <t>Shawn</t>
  </si>
  <si>
    <t>205 Maquam Shore Rd</t>
  </si>
  <si>
    <t>802-782-0400</t>
  </si>
  <si>
    <t>North Main Street- Blair Park</t>
  </si>
  <si>
    <t>Sterling View Cooperative Community, Inc.</t>
  </si>
  <si>
    <t>292 Sterling View Road</t>
  </si>
  <si>
    <t>Majestic Property Services</t>
  </si>
  <si>
    <t>802-881-3030</t>
  </si>
  <si>
    <t>68 Rosewood Drive</t>
  </si>
  <si>
    <t>21 North Main Street</t>
  </si>
  <si>
    <t>Pleasant View Properties, LLC</t>
  </si>
  <si>
    <t>PO Box 1366</t>
  </si>
  <si>
    <t>802-917-5460</t>
  </si>
  <si>
    <t>Cobelena</t>
  </si>
  <si>
    <t>Brookdale Manor</t>
  </si>
  <si>
    <t>802-733-0653</t>
  </si>
  <si>
    <t>Housing Trust of</t>
  </si>
  <si>
    <t>Rutland County</t>
  </si>
  <si>
    <t>PO Box 1600</t>
  </si>
  <si>
    <t>Preston T.</t>
  </si>
  <si>
    <t>T  C Corporation</t>
  </si>
  <si>
    <t>18 Paine Turnpike</t>
  </si>
  <si>
    <t>Vermont Rental Solutions</t>
  </si>
  <si>
    <t>802-622-0072</t>
  </si>
  <si>
    <t>Lucky</t>
  </si>
  <si>
    <t>Boardman</t>
  </si>
  <si>
    <t>Off Caledonia Drive, Berlin</t>
  </si>
  <si>
    <t>LaGue, III</t>
  </si>
  <si>
    <t>Robert</t>
  </si>
  <si>
    <t>802-793-9151</t>
  </si>
  <si>
    <t>Vernon Estates, Inc.</t>
  </si>
  <si>
    <t>802-299-5451</t>
  </si>
  <si>
    <t>Overlook Lane, So. Royalton</t>
  </si>
  <si>
    <t>Twin Pines Housing</t>
  </si>
  <si>
    <t>802-779-5166</t>
  </si>
  <si>
    <t>Reffi's Property Management, Inc.</t>
  </si>
  <si>
    <t>19 Locust Lane</t>
  </si>
  <si>
    <t>East Dummerston</t>
  </si>
  <si>
    <t>Greg</t>
  </si>
  <si>
    <t>Markwell</t>
  </si>
  <si>
    <t>PO Box 244</t>
  </si>
  <si>
    <t>N. Pomfret</t>
  </si>
  <si>
    <t>802-674-2112</t>
  </si>
  <si>
    <t>44122</t>
  </si>
  <si>
    <t>05053</t>
  </si>
  <si>
    <t>2021 Vacancy</t>
  </si>
  <si>
    <t>NTNC</t>
  </si>
  <si>
    <t>University of Vermont Department of Community Development and Applied Economics</t>
  </si>
  <si>
    <t>Mobile Home Park Risk Assessment Tool created by Dan Baker, Scott Hamshaw, Kelly Hamshaw</t>
  </si>
  <si>
    <t xml:space="preserve">Registry Tab - Vermont DHCD Registration of Mobile Home Parks - https://accd.vermont.gov/housing/mobile-home-parks/registry </t>
  </si>
  <si>
    <t>Christine Ouellette</t>
  </si>
  <si>
    <t>Carol</t>
  </si>
  <si>
    <t>North Branch Realty Trust</t>
  </si>
  <si>
    <t>Dawn Denio</t>
  </si>
  <si>
    <t>VT State Housing Authority</t>
  </si>
  <si>
    <t>Pam Monroe</t>
  </si>
  <si>
    <t>117 Convent Road</t>
  </si>
  <si>
    <t>802-491-9142</t>
  </si>
  <si>
    <t>Dorr Mobile Home Park 1</t>
  </si>
  <si>
    <t>Dorr Mobile Home Park 2</t>
  </si>
  <si>
    <t>Dufresne Pond Road</t>
  </si>
  <si>
    <t>802-362-2344</t>
  </si>
  <si>
    <t>Dorr Mobile Home Park 3</t>
  </si>
  <si>
    <t>Lye Brook Road</t>
  </si>
  <si>
    <t>North Branch Reality Trust</t>
  </si>
  <si>
    <t>Estate of Harvey Burdick</t>
  </si>
  <si>
    <t>c/o Mindy Jo Harrington</t>
  </si>
  <si>
    <t>88 Lincoln St</t>
  </si>
  <si>
    <t>Thomas F.</t>
  </si>
  <si>
    <t>Hanson, Jr.</t>
  </si>
  <si>
    <t>Post Road</t>
  </si>
  <si>
    <t>APS Management</t>
  </si>
  <si>
    <t>802-949-0345</t>
  </si>
  <si>
    <t>Pownal Estates MHP LLC</t>
  </si>
  <si>
    <t>4007 Dean Martin Drive</t>
  </si>
  <si>
    <t>Las Vegas</t>
  </si>
  <si>
    <t>NV</t>
  </si>
  <si>
    <t>89103</t>
  </si>
  <si>
    <t>978-660-0778</t>
  </si>
  <si>
    <t>Royal Pine Villa</t>
  </si>
  <si>
    <t>Onorato</t>
  </si>
  <si>
    <t>247 North Road</t>
  </si>
  <si>
    <t>F. William</t>
  </si>
  <si>
    <t>Billado</t>
  </si>
  <si>
    <t>896 Thomas Road</t>
  </si>
  <si>
    <t>Stamford Demolition Services</t>
  </si>
  <si>
    <t>Breezy Acres Cooperative</t>
  </si>
  <si>
    <t>Hillcrest Resident Owned Community</t>
  </si>
  <si>
    <t>Sunset Lake Cooperative</t>
  </si>
  <si>
    <t>Majestic Property Management</t>
  </si>
  <si>
    <t>802-497-2595</t>
  </si>
  <si>
    <t>Spillane and Curley Properties</t>
  </si>
  <si>
    <t>802-861-7355</t>
  </si>
  <si>
    <t>05858</t>
  </si>
  <si>
    <t>802-473-9599</t>
  </si>
  <si>
    <t>Concord Estates MHP LLC</t>
  </si>
  <si>
    <t>802-849-2709</t>
  </si>
  <si>
    <t>Karen</t>
  </si>
  <si>
    <t>1623 Mill River RD</t>
  </si>
  <si>
    <t>FSCC Properties LLC</t>
  </si>
  <si>
    <t>802-752-6000</t>
  </si>
  <si>
    <t>Chase</t>
  </si>
  <si>
    <t>4 VT Route 78</t>
  </si>
  <si>
    <t>Curley</t>
  </si>
  <si>
    <t>99 Upper Welden St</t>
  </si>
  <si>
    <t>Giroux's Mobile Home Park</t>
  </si>
  <si>
    <t>Jonathan</t>
  </si>
  <si>
    <t>Giroux</t>
  </si>
  <si>
    <t>802-782-7142</t>
  </si>
  <si>
    <t>407 Patten Crosby Road</t>
  </si>
  <si>
    <t>DMC Electric, Inc.</t>
  </si>
  <si>
    <t>736 Camp Kiniya Rd.</t>
  </si>
  <si>
    <t>802-338-0509</t>
  </si>
  <si>
    <t>Cheney Mobile Home Park</t>
  </si>
  <si>
    <t>Randolph Area Community Development Corporation</t>
  </si>
  <si>
    <t>Joyce</t>
  </si>
  <si>
    <t>Cowdrey Drive off Forest Street - Route 12</t>
  </si>
  <si>
    <t>CMRT Holdings LLC</t>
  </si>
  <si>
    <t>175 East 17th Street</t>
  </si>
  <si>
    <t>Huntington Station</t>
  </si>
  <si>
    <t>11746</t>
  </si>
  <si>
    <t>Will</t>
  </si>
  <si>
    <t>Stewart</t>
  </si>
  <si>
    <t>Stip Investments LLC</t>
  </si>
  <si>
    <t>PO Box 1154</t>
  </si>
  <si>
    <t>Andover</t>
  </si>
  <si>
    <t>01810</t>
  </si>
  <si>
    <t>PO Box 445</t>
  </si>
  <si>
    <t>Zachary</t>
  </si>
  <si>
    <t>101 Tremont Street</t>
  </si>
  <si>
    <t>802-733-8018</t>
  </si>
  <si>
    <t>Pine Tree Estates LLC</t>
  </si>
  <si>
    <t>952-250-8492</t>
  </si>
  <si>
    <t>Pine Tree Estates, LLC</t>
  </si>
  <si>
    <t>8417 Bavaria Road</t>
  </si>
  <si>
    <t>Victoria</t>
  </si>
  <si>
    <t>MN</t>
  </si>
  <si>
    <t>55386</t>
  </si>
  <si>
    <t>107 Triangle Court</t>
  </si>
  <si>
    <t>802-989-2557</t>
  </si>
  <si>
    <t>12909 81st Ct</t>
  </si>
  <si>
    <t>802-345-2253</t>
  </si>
  <si>
    <t>Cheryl</t>
  </si>
  <si>
    <t>1300 Dawson Hill Rd</t>
  </si>
  <si>
    <t>East Wallingford</t>
  </si>
  <si>
    <t>05742</t>
  </si>
  <si>
    <t>27 Wales Street, Suite 201</t>
  </si>
  <si>
    <t>cioffi-forte  forte</t>
  </si>
  <si>
    <t>Barbara  A.</t>
  </si>
  <si>
    <t>Pleasant View Properties LLC</t>
  </si>
  <si>
    <t>4 Blackwell Street</t>
  </si>
  <si>
    <t>Henry</t>
  </si>
  <si>
    <t>LaGue</t>
  </si>
  <si>
    <t>178 Scotia Ln.</t>
  </si>
  <si>
    <t>802-498-3070</t>
  </si>
  <si>
    <t>Shelly</t>
  </si>
  <si>
    <t>Huber</t>
  </si>
  <si>
    <t>Kings Plot, LLC</t>
  </si>
  <si>
    <t>Adebola</t>
  </si>
  <si>
    <t>Adebakin</t>
  </si>
  <si>
    <t>802-255-4079</t>
  </si>
  <si>
    <t>Domenic</t>
  </si>
  <si>
    <t>Mangano</t>
  </si>
  <si>
    <t>Kings Plot LLC</t>
  </si>
  <si>
    <t>Post Office Box 141</t>
  </si>
  <si>
    <t>Londonderry</t>
  </si>
  <si>
    <t>05148</t>
  </si>
  <si>
    <t>West River Park</t>
  </si>
  <si>
    <t>2132 VT Route 30</t>
  </si>
  <si>
    <t>Crego</t>
  </si>
  <si>
    <t>Mountain View Estates</t>
  </si>
  <si>
    <t>Mountain View Estates LLC</t>
  </si>
  <si>
    <t>Mountain View Estates, LLC</t>
  </si>
  <si>
    <t>Timothy P.</t>
  </si>
  <si>
    <t>Aldrighetti</t>
  </si>
  <si>
    <t>PO Box 324</t>
  </si>
  <si>
    <t>802-236-7649</t>
  </si>
  <si>
    <t>JMR Cavendish Companies, LLC</t>
  </si>
  <si>
    <t>Melissa</t>
  </si>
  <si>
    <t>Stacy</t>
  </si>
  <si>
    <t>PO Box 121</t>
  </si>
  <si>
    <t>Julian Investments, LLC</t>
  </si>
  <si>
    <t>418 Meadow Street, Suite 203</t>
  </si>
  <si>
    <t>Fairfield</t>
  </si>
  <si>
    <t>06824</t>
  </si>
  <si>
    <t>DeBattiste</t>
  </si>
  <si>
    <t>Chambers M H Village</t>
  </si>
  <si>
    <t>603-209-3606</t>
  </si>
  <si>
    <t>Tall Timbers MHC, LLC</t>
  </si>
  <si>
    <t>PO Box 1343</t>
  </si>
  <si>
    <t>2978 N. Coventry Pl</t>
  </si>
  <si>
    <t>Boise</t>
  </si>
  <si>
    <t>ID</t>
  </si>
  <si>
    <t>83704</t>
  </si>
  <si>
    <t>Stryhas Park</t>
  </si>
  <si>
    <t>Royalton Terrace, LLC</t>
  </si>
  <si>
    <t>Quarry Road LLC</t>
  </si>
  <si>
    <t>40 Patnode's Way</t>
  </si>
  <si>
    <t>Reffis Property Management Inc.</t>
  </si>
  <si>
    <t>Reffi</t>
  </si>
  <si>
    <t>269 Brook Road / Chads Way</t>
  </si>
  <si>
    <t>Last update 4/21/2023</t>
  </si>
  <si>
    <t>2022 MOBILE HOME PARK REGISTRY DATA</t>
  </si>
  <si>
    <t>2019-2022 Change</t>
  </si>
  <si>
    <t>2022 Vacancy</t>
  </si>
  <si>
    <t>2021-22 Change in Vacancy</t>
  </si>
  <si>
    <t>2019-22 Change in Vacancy</t>
  </si>
  <si>
    <t>2022 Leased Lots20</t>
  </si>
  <si>
    <t>2021 Leased Lots21</t>
  </si>
  <si>
    <t>2020 Leased Lots22</t>
  </si>
  <si>
    <t>2019 Leased Lots23</t>
  </si>
  <si>
    <t>2019-22 Change in Leased Lots</t>
  </si>
  <si>
    <t>2022 Total Rent</t>
  </si>
  <si>
    <t>2021 Total Rent27</t>
  </si>
  <si>
    <t>2020 Total Rent28</t>
  </si>
  <si>
    <t>2019 Total Rent29</t>
  </si>
  <si>
    <t>2019-22 Total Rent Increase</t>
  </si>
  <si>
    <t>2022 % Leased</t>
  </si>
  <si>
    <t>2019-22 Total % Rent Increase</t>
  </si>
  <si>
    <t>2019-22 % Change in Vacancy</t>
  </si>
  <si>
    <t>2019-22 Change in No. of Park Owned MHs</t>
  </si>
  <si>
    <t>2019-22 Change in Other Owned MHs</t>
  </si>
  <si>
    <t>Last Updated: 4/24/2023</t>
  </si>
  <si>
    <t>Public Water System Violations 2019-2021</t>
  </si>
  <si>
    <t xml:space="preserve">Water system violations - Annual Water Quality Compliance Report - https://dec.vermont.gov/water/drinking-water/water-quality-monitoring </t>
  </si>
  <si>
    <t>2019-21 Public Water System Violations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</si>
</sst>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1"/>
      <color theme="1"/>
      <name val="Calibri"/>
      <family val="2"/>
    </font>
    <font>
      <b/>
      <sz val="11"/>
      <color rgb="FF9C0006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rgb="FF32996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ck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4" tint="0.39997558519241921"/>
      </top>
      <bottom/>
      <diagonal/>
    </border>
    <border>
      <left style="thin">
        <color theme="0"/>
      </left>
      <right style="thick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45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27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>
      <alignment wrapText="1"/>
    </xf>
    <xf numFmtId="0" fontId="6" fillId="0" borderId="0" xfId="0" applyFont="1"/>
    <xf numFmtId="0" fontId="7" fillId="0" borderId="0" xfId="0" applyFont="1"/>
    <xf numFmtId="0" fontId="1" fillId="2" borderId="0" xfId="0" applyFont="1" applyFill="1" applyAlignment="1">
      <alignment wrapText="1"/>
    </xf>
    <xf numFmtId="0" fontId="1" fillId="2" borderId="11" xfId="0" applyFont="1" applyFill="1" applyBorder="1" applyAlignment="1">
      <alignment wrapText="1"/>
    </xf>
    <xf numFmtId="0" fontId="10" fillId="0" borderId="0" xfId="0" applyFont="1"/>
    <xf numFmtId="0" fontId="12" fillId="2" borderId="1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13" fillId="0" borderId="0" xfId="0" applyFont="1"/>
    <xf numFmtId="1" fontId="1" fillId="2" borderId="2" xfId="4" applyNumberFormat="1" applyFont="1" applyFill="1" applyBorder="1" applyAlignment="1">
      <alignment horizontal="center" wrapText="1"/>
    </xf>
    <xf numFmtId="1" fontId="1" fillId="6" borderId="15" xfId="4" applyNumberFormat="1" applyFont="1" applyFill="1" applyBorder="1" applyAlignment="1">
      <alignment horizontal="center" wrapText="1"/>
    </xf>
    <xf numFmtId="1" fontId="1" fillId="6" borderId="2" xfId="4" applyNumberFormat="1" applyFont="1" applyFill="1" applyBorder="1" applyAlignment="1">
      <alignment horizontal="center" wrapText="1"/>
    </xf>
    <xf numFmtId="0" fontId="1" fillId="6" borderId="2" xfId="4" applyNumberFormat="1" applyFont="1" applyFill="1" applyBorder="1" applyAlignment="1">
      <alignment horizontal="center" wrapText="1"/>
    </xf>
    <xf numFmtId="49" fontId="1" fillId="6" borderId="16" xfId="4" applyNumberFormat="1" applyFont="1" applyFill="1" applyBorder="1" applyAlignment="1">
      <alignment horizontal="center" wrapText="1"/>
    </xf>
    <xf numFmtId="49" fontId="1" fillId="2" borderId="1" xfId="4" applyNumberFormat="1" applyFont="1" applyFill="1" applyBorder="1" applyAlignment="1">
      <alignment horizontal="center" wrapText="1"/>
    </xf>
    <xf numFmtId="49" fontId="1" fillId="2" borderId="2" xfId="4" applyNumberFormat="1" applyFont="1" applyFill="1" applyBorder="1" applyAlignment="1">
      <alignment horizontal="center" wrapText="1"/>
    </xf>
    <xf numFmtId="49" fontId="1" fillId="2" borderId="3" xfId="4" applyNumberFormat="1" applyFont="1" applyFill="1" applyBorder="1" applyAlignment="1">
      <alignment horizontal="center" wrapText="1"/>
    </xf>
    <xf numFmtId="1" fontId="7" fillId="0" borderId="0" xfId="0" applyNumberFormat="1" applyFont="1"/>
    <xf numFmtId="0" fontId="14" fillId="0" borderId="0" xfId="0" applyFont="1"/>
    <xf numFmtId="1" fontId="7" fillId="3" borderId="5" xfId="0" applyNumberFormat="1" applyFont="1" applyFill="1" applyBorder="1"/>
    <xf numFmtId="0" fontId="13" fillId="3" borderId="4" xfId="0" applyFont="1" applyFill="1" applyBorder="1"/>
    <xf numFmtId="0" fontId="13" fillId="3" borderId="7" xfId="0" applyFont="1" applyFill="1" applyBorder="1"/>
    <xf numFmtId="1" fontId="13" fillId="0" borderId="0" xfId="0" applyNumberFormat="1" applyFont="1"/>
    <xf numFmtId="1" fontId="13" fillId="3" borderId="5" xfId="0" applyNumberFormat="1" applyFont="1" applyFill="1" applyBorder="1"/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15" fontId="13" fillId="0" borderId="0" xfId="0" applyNumberFormat="1" applyFont="1" applyAlignment="1">
      <alignment horizontal="center"/>
    </xf>
    <xf numFmtId="9" fontId="13" fillId="3" borderId="5" xfId="2" applyFont="1" applyFill="1" applyBorder="1"/>
    <xf numFmtId="0" fontId="13" fillId="3" borderId="5" xfId="0" applyFont="1" applyFill="1" applyBorder="1" applyAlignment="1">
      <alignment horizontal="center"/>
    </xf>
    <xf numFmtId="0" fontId="13" fillId="3" borderId="5" xfId="0" applyFont="1" applyFill="1" applyBorder="1"/>
    <xf numFmtId="0" fontId="13" fillId="3" borderId="8" xfId="0" applyFont="1" applyFill="1" applyBorder="1"/>
    <xf numFmtId="0" fontId="13" fillId="3" borderId="9" xfId="0" applyFont="1" applyFill="1" applyBorder="1"/>
    <xf numFmtId="0" fontId="13" fillId="3" borderId="12" xfId="0" applyFont="1" applyFill="1" applyBorder="1"/>
    <xf numFmtId="0" fontId="15" fillId="0" borderId="0" xfId="0" applyFont="1"/>
    <xf numFmtId="0" fontId="10" fillId="3" borderId="12" xfId="0" applyFont="1" applyFill="1" applyBorder="1"/>
    <xf numFmtId="0" fontId="12" fillId="2" borderId="0" xfId="0" applyFont="1" applyFill="1" applyAlignment="1">
      <alignment wrapText="1"/>
    </xf>
    <xf numFmtId="0" fontId="11" fillId="0" borderId="0" xfId="0" applyFont="1"/>
    <xf numFmtId="0" fontId="11" fillId="3" borderId="9" xfId="0" applyFont="1" applyFill="1" applyBorder="1"/>
    <xf numFmtId="0" fontId="16" fillId="3" borderId="9" xfId="0" applyFont="1" applyFill="1" applyBorder="1"/>
    <xf numFmtId="0" fontId="17" fillId="3" borderId="9" xfId="3" applyFont="1" applyFill="1" applyBorder="1"/>
    <xf numFmtId="44" fontId="13" fillId="0" borderId="0" xfId="1" applyFont="1"/>
    <xf numFmtId="44" fontId="1" fillId="2" borderId="3" xfId="1" applyFont="1" applyFill="1" applyBorder="1" applyAlignment="1">
      <alignment wrapText="1"/>
    </xf>
    <xf numFmtId="9" fontId="0" fillId="0" borderId="0" xfId="2" applyFont="1"/>
    <xf numFmtId="9" fontId="1" fillId="2" borderId="17" xfId="2" applyFont="1" applyFill="1" applyBorder="1" applyAlignment="1">
      <alignment wrapText="1"/>
    </xf>
    <xf numFmtId="44" fontId="0" fillId="0" borderId="0" xfId="1" applyFont="1"/>
    <xf numFmtId="0" fontId="13" fillId="0" borderId="2" xfId="0" applyFont="1" applyBorder="1"/>
    <xf numFmtId="0" fontId="1" fillId="0" borderId="2" xfId="0" applyFont="1" applyBorder="1" applyAlignment="1">
      <alignment horizontal="center" wrapText="1"/>
    </xf>
    <xf numFmtId="44" fontId="1" fillId="0" borderId="2" xfId="1" applyFont="1" applyFill="1" applyBorder="1" applyAlignment="1">
      <alignment horizontal="center" wrapText="1"/>
    </xf>
    <xf numFmtId="0" fontId="7" fillId="3" borderId="5" xfId="0" applyFont="1" applyFill="1" applyBorder="1"/>
    <xf numFmtId="0" fontId="14" fillId="0" borderId="2" xfId="0" applyFont="1" applyBorder="1"/>
    <xf numFmtId="9" fontId="14" fillId="0" borderId="2" xfId="2" applyFont="1" applyFill="1" applyBorder="1"/>
    <xf numFmtId="44" fontId="14" fillId="0" borderId="2" xfId="1" applyFont="1" applyFill="1" applyBorder="1"/>
    <xf numFmtId="0" fontId="14" fillId="3" borderId="5" xfId="0" applyFont="1" applyFill="1" applyBorder="1"/>
    <xf numFmtId="0" fontId="14" fillId="3" borderId="8" xfId="0" applyFont="1" applyFill="1" applyBorder="1"/>
    <xf numFmtId="9" fontId="13" fillId="0" borderId="0" xfId="2" applyFont="1"/>
    <xf numFmtId="9" fontId="14" fillId="3" borderId="5" xfId="2" applyFont="1" applyFill="1" applyBorder="1"/>
    <xf numFmtId="9" fontId="14" fillId="0" borderId="0" xfId="2" applyFont="1"/>
    <xf numFmtId="9" fontId="14" fillId="3" borderId="8" xfId="2" applyFont="1" applyFill="1" applyBorder="1"/>
    <xf numFmtId="44" fontId="14" fillId="0" borderId="0" xfId="1" applyFont="1"/>
    <xf numFmtId="44" fontId="14" fillId="3" borderId="5" xfId="1" applyFont="1" applyFill="1" applyBorder="1"/>
    <xf numFmtId="44" fontId="14" fillId="3" borderId="8" xfId="1" applyFont="1" applyFill="1" applyBorder="1"/>
    <xf numFmtId="44" fontId="1" fillId="2" borderId="17" xfId="1" quotePrefix="1" applyFont="1" applyFill="1" applyBorder="1" applyAlignment="1">
      <alignment wrapText="1"/>
    </xf>
    <xf numFmtId="9" fontId="1" fillId="2" borderId="17" xfId="2" quotePrefix="1" applyFont="1" applyFill="1" applyBorder="1" applyAlignment="1">
      <alignment wrapText="1"/>
    </xf>
    <xf numFmtId="9" fontId="0" fillId="0" borderId="0" xfId="2" applyFont="1" applyAlignment="1">
      <alignment horizontal="center"/>
    </xf>
    <xf numFmtId="49" fontId="1" fillId="6" borderId="11" xfId="4" applyNumberFormat="1" applyFont="1" applyFill="1" applyBorder="1" applyAlignment="1">
      <alignment horizontal="center" wrapText="1"/>
    </xf>
    <xf numFmtId="9" fontId="1" fillId="2" borderId="11" xfId="2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5" xfId="0" applyBorder="1"/>
    <xf numFmtId="1" fontId="13" fillId="3" borderId="8" xfId="0" applyNumberFormat="1" applyFont="1" applyFill="1" applyBorder="1"/>
    <xf numFmtId="0" fontId="1" fillId="2" borderId="18" xfId="0" applyFont="1" applyFill="1" applyBorder="1" applyAlignment="1">
      <alignment wrapText="1"/>
    </xf>
    <xf numFmtId="0" fontId="1" fillId="2" borderId="19" xfId="0" applyFont="1" applyFill="1" applyBorder="1" applyAlignment="1">
      <alignment wrapText="1"/>
    </xf>
    <xf numFmtId="1" fontId="1" fillId="2" borderId="8" xfId="4" applyNumberFormat="1" applyFont="1" applyFill="1" applyBorder="1" applyAlignment="1">
      <alignment horizontal="left" wrapText="1"/>
    </xf>
    <xf numFmtId="1" fontId="1" fillId="2" borderId="9" xfId="4" applyNumberFormat="1" applyFont="1" applyFill="1" applyBorder="1" applyAlignment="1">
      <alignment horizontal="center" wrapText="1"/>
    </xf>
    <xf numFmtId="9" fontId="1" fillId="6" borderId="20" xfId="2" applyFont="1" applyFill="1" applyBorder="1" applyAlignment="1">
      <alignment horizontal="center" wrapText="1"/>
    </xf>
    <xf numFmtId="0" fontId="10" fillId="3" borderId="5" xfId="0" applyFont="1" applyFill="1" applyBorder="1"/>
    <xf numFmtId="9" fontId="10" fillId="3" borderId="5" xfId="2" applyFont="1" applyFill="1" applyBorder="1"/>
    <xf numFmtId="0" fontId="10" fillId="3" borderId="5" xfId="2" applyNumberFormat="1" applyFont="1" applyFill="1" applyBorder="1"/>
    <xf numFmtId="0" fontId="10" fillId="3" borderId="5" xfId="2" applyNumberFormat="1" applyFont="1" applyFill="1" applyBorder="1" applyAlignment="1">
      <alignment horizontal="left"/>
    </xf>
    <xf numFmtId="0" fontId="10" fillId="3" borderId="5" xfId="2" applyNumberFormat="1" applyFont="1" applyFill="1" applyBorder="1" applyAlignment="1">
      <alignment horizontal="center"/>
    </xf>
    <xf numFmtId="9" fontId="10" fillId="3" borderId="5" xfId="2" applyFont="1" applyFill="1" applyBorder="1" applyAlignment="1">
      <alignment horizontal="center"/>
    </xf>
    <xf numFmtId="0" fontId="19" fillId="3" borderId="5" xfId="0" applyFont="1" applyFill="1" applyBorder="1"/>
    <xf numFmtId="0" fontId="14" fillId="3" borderId="2" xfId="0" applyFont="1" applyFill="1" applyBorder="1"/>
    <xf numFmtId="0" fontId="19" fillId="3" borderId="2" xfId="0" applyFont="1" applyFill="1" applyBorder="1"/>
    <xf numFmtId="0" fontId="19" fillId="3" borderId="8" xfId="0" applyFont="1" applyFill="1" applyBorder="1"/>
    <xf numFmtId="9" fontId="19" fillId="3" borderId="5" xfId="2" applyFont="1" applyFill="1" applyBorder="1"/>
    <xf numFmtId="9" fontId="19" fillId="3" borderId="2" xfId="2" applyFont="1" applyFill="1" applyBorder="1"/>
    <xf numFmtId="9" fontId="19" fillId="3" borderId="8" xfId="2" applyFont="1" applyFill="1" applyBorder="1"/>
    <xf numFmtId="44" fontId="14" fillId="3" borderId="2" xfId="1" applyFont="1" applyFill="1" applyBorder="1"/>
    <xf numFmtId="14" fontId="0" fillId="0" borderId="0" xfId="0" applyNumberFormat="1" applyAlignment="1">
      <alignment vertical="top"/>
    </xf>
    <xf numFmtId="9" fontId="10" fillId="3" borderId="8" xfId="2" applyFont="1" applyFill="1" applyBorder="1"/>
    <xf numFmtId="0" fontId="10" fillId="3" borderId="8" xfId="2" applyNumberFormat="1" applyFont="1" applyFill="1" applyBorder="1"/>
    <xf numFmtId="0" fontId="10" fillId="3" borderId="8" xfId="2" applyNumberFormat="1" applyFont="1" applyFill="1" applyBorder="1" applyAlignment="1">
      <alignment horizontal="left"/>
    </xf>
    <xf numFmtId="0" fontId="10" fillId="3" borderId="8" xfId="2" applyNumberFormat="1" applyFont="1" applyFill="1" applyBorder="1" applyAlignment="1">
      <alignment horizontal="center"/>
    </xf>
    <xf numFmtId="9" fontId="10" fillId="3" borderId="8" xfId="2" applyFont="1" applyFill="1" applyBorder="1" applyAlignment="1">
      <alignment horizontal="center"/>
    </xf>
    <xf numFmtId="0" fontId="0" fillId="3" borderId="9" xfId="0" applyFill="1" applyBorder="1"/>
    <xf numFmtId="1" fontId="7" fillId="3" borderId="4" xfId="0" applyNumberFormat="1" applyFont="1" applyFill="1" applyBorder="1"/>
    <xf numFmtId="0" fontId="13" fillId="3" borderId="4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9" fontId="13" fillId="3" borderId="5" xfId="2" applyFont="1" applyFill="1" applyBorder="1" applyAlignment="1"/>
    <xf numFmtId="0" fontId="13" fillId="3" borderId="5" xfId="2" applyNumberFormat="1" applyFont="1" applyFill="1" applyBorder="1" applyAlignment="1"/>
    <xf numFmtId="9" fontId="13" fillId="3" borderId="8" xfId="2" applyFont="1" applyFill="1" applyBorder="1" applyAlignment="1"/>
    <xf numFmtId="0" fontId="13" fillId="3" borderId="8" xfId="2" applyNumberFormat="1" applyFont="1" applyFill="1" applyBorder="1" applyAlignment="1"/>
    <xf numFmtId="9" fontId="13" fillId="3" borderId="5" xfId="2" applyFont="1" applyFill="1" applyBorder="1" applyAlignment="1">
      <alignment horizontal="right" wrapText="1"/>
    </xf>
    <xf numFmtId="1" fontId="20" fillId="2" borderId="3" xfId="4" applyNumberFormat="1" applyFont="1" applyFill="1" applyBorder="1" applyAlignment="1">
      <alignment horizontal="center" wrapText="1"/>
    </xf>
    <xf numFmtId="0" fontId="11" fillId="3" borderId="12" xfId="0" applyFont="1" applyFill="1" applyBorder="1"/>
    <xf numFmtId="1" fontId="13" fillId="3" borderId="2" xfId="0" applyNumberFormat="1" applyFont="1" applyFill="1" applyBorder="1"/>
    <xf numFmtId="0" fontId="21" fillId="3" borderId="9" xfId="0" applyFont="1" applyFill="1" applyBorder="1"/>
    <xf numFmtId="2" fontId="13" fillId="3" borderId="6" xfId="1" applyNumberFormat="1" applyFont="1" applyFill="1" applyBorder="1"/>
    <xf numFmtId="0" fontId="1" fillId="2" borderId="2" xfId="2" applyNumberFormat="1" applyFont="1" applyFill="1" applyBorder="1" applyAlignment="1">
      <alignment wrapText="1"/>
    </xf>
    <xf numFmtId="0" fontId="1" fillId="2" borderId="2" xfId="2" applyNumberFormat="1" applyFont="1" applyFill="1" applyBorder="1"/>
    <xf numFmtId="0" fontId="1" fillId="2" borderId="2" xfId="1" applyNumberFormat="1" applyFont="1" applyFill="1" applyBorder="1" applyAlignment="1">
      <alignment wrapText="1"/>
    </xf>
    <xf numFmtId="9" fontId="13" fillId="0" borderId="0" xfId="2" applyFont="1" applyAlignment="1">
      <alignment horizontal="right"/>
    </xf>
    <xf numFmtId="9" fontId="13" fillId="0" borderId="3" xfId="2" applyFont="1" applyFill="1" applyBorder="1" applyAlignment="1">
      <alignment horizontal="right"/>
    </xf>
    <xf numFmtId="0" fontId="1" fillId="2" borderId="3" xfId="2" applyNumberFormat="1" applyFont="1" applyFill="1" applyBorder="1" applyAlignment="1">
      <alignment horizontal="right" wrapText="1"/>
    </xf>
    <xf numFmtId="9" fontId="13" fillId="3" borderId="6" xfId="2" applyFont="1" applyFill="1" applyBorder="1" applyAlignment="1">
      <alignment horizontal="right"/>
    </xf>
    <xf numFmtId="0" fontId="22" fillId="3" borderId="9" xfId="0" applyFont="1" applyFill="1" applyBorder="1"/>
    <xf numFmtId="0" fontId="14" fillId="3" borderId="9" xfId="0" applyFont="1" applyFill="1" applyBorder="1"/>
    <xf numFmtId="9" fontId="14" fillId="3" borderId="7" xfId="2" applyFont="1" applyFill="1" applyBorder="1"/>
    <xf numFmtId="9" fontId="19" fillId="3" borderId="9" xfId="2" applyFont="1" applyFill="1" applyBorder="1"/>
    <xf numFmtId="9" fontId="13" fillId="3" borderId="8" xfId="2" applyFont="1" applyFill="1" applyBorder="1" applyAlignment="1">
      <alignment horizontal="right"/>
    </xf>
    <xf numFmtId="9" fontId="13" fillId="3" borderId="9" xfId="2" applyFont="1" applyFill="1" applyBorder="1" applyAlignment="1">
      <alignment horizontal="right"/>
    </xf>
    <xf numFmtId="9" fontId="14" fillId="3" borderId="12" xfId="2" applyFont="1" applyFill="1" applyBorder="1"/>
    <xf numFmtId="1" fontId="14" fillId="3" borderId="5" xfId="0" applyNumberFormat="1" applyFont="1" applyFill="1" applyBorder="1"/>
    <xf numFmtId="9" fontId="10" fillId="3" borderId="5" xfId="2" applyFont="1" applyFill="1" applyBorder="1" applyAlignment="1">
      <alignment horizontal="right"/>
    </xf>
    <xf numFmtId="9" fontId="10" fillId="3" borderId="8" xfId="2" applyFont="1" applyFill="1" applyBorder="1" applyAlignment="1">
      <alignment horizontal="right"/>
    </xf>
    <xf numFmtId="0" fontId="0" fillId="0" borderId="1" xfId="0" applyBorder="1"/>
    <xf numFmtId="1" fontId="14" fillId="3" borderId="2" xfId="0" applyNumberFormat="1" applyFont="1" applyFill="1" applyBorder="1"/>
    <xf numFmtId="1" fontId="14" fillId="3" borderId="8" xfId="0" applyNumberFormat="1" applyFont="1" applyFill="1" applyBorder="1"/>
    <xf numFmtId="1" fontId="14" fillId="3" borderId="9" xfId="0" applyNumberFormat="1" applyFont="1" applyFill="1" applyBorder="1"/>
    <xf numFmtId="1" fontId="13" fillId="3" borderId="9" xfId="0" applyNumberFormat="1" applyFont="1" applyFill="1" applyBorder="1"/>
    <xf numFmtId="1" fontId="13" fillId="3" borderId="7" xfId="0" applyNumberFormat="1" applyFont="1" applyFill="1" applyBorder="1"/>
    <xf numFmtId="0" fontId="21" fillId="3" borderId="12" xfId="0" applyFont="1" applyFill="1" applyBorder="1"/>
    <xf numFmtId="0" fontId="0" fillId="3" borderId="5" xfId="0" applyFill="1" applyBorder="1"/>
    <xf numFmtId="44" fontId="0" fillId="3" borderId="5" xfId="1" applyFont="1" applyFill="1" applyBorder="1"/>
    <xf numFmtId="1" fontId="24" fillId="3" borderId="5" xfId="0" applyNumberFormat="1" applyFont="1" applyFill="1" applyBorder="1"/>
    <xf numFmtId="0" fontId="23" fillId="3" borderId="5" xfId="0" applyFont="1" applyFill="1" applyBorder="1"/>
    <xf numFmtId="9" fontId="25" fillId="3" borderId="5" xfId="2" applyFont="1" applyFill="1" applyBorder="1"/>
    <xf numFmtId="9" fontId="25" fillId="3" borderId="5" xfId="2" applyFont="1" applyFill="1" applyBorder="1" applyAlignment="1">
      <alignment horizontal="right"/>
    </xf>
    <xf numFmtId="0" fontId="25" fillId="3" borderId="5" xfId="2" applyNumberFormat="1" applyFont="1" applyFill="1" applyBorder="1"/>
    <xf numFmtId="0" fontId="25" fillId="3" borderId="5" xfId="2" applyNumberFormat="1" applyFont="1" applyFill="1" applyBorder="1" applyAlignment="1">
      <alignment horizontal="left"/>
    </xf>
    <xf numFmtId="0" fontId="25" fillId="3" borderId="5" xfId="2" applyNumberFormat="1" applyFont="1" applyFill="1" applyBorder="1" applyAlignment="1">
      <alignment horizontal="center"/>
    </xf>
    <xf numFmtId="9" fontId="25" fillId="3" borderId="5" xfId="2" applyFont="1" applyFill="1" applyBorder="1" applyAlignment="1">
      <alignment horizontal="center"/>
    </xf>
    <xf numFmtId="0" fontId="26" fillId="3" borderId="12" xfId="0" applyFont="1" applyFill="1" applyBorder="1"/>
    <xf numFmtId="0" fontId="26" fillId="3" borderId="9" xfId="0" applyFont="1" applyFill="1" applyBorder="1"/>
    <xf numFmtId="0" fontId="25" fillId="3" borderId="9" xfId="0" applyFont="1" applyFill="1" applyBorder="1"/>
    <xf numFmtId="0" fontId="23" fillId="3" borderId="4" xfId="0" applyFont="1" applyFill="1" applyBorder="1"/>
    <xf numFmtId="1" fontId="23" fillId="3" borderId="5" xfId="0" applyNumberFormat="1" applyFont="1" applyFill="1" applyBorder="1"/>
    <xf numFmtId="9" fontId="23" fillId="3" borderId="5" xfId="2" applyFont="1" applyFill="1" applyBorder="1"/>
    <xf numFmtId="9" fontId="13" fillId="3" borderId="8" xfId="2" applyFont="1" applyFill="1" applyBorder="1"/>
    <xf numFmtId="0" fontId="24" fillId="3" borderId="5" xfId="0" applyFont="1" applyFill="1" applyBorder="1"/>
    <xf numFmtId="9" fontId="24" fillId="3" borderId="5" xfId="2" applyFont="1" applyFill="1" applyBorder="1"/>
    <xf numFmtId="9" fontId="13" fillId="3" borderId="9" xfId="2" applyFont="1" applyFill="1" applyBorder="1"/>
    <xf numFmtId="1" fontId="14" fillId="3" borderId="7" xfId="0" applyNumberFormat="1" applyFont="1" applyFill="1" applyBorder="1"/>
    <xf numFmtId="44" fontId="24" fillId="3" borderId="5" xfId="1" applyFont="1" applyFill="1" applyBorder="1"/>
    <xf numFmtId="44" fontId="14" fillId="3" borderId="7" xfId="1" applyFont="1" applyFill="1" applyBorder="1"/>
    <xf numFmtId="9" fontId="23" fillId="3" borderId="6" xfId="2" applyFont="1" applyFill="1" applyBorder="1" applyAlignment="1">
      <alignment horizontal="right"/>
    </xf>
    <xf numFmtId="49" fontId="13" fillId="3" borderId="5" xfId="0" applyNumberFormat="1" applyFont="1" applyFill="1" applyBorder="1"/>
    <xf numFmtId="0" fontId="27" fillId="3" borderId="5" xfId="0" applyFont="1" applyFill="1" applyBorder="1"/>
    <xf numFmtId="0" fontId="28" fillId="3" borderId="5" xfId="0" applyFont="1" applyFill="1" applyBorder="1"/>
    <xf numFmtId="9" fontId="28" fillId="3" borderId="5" xfId="2" applyFont="1" applyFill="1" applyBorder="1"/>
    <xf numFmtId="9" fontId="28" fillId="3" borderId="5" xfId="2" applyFont="1" applyFill="1" applyBorder="1" applyAlignment="1">
      <alignment horizontal="right"/>
    </xf>
    <xf numFmtId="0" fontId="28" fillId="3" borderId="5" xfId="2" applyNumberFormat="1" applyFont="1" applyFill="1" applyBorder="1"/>
    <xf numFmtId="0" fontId="28" fillId="3" borderId="5" xfId="2" applyNumberFormat="1" applyFont="1" applyFill="1" applyBorder="1" applyAlignment="1">
      <alignment horizontal="left"/>
    </xf>
    <xf numFmtId="0" fontId="28" fillId="3" borderId="5" xfId="2" applyNumberFormat="1" applyFont="1" applyFill="1" applyBorder="1" applyAlignment="1">
      <alignment horizontal="center"/>
    </xf>
    <xf numFmtId="9" fontId="28" fillId="3" borderId="5" xfId="2" applyFont="1" applyFill="1" applyBorder="1" applyAlignment="1">
      <alignment horizontal="center"/>
    </xf>
    <xf numFmtId="0" fontId="29" fillId="3" borderId="12" xfId="0" applyFont="1" applyFill="1" applyBorder="1"/>
    <xf numFmtId="0" fontId="28" fillId="3" borderId="12" xfId="0" applyFont="1" applyFill="1" applyBorder="1"/>
    <xf numFmtId="0" fontId="29" fillId="3" borderId="9" xfId="0" applyFont="1" applyFill="1" applyBorder="1"/>
    <xf numFmtId="0" fontId="29" fillId="3" borderId="4" xfId="0" applyFont="1" applyFill="1" applyBorder="1" applyAlignment="1">
      <alignment horizontal="center"/>
    </xf>
    <xf numFmtId="1" fontId="30" fillId="3" borderId="5" xfId="0" applyNumberFormat="1" applyFont="1" applyFill="1" applyBorder="1"/>
    <xf numFmtId="1" fontId="29" fillId="3" borderId="5" xfId="0" applyNumberFormat="1" applyFont="1" applyFill="1" applyBorder="1"/>
    <xf numFmtId="9" fontId="29" fillId="3" borderId="5" xfId="2" applyFont="1" applyFill="1" applyBorder="1" applyAlignment="1"/>
    <xf numFmtId="0" fontId="29" fillId="3" borderId="5" xfId="2" applyNumberFormat="1" applyFont="1" applyFill="1" applyBorder="1" applyAlignment="1"/>
    <xf numFmtId="0" fontId="29" fillId="3" borderId="5" xfId="0" applyFont="1" applyFill="1" applyBorder="1"/>
    <xf numFmtId="0" fontId="29" fillId="3" borderId="5" xfId="0" applyFont="1" applyFill="1" applyBorder="1" applyAlignment="1">
      <alignment horizontal="center"/>
    </xf>
    <xf numFmtId="0" fontId="27" fillId="3" borderId="4" xfId="0" applyFont="1" applyFill="1" applyBorder="1"/>
    <xf numFmtId="0" fontId="30" fillId="3" borderId="5" xfId="0" applyFont="1" applyFill="1" applyBorder="1"/>
    <xf numFmtId="1" fontId="31" fillId="3" borderId="5" xfId="0" applyNumberFormat="1" applyFont="1" applyFill="1" applyBorder="1"/>
    <xf numFmtId="9" fontId="14" fillId="3" borderId="21" xfId="2" applyFont="1" applyFill="1" applyBorder="1"/>
    <xf numFmtId="9" fontId="27" fillId="3" borderId="6" xfId="2" applyFont="1" applyFill="1" applyBorder="1" applyAlignment="1">
      <alignment horizontal="right"/>
    </xf>
    <xf numFmtId="0" fontId="0" fillId="3" borderId="8" xfId="0" applyFill="1" applyBorder="1"/>
    <xf numFmtId="0" fontId="28" fillId="3" borderId="9" xfId="0" applyFont="1" applyFill="1" applyBorder="1"/>
    <xf numFmtId="1" fontId="30" fillId="3" borderId="4" xfId="0" applyNumberFormat="1" applyFont="1" applyFill="1" applyBorder="1"/>
    <xf numFmtId="1" fontId="7" fillId="3" borderId="8" xfId="0" applyNumberFormat="1" applyFont="1" applyFill="1" applyBorder="1"/>
    <xf numFmtId="9" fontId="13" fillId="3" borderId="8" xfId="2" applyFont="1" applyFill="1" applyBorder="1" applyAlignment="1">
      <alignment horizontal="right" wrapText="1"/>
    </xf>
    <xf numFmtId="0" fontId="13" fillId="3" borderId="8" xfId="0" applyFont="1" applyFill="1" applyBorder="1" applyAlignment="1">
      <alignment horizontal="center"/>
    </xf>
    <xf numFmtId="0" fontId="10" fillId="3" borderId="8" xfId="0" applyFont="1" applyFill="1" applyBorder="1"/>
    <xf numFmtId="1" fontId="27" fillId="3" borderId="5" xfId="0" applyNumberFormat="1" applyFont="1" applyFill="1" applyBorder="1"/>
    <xf numFmtId="1" fontId="7" fillId="3" borderId="12" xfId="0" applyNumberFormat="1" applyFont="1" applyFill="1" applyBorder="1"/>
    <xf numFmtId="9" fontId="27" fillId="3" borderId="5" xfId="2" applyFont="1" applyFill="1" applyBorder="1"/>
    <xf numFmtId="0" fontId="31" fillId="3" borderId="5" xfId="0" applyFont="1" applyFill="1" applyBorder="1"/>
    <xf numFmtId="9" fontId="31" fillId="3" borderId="5" xfId="2" applyFont="1" applyFill="1" applyBorder="1"/>
    <xf numFmtId="0" fontId="7" fillId="3" borderId="5" xfId="2" applyNumberFormat="1" applyFont="1" applyFill="1" applyBorder="1"/>
    <xf numFmtId="0" fontId="0" fillId="3" borderId="7" xfId="0" applyFill="1" applyBorder="1"/>
    <xf numFmtId="44" fontId="7" fillId="3" borderId="5" xfId="1" applyFont="1" applyFill="1" applyBorder="1"/>
    <xf numFmtId="44" fontId="0" fillId="3" borderId="7" xfId="1" applyFont="1" applyFill="1" applyBorder="1"/>
    <xf numFmtId="44" fontId="31" fillId="3" borderId="5" xfId="1" applyFont="1" applyFill="1" applyBorder="1"/>
    <xf numFmtId="1" fontId="13" fillId="3" borderId="6" xfId="0" applyNumberFormat="1" applyFont="1" applyFill="1" applyBorder="1"/>
    <xf numFmtId="1" fontId="13" fillId="3" borderId="4" xfId="0" applyNumberFormat="1" applyFont="1" applyFill="1" applyBorder="1"/>
    <xf numFmtId="1" fontId="7" fillId="3" borderId="21" xfId="0" applyNumberFormat="1" applyFont="1" applyFill="1" applyBorder="1"/>
    <xf numFmtId="9" fontId="13" fillId="3" borderId="5" xfId="0" applyNumberFormat="1" applyFont="1" applyFill="1" applyBorder="1"/>
    <xf numFmtId="0" fontId="13" fillId="3" borderId="6" xfId="0" applyFont="1" applyFill="1" applyBorder="1"/>
    <xf numFmtId="0" fontId="13" fillId="3" borderId="21" xfId="0" applyFont="1" applyFill="1" applyBorder="1"/>
    <xf numFmtId="0" fontId="0" fillId="3" borderId="4" xfId="0" applyFill="1" applyBorder="1"/>
    <xf numFmtId="0" fontId="14" fillId="3" borderId="4" xfId="0" applyFont="1" applyFill="1" applyBorder="1"/>
    <xf numFmtId="1" fontId="14" fillId="3" borderId="6" xfId="2" applyNumberFormat="1" applyFont="1" applyFill="1" applyBorder="1"/>
    <xf numFmtId="44" fontId="0" fillId="3" borderId="4" xfId="1" applyFont="1" applyFill="1" applyBorder="1"/>
    <xf numFmtId="44" fontId="14" fillId="3" borderId="4" xfId="1" applyFont="1" applyFill="1" applyBorder="1"/>
    <xf numFmtId="9" fontId="2" fillId="7" borderId="0" xfId="2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 wrapText="1"/>
    </xf>
    <xf numFmtId="0" fontId="1" fillId="6" borderId="14" xfId="0" applyFont="1" applyFill="1" applyBorder="1" applyAlignment="1">
      <alignment horizontal="center" wrapText="1"/>
    </xf>
    <xf numFmtId="0" fontId="1" fillId="2" borderId="4" xfId="4" applyFont="1" applyFill="1" applyBorder="1" applyAlignment="1">
      <alignment horizontal="center"/>
    </xf>
    <xf numFmtId="0" fontId="1" fillId="2" borderId="5" xfId="4" applyFont="1" applyFill="1" applyBorder="1" applyAlignment="1">
      <alignment horizontal="center"/>
    </xf>
    <xf numFmtId="0" fontId="1" fillId="2" borderId="6" xfId="4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</cellXfs>
  <cellStyles count="245">
    <cellStyle name="Accent1" xfId="4" builtinId="29"/>
    <cellStyle name="Bad" xfId="3" builtinId="27"/>
    <cellStyle name="Currency" xfId="1" builtinId="4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Normal" xfId="0" builtinId="0"/>
    <cellStyle name="Percent" xfId="2" builtinId="5"/>
  </cellStyles>
  <dxfs count="14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4.9989318521683403E-2"/>
        </patternFill>
      </fill>
      <alignment horizontal="right" vertical="bottom" textRotation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4.9989318521683403E-2"/>
        </patternFill>
      </fill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/>
        <right style="thin">
          <color theme="0"/>
        </right>
        <top style="thin">
          <color theme="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indexed="64"/>
          <bgColor theme="0" tint="-4.9989318521683403E-2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0" tint="-4.9989318521683403E-2"/>
        </patternFill>
      </fill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theme="0"/>
        </top>
      </border>
    </dxf>
    <dxf>
      <border outline="0">
        <left style="thin">
          <color theme="4" tint="0.39997558519241921"/>
        </left>
        <top style="thin">
          <color theme="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339966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indent="0" justifyLastLine="0" shrinkToFit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bottom" textRotation="0" justifyLastLine="0" shrinkToFit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bottom" textRotation="0" justifyLastLine="0" shrinkToFit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bottom" textRotation="0" justifyLastLine="0" shrinkToFit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indexed="64"/>
          <bgColor theme="0" tint="-4.9989318521683403E-2"/>
        </patternFill>
      </fill>
      <alignment horizontal="general" vertical="bottom" textRotation="0" justifyLastLine="0" shrinkToFit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indent="0" justifyLastLine="0" shrinkToFit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top style="thin">
          <color theme="0"/>
        </top>
      </border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0" formatCode="@"/>
      <fill>
        <patternFill patternType="solid">
          <fgColor indexed="64"/>
          <bgColor rgb="FF339966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 tint="-4.9989318521683403E-2"/>
        </patternFill>
      </fill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 tint="-4.9989318521683403E-2"/>
        </patternFill>
      </fill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 tint="-4.9989318521683403E-2"/>
        </patternFill>
      </fill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 tint="-4.9989318521683403E-2"/>
        </patternFill>
      </fill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 tint="-4.9989318521683403E-2"/>
        </patternFill>
      </fill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 tint="-4.9989318521683403E-2"/>
        </patternFill>
      </fill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>
        <left/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339966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/>
      </font>
      <numFmt numFmtId="2" formatCode="0.0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</font>
      <numFmt numFmtId="30" formatCode="@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</font>
      <numFmt numFmtId="30" formatCode="@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</font>
      <fill>
        <patternFill patternType="solid">
          <fgColor indexed="64"/>
          <bgColor theme="0" tint="-4.9989318521683403E-2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theme="0"/>
        </top>
      </border>
    </dxf>
    <dxf>
      <font>
        <b/>
      </font>
      <fill>
        <patternFill patternType="solid">
          <fgColor indexed="64"/>
          <bgColor theme="0" tint="-4.9989318521683403E-2"/>
        </patternFill>
      </fill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339966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3" formatCode="0%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3" formatCode="0%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 outline="0">
        <left style="thin">
          <color theme="4" tint="0.39997558519241921"/>
        </left>
        <bottom style="thin">
          <color theme="4" tint="0.39997558519241921"/>
        </bottom>
      </border>
    </dxf>
  </dxfs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906117</xdr:colOff>
      <xdr:row>2</xdr:row>
      <xdr:rowOff>1</xdr:rowOff>
    </xdr:to>
    <xdr:pic>
      <xdr:nvPicPr>
        <xdr:cNvPr id="2" name="Picture 1" descr="uvmlogooutlin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668117" cy="476250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HPRegistry2012" connectionId="1" xr16:uid="{00000000-0016-0000-0100-000000000000}" autoFormatId="16" applyNumberFormats="0" applyBorderFormats="0" applyFontFormats="1" applyPatternFormats="1" applyAlignmentFormats="0" applyWidthHeightFormats="0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5" displayName="Table5" ref="A3:W241" totalsRowShown="0" tableBorderDxfId="145">
  <sortState xmlns:xlrd2="http://schemas.microsoft.com/office/spreadsheetml/2017/richdata2" ref="A4:W241">
    <sortCondition ref="C4:C241"/>
    <sortCondition ref="D4:D241"/>
    <sortCondition ref="B4:B241"/>
  </sortState>
  <tableColumns count="23">
    <tableColumn id="1" xr3:uid="{00000000-0010-0000-0000-000001000000}" name="MHP_ID" dataDxfId="144"/>
    <tableColumn id="2" xr3:uid="{00000000-0010-0000-0000-000002000000}" name="Park Name" dataDxfId="143">
      <calculatedColumnFormula>VLOOKUP(A4,Registry!$A$4:$AA$241,2,FALSE)</calculatedColumnFormula>
    </tableColumn>
    <tableColumn id="3" xr3:uid="{00000000-0010-0000-0000-000003000000}" name="County" dataDxfId="142">
      <calculatedColumnFormula>VLOOKUP(A4,Registry!$A$4:$AA$241,3,FALSE)</calculatedColumnFormula>
    </tableColumn>
    <tableColumn id="4" xr3:uid="{00000000-0010-0000-0000-000004000000}" name="Town" dataDxfId="141">
      <calculatedColumnFormula>VLOOKUP(A4,Registry!$A$4:$AA$241,4,FALSE)</calculatedColumnFormula>
    </tableColumn>
    <tableColumn id="5" xr3:uid="{00000000-0010-0000-0000-000005000000}" name="Year Est." dataDxfId="140">
      <calculatedColumnFormula>IF(VLOOKUP(A4,Registry!$A$4:$AA$241,7,FALSE)=0,"",VLOOKUP(A4,Registry!$A$4:$AA$241,7,FALSE))</calculatedColumnFormula>
    </tableColumn>
    <tableColumn id="6" xr3:uid="{00000000-0010-0000-0000-000006000000}" name="Ownership Type" dataDxfId="139">
      <calculatedColumnFormula>IF(VLOOKUP(A4,Registry!$A$4:$AA$241,20,FALSE)=0,"",VLOOKUP(A4,Registry!$A$4:$AA$241,20,FALSE))</calculatedColumnFormula>
    </tableColumn>
    <tableColumn id="7" xr3:uid="{00000000-0010-0000-0000-000007000000}" name="Total Lots" dataDxfId="138">
      <calculatedColumnFormula>VLOOKUP(A4,Registry!$A$4:$AA$241,21,FALSE)</calculatedColumnFormula>
    </tableColumn>
    <tableColumn id="8" xr3:uid="{00000000-0010-0000-0000-000008000000}" name="2022 % Leased" dataDxfId="137" dataCellStyle="Percent">
      <calculatedColumnFormula>VLOOKUP($A4,Table4[],36,FALSE)</calculatedColumnFormula>
    </tableColumn>
    <tableColumn id="9" xr3:uid="{00000000-0010-0000-0000-000009000000}" name="2019-22 Total % Rent Increase" dataDxfId="136" dataCellStyle="Percent">
      <calculatedColumnFormula>VLOOKUP($A4,Table4[],41,FALSE)</calculatedColumnFormula>
    </tableColumn>
    <tableColumn id="10" xr3:uid="{00000000-0010-0000-0000-00000A000000}" name="2019-22 % Change in Vacancy" dataDxfId="135" dataCellStyle="Percent">
      <calculatedColumnFormula>VLOOKUP($A4,Table4[],30,FALSE)</calculatedColumnFormula>
    </tableColumn>
    <tableColumn id="11" xr3:uid="{00000000-0010-0000-0000-00000B000000}" name="2019-22 Change in No. of Park Owned MHs" dataDxfId="134" dataCellStyle="Percent">
      <calculatedColumnFormula>VLOOKUP($A4,Table4[],17,FALSE)</calculatedColumnFormula>
    </tableColumn>
    <tableColumn id="12" xr3:uid="{00000000-0010-0000-0000-00000C000000}" name="2019-22 Change in Other Owned MHs" dataDxfId="133" dataCellStyle="Percent">
      <calculatedColumnFormula>VLOOKUP($A4,Table4[],18,FALSE)</calculatedColumnFormula>
    </tableColumn>
    <tableColumn id="13" xr3:uid="{00000000-0010-0000-0000-00000D000000}" name="Water System Type" dataDxfId="132" dataCellStyle="Percent">
      <calculatedColumnFormula>IF(VLOOKUP($A4,Table2[],8,FALSE)=0,"",VLOOKUP($A4,Table2[],8,FALSE))</calculatedColumnFormula>
    </tableColumn>
    <tableColumn id="14" xr3:uid="{00000000-0010-0000-0000-00000E000000}" name="2019-21 Public Water System Violations" dataDxfId="131" dataCellStyle="Percent">
      <calculatedColumnFormula>VLOOKUP($A4,Table2[],14,FALSE)</calculatedColumnFormula>
    </tableColumn>
    <tableColumn id="15" xr3:uid="{00000000-0010-0000-0000-00000F000000}" name="Sewer System Type" dataDxfId="130" dataCellStyle="Percent">
      <calculatedColumnFormula>IF(VLOOKUP($A4,Table2[],15,FALSE)=0,"",VLOOKUP($A4,Table2[],15,FALSE))</calculatedColumnFormula>
    </tableColumn>
    <tableColumn id="16" xr3:uid="{00000000-0010-0000-0000-000010000000}" name="DEC Permits" dataDxfId="129" dataCellStyle="Percent">
      <calculatedColumnFormula>IF(VLOOKUP($A4,Table2[],16,FALSE)=0,"",VLOOKUP($A4,Table2[],16,FALSE))</calculatedColumnFormula>
    </tableColumn>
    <tableColumn id="17" xr3:uid="{00000000-0010-0000-0000-000011000000}" name="Highest Flood Hazard Area of Lots in Park" dataDxfId="128" dataCellStyle="Percent">
      <calculatedColumnFormula>IF(ISNA(VLOOKUP($A4,Table3[],6,FALSE)),"None",VLOOKUP($A4,Table3[],6,FALSE))</calculatedColumnFormula>
    </tableColumn>
    <tableColumn id="18" xr3:uid="{00000000-0010-0000-0000-000012000000}" name="Highest FEH Zone of Lots in Park" dataDxfId="127" dataCellStyle="Percent">
      <calculatedColumnFormula>IF(ISNA(VLOOKUP($A4,Table3[],7,FALSE)),"Unknown",VLOOKUP($A4,Table3[],7,FALSE))</calculatedColumnFormula>
    </tableColumn>
    <tableColumn id="19" xr3:uid="{00000000-0010-0000-0000-000013000000}" name="Highest Flood Hazard Area of Land in Park" dataDxfId="126" dataCellStyle="Percent">
      <calculatedColumnFormula>IF(ISNA(VLOOKUP($A4,Table3[],8,FALSE)),"None",VLOOKUP($A4,Table3[],8,FALSE))</calculatedColumnFormula>
    </tableColumn>
    <tableColumn id="20" xr3:uid="{00000000-0010-0000-0000-000014000000}" name="# of Lots in FEH or River Setback" dataDxfId="125" dataCellStyle="Percent">
      <calculatedColumnFormula>IF(ISNA(VLOOKUP($A4,Table3[],13,FALSE)),"Unknown",VLOOKUP($A4,Table3[],13,FALSE))</calculatedColumnFormula>
    </tableColumn>
    <tableColumn id="21" xr3:uid="{00000000-0010-0000-0000-000015000000}" name="% of Lots in FEH or River Setback" dataDxfId="124" dataCellStyle="Percent">
      <calculatedColumnFormula>IF(ISNA(VLOOKUP($A4,Table3[],14,FALSE)),"Unknown",VLOOKUP($A4,Table3[],14,FALSE))</calculatedColumnFormula>
    </tableColumn>
    <tableColumn id="22" xr3:uid="{00000000-0010-0000-0000-000016000000}" name="# of Lots in all Flood Hazard Areas" dataDxfId="123" dataCellStyle="Percent">
      <calculatedColumnFormula>IF(ISNA(VLOOKUP($A4,Table3[],21,FALSE)),0,VLOOKUP($A4,Table3[],21,FALSE))</calculatedColumnFormula>
    </tableColumn>
    <tableColumn id="23" xr3:uid="{00000000-0010-0000-0000-000017000000}" name="% of Lots in all Flood Hazard Areas" dataDxfId="122" dataCellStyle="Percent">
      <calculatedColumnFormula>IF(ISNA(VLOOKUP($A4,Table3[],22,FALSE)),0,VLOOKUP($A4,Table3[],22,FALSE))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3:AA241" totalsRowShown="0" headerRowDxfId="121" dataDxfId="119" headerRowBorderDxfId="120" totalsRowBorderDxfId="118">
  <sortState xmlns:xlrd2="http://schemas.microsoft.com/office/spreadsheetml/2017/richdata2" ref="A4:AA241">
    <sortCondition ref="C4:C241"/>
    <sortCondition ref="D4:D241"/>
    <sortCondition ref="B4:B241"/>
  </sortState>
  <tableColumns count="27">
    <tableColumn id="1" xr3:uid="{00000000-0010-0000-0100-000001000000}" name="MHP_ID" dataDxfId="117"/>
    <tableColumn id="2" xr3:uid="{00000000-0010-0000-0100-000002000000}" name="Park Name" dataDxfId="116"/>
    <tableColumn id="3" xr3:uid="{00000000-0010-0000-0100-000003000000}" name="County" dataDxfId="115"/>
    <tableColumn id="4" xr3:uid="{00000000-0010-0000-0100-000004000000}" name="Town Name" dataDxfId="114"/>
    <tableColumn id="5" xr3:uid="{00000000-0010-0000-0100-000005000000}" name="Physical Address" dataDxfId="113"/>
    <tableColumn id="6" xr3:uid="{00000000-0010-0000-0100-000006000000}" name="Physical Zip Code" dataDxfId="112"/>
    <tableColumn id="7" xr3:uid="{00000000-0010-0000-0100-000007000000}" name="Year Established" dataDxfId="111"/>
    <tableColumn id="8" xr3:uid="{00000000-0010-0000-0100-000008000000}" name="Manager First Name" dataDxfId="110"/>
    <tableColumn id="9" xr3:uid="{00000000-0010-0000-0100-000009000000}" name="Manager Last Name" dataDxfId="109"/>
    <tableColumn id="10" xr3:uid="{00000000-0010-0000-0100-00000A000000}" name="Manager Phone Number" dataDxfId="108"/>
    <tableColumn id="11" xr3:uid="{00000000-0010-0000-0100-00000B000000}" name="Owner First Name" dataDxfId="107"/>
    <tableColumn id="12" xr3:uid="{00000000-0010-0000-0100-00000C000000}" name="Owner Last Name" dataDxfId="106"/>
    <tableColumn id="13" xr3:uid="{00000000-0010-0000-0100-00000D000000}" name="Owner Organization" dataDxfId="105"/>
    <tableColumn id="14" xr3:uid="{00000000-0010-0000-0100-00000E000000}" name="Owner Address" dataDxfId="104"/>
    <tableColumn id="15" xr3:uid="{00000000-0010-0000-0100-00000F000000}" name="Owner Address 2" dataDxfId="103"/>
    <tableColumn id="16" xr3:uid="{00000000-0010-0000-0100-000010000000}" name="Owner City" dataDxfId="102"/>
    <tableColumn id="17" xr3:uid="{00000000-0010-0000-0100-000011000000}" name="Owner State" dataDxfId="101"/>
    <tableColumn id="18" xr3:uid="{00000000-0010-0000-0100-000012000000}" name="Owner Zip Code" dataDxfId="100"/>
    <tableColumn id="19" xr3:uid="{00000000-0010-0000-0100-000013000000}" name="Owner Phone Number" dataDxfId="99"/>
    <tableColumn id="20" xr3:uid="{00000000-0010-0000-0100-000014000000}" name="Ownership Type" dataDxfId="98"/>
    <tableColumn id="21" xr3:uid="{00000000-0010-0000-0100-000015000000}" name="Total Lots" dataDxfId="97"/>
    <tableColumn id="22" xr3:uid="{00000000-0010-0000-0100-000016000000}" name="Leased Lots" dataDxfId="96"/>
    <tableColumn id="23" xr3:uid="{00000000-0010-0000-0100-000017000000}" name="Vacant Lots" dataDxfId="95"/>
    <tableColumn id="24" xr3:uid="{00000000-0010-0000-0100-000018000000}" name="Park Owned" dataDxfId="94"/>
    <tableColumn id="25" xr3:uid="{00000000-0010-0000-0100-000019000000}" name="Leaseholder Owned" dataDxfId="93"/>
    <tableColumn id="26" xr3:uid="{00000000-0010-0000-0100-00001A000000}" name="Other Owned" dataDxfId="92"/>
    <tableColumn id="27" xr3:uid="{00000000-0010-0000-0100-00001B000000}" name="Total Rent" dataDxfId="91" dataCellStyle="Currenc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2" displayName="Table2" ref="A3:Q241" totalsRowShown="0" headerRowDxfId="90" dataDxfId="89">
  <sortState xmlns:xlrd2="http://schemas.microsoft.com/office/spreadsheetml/2017/richdata2" ref="A4:Q241">
    <sortCondition ref="C4:C241"/>
    <sortCondition ref="D4:D241"/>
    <sortCondition ref="B4:B241"/>
  </sortState>
  <tableColumns count="17">
    <tableColumn id="1" xr3:uid="{00000000-0010-0000-0200-000001000000}" name="MHP ID" dataDxfId="88"/>
    <tableColumn id="2" xr3:uid="{00000000-0010-0000-0200-000002000000}" name="MHP Name" dataDxfId="87">
      <calculatedColumnFormula>VLOOKUP(A4,Registry!$A$4:$AA$241,2,FALSE)</calculatedColumnFormula>
    </tableColumn>
    <tableColumn id="3" xr3:uid="{00000000-0010-0000-0200-000003000000}" name="County" dataDxfId="86">
      <calculatedColumnFormula>VLOOKUP(A4,Registry!$A$4:$AA$241,3,FALSE)</calculatedColumnFormula>
    </tableColumn>
    <tableColumn id="4" xr3:uid="{00000000-0010-0000-0200-000004000000}" name="Town" dataDxfId="85">
      <calculatedColumnFormula>VLOOKUP(A4,Registry!$A$4:$AA$241,4,FALSE)</calculatedColumnFormula>
    </tableColumn>
    <tableColumn id="5" xr3:uid="{00000000-0010-0000-0200-000005000000}" name="Year Est." dataDxfId="84">
      <calculatedColumnFormula>VLOOKUP(A4,Registry!$A$4:$AA$241,7,FALSE)</calculatedColumnFormula>
    </tableColumn>
    <tableColumn id="6" xr3:uid="{00000000-0010-0000-0200-000006000000}" name="Ownership Type" dataDxfId="83">
      <calculatedColumnFormula>IF(VLOOKUP(A4,Registry!$A$4:$AA$241,20,FALSE)=0,"",VLOOKUP(A4,Registry!$A$4:$AA$241,20,FALSE))</calculatedColumnFormula>
    </tableColumn>
    <tableColumn id="7" xr3:uid="{00000000-0010-0000-0200-000007000000}" name="Total Lots" dataDxfId="82">
      <calculatedColumnFormula>VLOOKUP(A4,Registry!$A$4:$AA$241,21,FALSE)</calculatedColumnFormula>
    </tableColumn>
    <tableColumn id="8" xr3:uid="{00000000-0010-0000-0200-000008000000}" name="Water System Type" dataDxfId="81"/>
    <tableColumn id="9" xr3:uid="{00000000-0010-0000-0200-000009000000}" name="WSID (Water Supply ID)" dataDxfId="80"/>
    <tableColumn id="10" xr3:uid="{00000000-0010-0000-0200-00000A000000}" name="Connection Type / Source" dataDxfId="79"/>
    <tableColumn id="11" xr3:uid="{00000000-0010-0000-0200-00000B000000}" name="Maximum Contamination Violations" dataDxfId="78"/>
    <tableColumn id="12" xr3:uid="{00000000-0010-0000-0200-00000C000000}" name="Monitoring and Reporting Violations" dataDxfId="77"/>
    <tableColumn id="13" xr3:uid="{00000000-0010-0000-0200-00000D000000}" name="Treatment Violations" dataDxfId="76"/>
    <tableColumn id="14" xr3:uid="{00000000-0010-0000-0200-00000E000000}" name="All Violations" dataDxfId="75"/>
    <tableColumn id="15" xr3:uid="{00000000-0010-0000-0200-00000F000000}" name="Sewage" dataDxfId="74"/>
    <tableColumn id="16" xr3:uid="{00000000-0010-0000-0200-000010000000}" name="Permit DEC" dataDxfId="73"/>
    <tableColumn id="17" xr3:uid="{00000000-0010-0000-0200-000011000000}" name="Permit Act 250" dataDxfId="7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3" displayName="Table3" ref="A3:W71" totalsRowShown="0" headerRowDxfId="71" headerRowBorderDxfId="70" tableBorderDxfId="69" headerRowCellStyle="Accent1">
  <sortState xmlns:xlrd2="http://schemas.microsoft.com/office/spreadsheetml/2017/richdata2" ref="A4:W71">
    <sortCondition ref="C4:C71"/>
    <sortCondition ref="D4:D71"/>
    <sortCondition ref="B4:B71"/>
  </sortState>
  <tableColumns count="23">
    <tableColumn id="1" xr3:uid="{00000000-0010-0000-0300-000001000000}" name="MHP ID" dataDxfId="68"/>
    <tableColumn id="2" xr3:uid="{00000000-0010-0000-0300-000002000000}" name="Mobile Home Park Name" dataDxfId="67">
      <calculatedColumnFormula>VLOOKUP(A4,Registry!$A$4:$AA$241,2,FALSE)</calculatedColumnFormula>
    </tableColumn>
    <tableColumn id="3" xr3:uid="{00000000-0010-0000-0300-000003000000}" name="County" dataDxfId="66">
      <calculatedColumnFormula>VLOOKUP(A4,Registry!$A$4:$AA$241,3,FALSE)</calculatedColumnFormula>
    </tableColumn>
    <tableColumn id="4" xr3:uid="{00000000-0010-0000-0300-000004000000}" name="Town Name" dataDxfId="65">
      <calculatedColumnFormula>VLOOKUP(A4,Registry!$A$4:$AA$241,4,FALSE)</calculatedColumnFormula>
    </tableColumn>
    <tableColumn id="5" xr3:uid="{00000000-0010-0000-0300-000005000000}" name="Flooded during 2011" dataDxfId="64"/>
    <tableColumn id="6" xr3:uid="{00000000-0010-0000-0300-000006000000}" name="Highest Flood Hazard Area of Lots in Park" dataDxfId="63"/>
    <tableColumn id="7" xr3:uid="{00000000-0010-0000-0300-000007000000}" name="Highest FEH Zone of Lots in Park" dataDxfId="62"/>
    <tableColumn id="8" xr3:uid="{00000000-0010-0000-0300-000008000000}" name="Highest Flood Hazard Area of Land in Park" dataDxfId="61"/>
    <tableColumn id="9" xr3:uid="{00000000-0010-0000-0300-000009000000}" name="Floodplain Data Source" dataDxfId="60"/>
    <tableColumn id="10" xr3:uid="{00000000-0010-0000-0300-00000A000000}" name="Total Lots in Park" dataDxfId="59">
      <calculatedColumnFormula>VLOOKUP(A4,Registry!$A$4:$AA$241,21,FALSE)</calculatedColumnFormula>
    </tableColumn>
    <tableColumn id="11" xr3:uid="{00000000-0010-0000-0300-00000B000000}" name="FEH Zone" dataDxfId="58"/>
    <tableColumn id="12" xr3:uid="{00000000-0010-0000-0300-00000C000000}" name="% of Lots" dataDxfId="57" dataCellStyle="Percent"/>
    <tableColumn id="13" xr3:uid="{00000000-0010-0000-0300-00000D000000}" name="River Buffer" dataDxfId="56" dataCellStyle="Percent"/>
    <tableColumn id="14" xr3:uid="{00000000-0010-0000-0300-00000E000000}" name="% of Lots2" dataDxfId="55" dataCellStyle="Percent">
      <calculatedColumnFormula>M4/J4</calculatedColumnFormula>
    </tableColumn>
    <tableColumn id="15" xr3:uid="{00000000-0010-0000-0300-00000F000000}" name="Floodway" dataDxfId="54"/>
    <tableColumn id="16" xr3:uid="{00000000-0010-0000-0300-000010000000}" name="% of Lots3" dataDxfId="53" dataCellStyle="Percent">
      <calculatedColumnFormula>IF(O4/J4&gt;1,1,O4/J4)</calculatedColumnFormula>
    </tableColumn>
    <tableColumn id="17" xr3:uid="{00000000-0010-0000-0300-000011000000}" name="100 Year Floodplain" dataDxfId="52"/>
    <tableColumn id="18" xr3:uid="{00000000-0010-0000-0300-000012000000}" name="% of Lots4" dataDxfId="51" dataCellStyle="Percent">
      <calculatedColumnFormula>IF(Q4/J4&gt;1,1,Q4/J4)</calculatedColumnFormula>
    </tableColumn>
    <tableColumn id="19" xr3:uid="{00000000-0010-0000-0300-000013000000}" name="500 Year Floodplain" dataDxfId="50"/>
    <tableColumn id="20" xr3:uid="{00000000-0010-0000-0300-000014000000}" name="% of Lots5" dataDxfId="49" dataCellStyle="Percent">
      <calculatedColumnFormula>IF(S4/J4&gt;1,1,S4/J4)</calculatedColumnFormula>
    </tableColumn>
    <tableColumn id="21" xr3:uid="{00000000-0010-0000-0300-000015000000}" name="All Flood Hazards" dataDxfId="48">
      <calculatedColumnFormula>SUM(O4+Q4+S4)</calculatedColumnFormula>
    </tableColumn>
    <tableColumn id="22" xr3:uid="{00000000-0010-0000-0300-000016000000}" name="% of Lots6" dataDxfId="47" dataCellStyle="Percent">
      <calculatedColumnFormula>IF(U4/J4&gt;1,1,U4/J4)</calculatedColumnFormula>
    </tableColumn>
    <tableColumn id="23" xr3:uid="{00000000-0010-0000-0300-000017000000}" name="In Dam Inundation Area" dataDxfId="4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able4" displayName="Table4" ref="A3:AO241" totalsRowShown="0" headerRowDxfId="45" dataDxfId="43" headerRowBorderDxfId="44" tableBorderDxfId="42" totalsRowBorderDxfId="41" headerRowCellStyle="Currency" dataCellStyle="Currency">
  <sortState xmlns:xlrd2="http://schemas.microsoft.com/office/spreadsheetml/2017/richdata2" ref="A4:AO241">
    <sortCondition ref="C4:C241"/>
    <sortCondition ref="D4:D241"/>
    <sortCondition ref="B4:B241"/>
  </sortState>
  <tableColumns count="41">
    <tableColumn id="1" xr3:uid="{00000000-0010-0000-0400-000001000000}" name="MHP_ID" dataDxfId="40"/>
    <tableColumn id="2" xr3:uid="{00000000-0010-0000-0400-000002000000}" name="Park Name" dataDxfId="39">
      <calculatedColumnFormula>VLOOKUP(A4,Registry!$A$4:$AA$241,2,FALSE)</calculatedColumnFormula>
    </tableColumn>
    <tableColumn id="3" xr3:uid="{00000000-0010-0000-0400-000003000000}" name="County" dataDxfId="38">
      <calculatedColumnFormula>VLOOKUP(A4,Registry!$A$4:$AA$241,3,FALSE)</calculatedColumnFormula>
    </tableColumn>
    <tableColumn id="4" xr3:uid="{00000000-0010-0000-0400-000004000000}" name="Town" dataDxfId="37">
      <calculatedColumnFormula>VLOOKUP(A4,Registry!$A$4:$AA$241,4,FALSE)</calculatedColumnFormula>
    </tableColumn>
    <tableColumn id="5" xr3:uid="{00000000-0010-0000-0400-000005000000}" name="Year Est." dataDxfId="36">
      <calculatedColumnFormula>IF(VLOOKUP(A4,Registry!$A$4:$AA$241,7,FALSE)=0,"",VLOOKUP(A4,Registry!$A$4:$AA$241,7,FALSE))</calculatedColumnFormula>
    </tableColumn>
    <tableColumn id="6" xr3:uid="{00000000-0010-0000-0400-000006000000}" name="Ownership Type" dataDxfId="35">
      <calculatedColumnFormula>IF(VLOOKUP(A4,Registry!$A$4:$AA$241,20,FALSE)=0,"",VLOOKUP(A4,Registry!$A$4:$AA$241,20,FALSE))</calculatedColumnFormula>
    </tableColumn>
    <tableColumn id="7" xr3:uid="{00000000-0010-0000-0400-000007000000}" name="Year Purchased" dataDxfId="34"/>
    <tableColumn id="8" xr3:uid="{00000000-0010-0000-0400-000008000000}" name="Total Lots" dataDxfId="33">
      <calculatedColumnFormula>VLOOKUP(A4,Registry!$A$4:$AA$241,21,FALSE)</calculatedColumnFormula>
    </tableColumn>
    <tableColumn id="9" xr3:uid="{00000000-0010-0000-0400-000009000000}" name="Park Owned" dataDxfId="32"/>
    <tableColumn id="10" xr3:uid="{00000000-0010-0000-0400-00000A000000}" name="Other Owned" dataDxfId="31"/>
    <tableColumn id="11" xr3:uid="{00000000-0010-0000-0400-00000B000000}" name="Park Owned2" dataDxfId="30"/>
    <tableColumn id="12" xr3:uid="{00000000-0010-0000-0400-00000C000000}" name="Other Owned3" dataDxfId="29"/>
    <tableColumn id="13" xr3:uid="{00000000-0010-0000-0400-00000D000000}" name="Park Owned4" dataDxfId="28"/>
    <tableColumn id="14" xr3:uid="{00000000-0010-0000-0400-00000E000000}" name="Other Owned5" dataDxfId="27"/>
    <tableColumn id="15" xr3:uid="{00000000-0010-0000-0400-00000F000000}" name="Park Owned6" dataDxfId="26"/>
    <tableColumn id="16" xr3:uid="{00000000-0010-0000-0400-000010000000}" name="Other Owned7" dataDxfId="25"/>
    <tableColumn id="17" xr3:uid="{00000000-0010-0000-0400-000011000000}" name="Park Owned8" dataDxfId="24"/>
    <tableColumn id="18" xr3:uid="{00000000-0010-0000-0400-000012000000}" name="Other Owned9" dataDxfId="23"/>
    <tableColumn id="19" xr3:uid="{00000000-0010-0000-0400-000013000000}" name="# Lots" dataDxfId="22">
      <calculatedColumnFormula>VLOOKUP($A4,Registry!$A$4:$AA$241,23,FALSE)</calculatedColumnFormula>
    </tableColumn>
    <tableColumn id="20" xr3:uid="{00000000-0010-0000-0400-000014000000}" name="% Lots" dataDxfId="21" dataCellStyle="Percent">
      <calculatedColumnFormula>S4/$H4</calculatedColumnFormula>
    </tableColumn>
    <tableColumn id="21" xr3:uid="{00000000-0010-0000-0400-000015000000}" name="# Lots10" dataDxfId="20"/>
    <tableColumn id="22" xr3:uid="{00000000-0010-0000-0400-000016000000}" name="% Lots11" dataDxfId="19" dataCellStyle="Percent"/>
    <tableColumn id="23" xr3:uid="{00000000-0010-0000-0400-000017000000}" name="# Lots12" dataDxfId="18"/>
    <tableColumn id="24" xr3:uid="{00000000-0010-0000-0400-000018000000}" name="% Lots13" dataDxfId="17" dataCellStyle="Percent"/>
    <tableColumn id="25" xr3:uid="{00000000-0010-0000-0400-000019000000}" name="# Lots14" dataDxfId="16"/>
    <tableColumn id="26" xr3:uid="{00000000-0010-0000-0400-00001A000000}" name="% Lots15" dataDxfId="15" dataCellStyle="Percent"/>
    <tableColumn id="27" xr3:uid="{00000000-0010-0000-0400-00001B000000}" name="# Lots16" dataDxfId="14">
      <calculatedColumnFormula>Table4[[#This Row],['# Lots]]-Table4[[#This Row],['# Lots10]]</calculatedColumnFormula>
    </tableColumn>
    <tableColumn id="28" xr3:uid="{00000000-0010-0000-0400-00001C000000}" name="% Lots17" dataDxfId="13" dataCellStyle="Percent"/>
    <tableColumn id="29" xr3:uid="{00000000-0010-0000-0400-00001D000000}" name="# Lots18" dataDxfId="12">
      <calculatedColumnFormula>Table4[[#This Row],['# Lots]]-Table4[[#This Row],['# Lots14]]</calculatedColumnFormula>
    </tableColumn>
    <tableColumn id="30" xr3:uid="{00000000-0010-0000-0400-00001E000000}" name="% Lots19" dataDxfId="11" dataCellStyle="Percent"/>
    <tableColumn id="31" xr3:uid="{00000000-0010-0000-0400-00001F000000}" name="2022 Leased Lots20" dataDxfId="10"/>
    <tableColumn id="32" xr3:uid="{00000000-0010-0000-0400-000020000000}" name="2021 Leased Lots21" dataDxfId="9"/>
    <tableColumn id="33" xr3:uid="{00000000-0010-0000-0400-000021000000}" name="2020 Leased Lots22" dataDxfId="8"/>
    <tableColumn id="34" xr3:uid="{00000000-0010-0000-0400-000022000000}" name="2019 Leased Lots23" dataDxfId="7"/>
    <tableColumn id="35" xr3:uid="{00000000-0010-0000-0400-000023000000}" name="2019-22 Change in Leased Lots" dataDxfId="6">
      <calculatedColumnFormula>Table4[[#This Row],[2022 Leased Lots20]]-Table4[[#This Row],[2019 Leased Lots23]]</calculatedColumnFormula>
    </tableColumn>
    <tableColumn id="36" xr3:uid="{00000000-0010-0000-0400-000024000000}" name="% Leased" dataDxfId="5" dataCellStyle="Percent">
      <calculatedColumnFormula>AE4/H4</calculatedColumnFormula>
    </tableColumn>
    <tableColumn id="37" xr3:uid="{00000000-0010-0000-0400-000025000000}" name="2022 Total Rent" dataDxfId="4" dataCellStyle="Currency">
      <calculatedColumnFormula>VLOOKUP($A4,Registry!$A$4:$AA$241,27,FALSE)</calculatedColumnFormula>
    </tableColumn>
    <tableColumn id="38" xr3:uid="{00000000-0010-0000-0400-000026000000}" name="2021 Total Rent27" dataDxfId="3" dataCellStyle="Currency"/>
    <tableColumn id="39" xr3:uid="{00000000-0010-0000-0400-000027000000}" name="2020 Total Rent28" dataDxfId="2" dataCellStyle="Currency"/>
    <tableColumn id="40" xr3:uid="{00000000-0010-0000-0400-000028000000}" name="2019 Total Rent29" dataDxfId="1" dataCellStyle="Currency"/>
    <tableColumn id="41" xr3:uid="{00000000-0010-0000-0400-000029000000}" name="2019-22 Total Rent Increase" dataDxfId="0" dataCellStyle="Percent">
      <calculatedColumnFormula>IFERROR((AK4-Table4[[#This Row],[2019 Total Rent29]])/Table4[[#This Row],[2019 Total Rent29]], "-")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41"/>
  <sheetViews>
    <sheetView tabSelected="1" workbookViewId="0">
      <selection activeCell="A3" sqref="A3"/>
    </sheetView>
  </sheetViews>
  <sheetFormatPr defaultColWidth="11.42578125" defaultRowHeight="15" x14ac:dyDescent="0.25"/>
  <cols>
    <col min="2" max="2" width="34.42578125" bestFit="1" customWidth="1"/>
    <col min="6" max="6" width="16.140625" customWidth="1"/>
    <col min="7" max="7" width="11.140625" customWidth="1"/>
    <col min="8" max="8" width="11.42578125" style="48"/>
    <col min="9" max="9" width="15" style="50" customWidth="1"/>
    <col min="10" max="10" width="13.28515625" style="48" customWidth="1"/>
    <col min="11" max="11" width="16.42578125" customWidth="1"/>
    <col min="12" max="12" width="15.5703125" bestFit="1" customWidth="1"/>
    <col min="13" max="13" width="19.7109375" customWidth="1"/>
    <col min="14" max="14" width="17.7109375" customWidth="1"/>
    <col min="15" max="15" width="18.7109375" bestFit="1" customWidth="1"/>
    <col min="16" max="16" width="35.7109375" customWidth="1"/>
    <col min="17" max="17" width="21.7109375" style="72" customWidth="1"/>
    <col min="18" max="18" width="14.7109375" style="72" customWidth="1"/>
    <col min="19" max="19" width="20.42578125" style="72" customWidth="1"/>
    <col min="20" max="20" width="15.7109375" style="12" customWidth="1"/>
    <col min="21" max="21" width="15.7109375" style="69" customWidth="1"/>
    <col min="22" max="22" width="16.140625" style="12" customWidth="1"/>
    <col min="23" max="23" width="16.140625" style="69" customWidth="1"/>
  </cols>
  <sheetData>
    <row r="1" spans="1:23" ht="18.75" x14ac:dyDescent="0.3">
      <c r="C1" s="1" t="s">
        <v>986</v>
      </c>
    </row>
    <row r="2" spans="1:23" ht="18.75" x14ac:dyDescent="0.3">
      <c r="C2" s="94" t="s">
        <v>1852</v>
      </c>
      <c r="H2" s="214" t="s">
        <v>1010</v>
      </c>
      <c r="I2" s="214"/>
      <c r="J2" s="214"/>
      <c r="K2" s="214"/>
      <c r="L2" s="214"/>
      <c r="M2" s="215" t="s">
        <v>1012</v>
      </c>
      <c r="N2" s="215"/>
      <c r="O2" s="215"/>
      <c r="P2" s="215"/>
      <c r="Q2" s="216" t="s">
        <v>1014</v>
      </c>
      <c r="R2" s="216"/>
      <c r="S2" s="216"/>
      <c r="T2" s="216"/>
      <c r="U2" s="216"/>
      <c r="V2" s="216"/>
      <c r="W2" s="216"/>
    </row>
    <row r="3" spans="1:23" ht="45" x14ac:dyDescent="0.25">
      <c r="A3" s="75" t="s">
        <v>0</v>
      </c>
      <c r="B3" s="76" t="s">
        <v>788</v>
      </c>
      <c r="C3" s="76" t="s">
        <v>1</v>
      </c>
      <c r="D3" s="76" t="s">
        <v>789</v>
      </c>
      <c r="E3" s="76" t="s">
        <v>949</v>
      </c>
      <c r="F3" s="76" t="s">
        <v>948</v>
      </c>
      <c r="G3" s="76" t="s">
        <v>805</v>
      </c>
      <c r="H3" s="49" t="s">
        <v>1847</v>
      </c>
      <c r="I3" s="67" t="s">
        <v>1848</v>
      </c>
      <c r="J3" s="68" t="s">
        <v>1849</v>
      </c>
      <c r="K3" s="68" t="s">
        <v>1850</v>
      </c>
      <c r="L3" s="68" t="s">
        <v>1851</v>
      </c>
      <c r="M3" s="68" t="s">
        <v>815</v>
      </c>
      <c r="N3" s="68" t="s">
        <v>1855</v>
      </c>
      <c r="O3" s="68" t="s">
        <v>1011</v>
      </c>
      <c r="P3" s="68" t="s">
        <v>1381</v>
      </c>
      <c r="Q3" s="77" t="s">
        <v>955</v>
      </c>
      <c r="R3" s="77" t="s">
        <v>956</v>
      </c>
      <c r="S3" s="77" t="s">
        <v>957</v>
      </c>
      <c r="T3" s="78" t="s">
        <v>1016</v>
      </c>
      <c r="U3" s="79" t="s">
        <v>1013</v>
      </c>
      <c r="V3" s="70" t="s">
        <v>1017</v>
      </c>
      <c r="W3" s="71" t="s">
        <v>1015</v>
      </c>
    </row>
    <row r="4" spans="1:23" s="73" customFormat="1" x14ac:dyDescent="0.25">
      <c r="A4" s="35">
        <v>97</v>
      </c>
      <c r="B4" s="138" t="str">
        <f>VLOOKUP(A4,Registry!$A$4:$AA$241,2,FALSE)</f>
        <v>Blaises Riverside Rentals, LLC</v>
      </c>
      <c r="C4" s="138" t="str">
        <f>VLOOKUP(A4,Registry!$A$4:$AA$241,3,FALSE)</f>
        <v>Addison</v>
      </c>
      <c r="D4" s="138" t="str">
        <f>VLOOKUP(A4,Registry!$A$4:$AA$241,4,FALSE)</f>
        <v>Bristol</v>
      </c>
      <c r="E4" s="138">
        <f>IF(VLOOKUP(A4,Registry!$A$4:$AA$241,7,FALSE)=0,"",VLOOKUP(A4,Registry!$A$4:$AA$241,7,FALSE))</f>
        <v>1968</v>
      </c>
      <c r="F4" s="138" t="str">
        <f>IF(VLOOKUP(A4,Registry!$A$4:$AA$241,20,FALSE)=0,"",VLOOKUP(A4,Registry!$A$4:$AA$241,20,FALSE))</f>
        <v>For profit</v>
      </c>
      <c r="G4" s="138">
        <f>VLOOKUP(A4,Registry!$A$4:$AA$241,21,FALSE)</f>
        <v>9</v>
      </c>
      <c r="H4" s="81">
        <f>VLOOKUP($A4,Table4[],36,FALSE)</f>
        <v>1</v>
      </c>
      <c r="I4" s="129" t="str">
        <f>VLOOKUP($A4,Table4[],41,FALSE)</f>
        <v>-</v>
      </c>
      <c r="J4" s="81">
        <f>VLOOKUP($A4,Table4[],30,FALSE)</f>
        <v>0</v>
      </c>
      <c r="K4" s="82">
        <f>VLOOKUP($A4,Table4[],17,FALSE)</f>
        <v>0</v>
      </c>
      <c r="L4" s="82">
        <f>VLOOKUP($A4,Table4[],18,FALSE)</f>
        <v>0</v>
      </c>
      <c r="M4" s="82" t="str">
        <f>IF(VLOOKUP($A4,Table2[],8,FALSE)=0,"",VLOOKUP($A4,Table2[],8,FALSE))</f>
        <v>Municipal</v>
      </c>
      <c r="N4" s="82">
        <f>VLOOKUP($A4,Table2[],14,FALSE)</f>
        <v>0</v>
      </c>
      <c r="O4" s="82" t="str">
        <f>IF(VLOOKUP($A4,Table2[],15,FALSE)=0,"",VLOOKUP($A4,Table2[],15,FALSE))</f>
        <v>On-Site</v>
      </c>
      <c r="P4" s="82" t="str">
        <f>IF(VLOOKUP($A4,Table2[],16,FALSE)=0,"",VLOOKUP($A4,Table2[],16,FALSE))</f>
        <v/>
      </c>
      <c r="Q4" s="83" t="str">
        <f>IF(ISNA(VLOOKUP($A4,Table3[],6,FALSE)),"None",VLOOKUP($A4,Table3[],6,FALSE))</f>
        <v>100 Year Flood Plain</v>
      </c>
      <c r="R4" s="83" t="str">
        <f>IF(ISNA(VLOOKUP($A4,Table3[],7,FALSE)),"Unknown",VLOOKUP($A4,Table3[],7,FALSE))</f>
        <v>Unknown</v>
      </c>
      <c r="S4" s="83" t="str">
        <f>IF(ISNA(VLOOKUP($A4,Table3[],8,FALSE)),"None",VLOOKUP($A4,Table3[],8,FALSE))</f>
        <v>100 Year Flood Plain</v>
      </c>
      <c r="T4" s="84">
        <f>IF(ISNA(VLOOKUP($A4,Table3[],13,FALSE)),"Unknown",VLOOKUP($A4,Table3[],13,FALSE))</f>
        <v>5</v>
      </c>
      <c r="U4" s="85">
        <f>IF(ISNA(VLOOKUP($A4,Table3[],14,FALSE)),"Unknown",VLOOKUP($A4,Table3[],14,FALSE))</f>
        <v>0.55555555555555558</v>
      </c>
      <c r="V4" s="84">
        <f>IF(ISNA(VLOOKUP($A4,Table3[],21,FALSE)),0,VLOOKUP($A4,Table3[],21,FALSE))</f>
        <v>1</v>
      </c>
      <c r="W4" s="85">
        <f>IF(ISNA(VLOOKUP($A4,Table3[],22,FALSE)),0,VLOOKUP($A4,Table3[],22,FALSE))</f>
        <v>0.1111111111111111</v>
      </c>
    </row>
    <row r="5" spans="1:23" s="73" customFormat="1" x14ac:dyDescent="0.25">
      <c r="A5" s="35">
        <v>86</v>
      </c>
      <c r="B5" s="138" t="str">
        <f>VLOOKUP(A5,Registry!$A$4:$AA$241,2,FALSE)</f>
        <v>KTP or Kountry Trailer Park</v>
      </c>
      <c r="C5" s="138" t="str">
        <f>VLOOKUP(A5,Registry!$A$4:$AA$241,3,FALSE)</f>
        <v>Addison</v>
      </c>
      <c r="D5" s="138" t="str">
        <f>VLOOKUP(A5,Registry!$A$4:$AA$241,4,FALSE)</f>
        <v>Bristol</v>
      </c>
      <c r="E5" s="138">
        <f>IF(VLOOKUP(A5,Registry!$A$4:$AA$241,7,FALSE)=0,"",VLOOKUP(A5,Registry!$A$4:$AA$241,7,FALSE))</f>
        <v>1959</v>
      </c>
      <c r="F5" s="138" t="str">
        <f>IF(VLOOKUP(A5,Registry!$A$4:$AA$241,20,FALSE)=0,"",VLOOKUP(A5,Registry!$A$4:$AA$241,20,FALSE))</f>
        <v>Non-profit</v>
      </c>
      <c r="G5" s="138">
        <f>VLOOKUP(A5,Registry!$A$4:$AA$241,21,FALSE)</f>
        <v>45</v>
      </c>
      <c r="H5" s="81">
        <f>VLOOKUP($A5,Table4[],36,FALSE)</f>
        <v>1</v>
      </c>
      <c r="I5" s="129">
        <f>VLOOKUP($A5,Table4[],41,FALSE)</f>
        <v>0.11666666666666667</v>
      </c>
      <c r="J5" s="81">
        <f>VLOOKUP($A5,Table4[],30,FALSE)</f>
        <v>-8.8888888888888892E-2</v>
      </c>
      <c r="K5" s="82">
        <f>VLOOKUP($A5,Table4[],17,FALSE)</f>
        <v>-1</v>
      </c>
      <c r="L5" s="82">
        <f>VLOOKUP($A5,Table4[],18,FALSE)</f>
        <v>0</v>
      </c>
      <c r="M5" s="82" t="str">
        <f>IF(VLOOKUP($A5,Table2[],8,FALSE)=0,"",VLOOKUP($A5,Table2[],8,FALSE))</f>
        <v>Municipal</v>
      </c>
      <c r="N5" s="82">
        <f>VLOOKUP($A5,Table2[],14,FALSE)</f>
        <v>0</v>
      </c>
      <c r="O5" s="82" t="str">
        <f>IF(VLOOKUP($A5,Table2[],15,FALSE)=0,"",VLOOKUP($A5,Table2[],15,FALSE))</f>
        <v>On-Site</v>
      </c>
      <c r="P5" s="82" t="str">
        <f>IF(VLOOKUP($A5,Table2[],16,FALSE)=0,"",VLOOKUP($A5,Table2[],16,FALSE))</f>
        <v>MH-9-0009</v>
      </c>
      <c r="Q5" s="83" t="str">
        <f>IF(ISNA(VLOOKUP($A5,Table3[],6,FALSE)),"None",VLOOKUP($A5,Table3[],6,FALSE))</f>
        <v>None</v>
      </c>
      <c r="R5" s="83" t="str">
        <f>IF(ISNA(VLOOKUP($A5,Table3[],7,FALSE)),"Unknown",VLOOKUP($A5,Table3[],7,FALSE))</f>
        <v>Unknown</v>
      </c>
      <c r="S5" s="83" t="str">
        <f>IF(ISNA(VLOOKUP($A5,Table3[],8,FALSE)),"None",VLOOKUP($A5,Table3[],8,FALSE))</f>
        <v>None</v>
      </c>
      <c r="T5" s="84" t="str">
        <f>IF(ISNA(VLOOKUP($A5,Table3[],13,FALSE)),"Unknown",VLOOKUP($A5,Table3[],13,FALSE))</f>
        <v>Unknown</v>
      </c>
      <c r="U5" s="85" t="str">
        <f>IF(ISNA(VLOOKUP($A5,Table3[],14,FALSE)),"Unknown",VLOOKUP($A5,Table3[],14,FALSE))</f>
        <v>Unknown</v>
      </c>
      <c r="V5" s="84">
        <f>IF(ISNA(VLOOKUP($A5,Table3[],21,FALSE)),0,VLOOKUP($A5,Table3[],21,FALSE))</f>
        <v>0</v>
      </c>
      <c r="W5" s="85">
        <f>IF(ISNA(VLOOKUP($A5,Table3[],22,FALSE)),0,VLOOKUP($A5,Table3[],22,FALSE))</f>
        <v>0</v>
      </c>
    </row>
    <row r="6" spans="1:23" s="73" customFormat="1" x14ac:dyDescent="0.25">
      <c r="A6" s="35">
        <v>87</v>
      </c>
      <c r="B6" s="138" t="str">
        <f>VLOOKUP(A6,Registry!$A$4:$AA$241,2,FALSE)</f>
        <v>Lauritsen MHP</v>
      </c>
      <c r="C6" s="138" t="str">
        <f>VLOOKUP(A6,Registry!$A$4:$AA$241,3,FALSE)</f>
        <v>Addison</v>
      </c>
      <c r="D6" s="138" t="str">
        <f>VLOOKUP(A6,Registry!$A$4:$AA$241,4,FALSE)</f>
        <v>Bristol</v>
      </c>
      <c r="E6" s="138">
        <f>IF(VLOOKUP(A6,Registry!$A$4:$AA$241,7,FALSE)=0,"",VLOOKUP(A6,Registry!$A$4:$AA$241,7,FALSE))</f>
        <v>1960</v>
      </c>
      <c r="F6" s="138" t="str">
        <f>IF(VLOOKUP(A6,Registry!$A$4:$AA$241,20,FALSE)=0,"",VLOOKUP(A6,Registry!$A$4:$AA$241,20,FALSE))</f>
        <v>Non-profit</v>
      </c>
      <c r="G6" s="138">
        <f>VLOOKUP(A6,Registry!$A$4:$AA$241,21,FALSE)</f>
        <v>9</v>
      </c>
      <c r="H6" s="81">
        <f>VLOOKUP($A6,Table4[],36,FALSE)</f>
        <v>1</v>
      </c>
      <c r="I6" s="129">
        <f>VLOOKUP($A6,Table4[],41,FALSE)</f>
        <v>0.1210762331838565</v>
      </c>
      <c r="J6" s="81">
        <f>VLOOKUP($A6,Table4[],30,FALSE)</f>
        <v>0</v>
      </c>
      <c r="K6" s="82">
        <f>VLOOKUP($A6,Table4[],17,FALSE)</f>
        <v>0</v>
      </c>
      <c r="L6" s="82">
        <f>VLOOKUP($A6,Table4[],18,FALSE)</f>
        <v>0</v>
      </c>
      <c r="M6" s="82" t="str">
        <f>IF(VLOOKUP($A6,Table2[],8,FALSE)=0,"",VLOOKUP($A6,Table2[],8,FALSE))</f>
        <v>Municipal</v>
      </c>
      <c r="N6" s="82">
        <f>VLOOKUP($A6,Table2[],14,FALSE)</f>
        <v>0</v>
      </c>
      <c r="O6" s="82" t="str">
        <f>IF(VLOOKUP($A6,Table2[],15,FALSE)=0,"",VLOOKUP($A6,Table2[],15,FALSE))</f>
        <v>On-Site</v>
      </c>
      <c r="P6" s="82" t="str">
        <f>IF(VLOOKUP($A6,Table2[],16,FALSE)=0,"",VLOOKUP($A6,Table2[],16,FALSE))</f>
        <v/>
      </c>
      <c r="Q6" s="83" t="str">
        <f>IF(ISNA(VLOOKUP($A6,Table3[],6,FALSE)),"None",VLOOKUP($A6,Table3[],6,FALSE))</f>
        <v>None</v>
      </c>
      <c r="R6" s="83" t="str">
        <f>IF(ISNA(VLOOKUP($A6,Table3[],7,FALSE)),"Unknown",VLOOKUP($A6,Table3[],7,FALSE))</f>
        <v>Unknown</v>
      </c>
      <c r="S6" s="83" t="str">
        <f>IF(ISNA(VLOOKUP($A6,Table3[],8,FALSE)),"None",VLOOKUP($A6,Table3[],8,FALSE))</f>
        <v>None</v>
      </c>
      <c r="T6" s="84" t="str">
        <f>IF(ISNA(VLOOKUP($A6,Table3[],13,FALSE)),"Unknown",VLOOKUP($A6,Table3[],13,FALSE))</f>
        <v>Unknown</v>
      </c>
      <c r="U6" s="85" t="str">
        <f>IF(ISNA(VLOOKUP($A6,Table3[],14,FALSE)),"Unknown",VLOOKUP($A6,Table3[],14,FALSE))</f>
        <v>Unknown</v>
      </c>
      <c r="V6" s="84">
        <f>IF(ISNA(VLOOKUP($A6,Table3[],21,FALSE)),0,VLOOKUP($A6,Table3[],21,FALSE))</f>
        <v>0</v>
      </c>
      <c r="W6" s="85">
        <f>IF(ISNA(VLOOKUP($A6,Table3[],22,FALSE)),0,VLOOKUP($A6,Table3[],22,FALSE))</f>
        <v>0</v>
      </c>
    </row>
    <row r="7" spans="1:23" s="73" customFormat="1" x14ac:dyDescent="0.25">
      <c r="A7" s="35">
        <v>263</v>
      </c>
      <c r="B7" s="138" t="str">
        <f>VLOOKUP(A7,Registry!$A$4:$AA$241,2,FALSE)</f>
        <v>Maple Ridge Mobile Home Park</v>
      </c>
      <c r="C7" s="138" t="str">
        <f>VLOOKUP(A7,Registry!$A$4:$AA$241,3,FALSE)</f>
        <v>Addison</v>
      </c>
      <c r="D7" s="138" t="str">
        <f>VLOOKUP(A7,Registry!$A$4:$AA$241,4,FALSE)</f>
        <v>Bristol</v>
      </c>
      <c r="E7" s="138">
        <f>IF(VLOOKUP(A7,Registry!$A$4:$AA$241,7,FALSE)=0,"",VLOOKUP(A7,Registry!$A$4:$AA$241,7,FALSE))</f>
        <v>1985</v>
      </c>
      <c r="F7" s="138" t="str">
        <f>IF(VLOOKUP(A7,Registry!$A$4:$AA$241,20,FALSE)=0,"",VLOOKUP(A7,Registry!$A$4:$AA$241,20,FALSE))</f>
        <v>Non-profit</v>
      </c>
      <c r="G7" s="138">
        <f>VLOOKUP(A7,Registry!$A$4:$AA$241,21,FALSE)</f>
        <v>9</v>
      </c>
      <c r="H7" s="81">
        <f>VLOOKUP($A7,Table4[],36,FALSE)</f>
        <v>1</v>
      </c>
      <c r="I7" s="129">
        <f>VLOOKUP($A7,Table4[],41,FALSE)</f>
        <v>0.11666666666666667</v>
      </c>
      <c r="J7" s="81">
        <f>VLOOKUP($A7,Table4[],30,FALSE)</f>
        <v>-0.1111111111111111</v>
      </c>
      <c r="K7" s="82">
        <f>VLOOKUP($A7,Table4[],17,FALSE)</f>
        <v>0</v>
      </c>
      <c r="L7" s="82">
        <f>VLOOKUP($A7,Table4[],18,FALSE)</f>
        <v>0</v>
      </c>
      <c r="M7" s="82" t="str">
        <f>IF(VLOOKUP($A7,Table2[],8,FALSE)=0,"",VLOOKUP($A7,Table2[],8,FALSE))</f>
        <v>Small-Scale (potable, &lt;25 users)</v>
      </c>
      <c r="N7" s="82">
        <f>VLOOKUP($A7,Table2[],14,FALSE)</f>
        <v>0</v>
      </c>
      <c r="O7" s="82" t="str">
        <f>IF(VLOOKUP($A7,Table2[],15,FALSE)=0,"",VLOOKUP($A7,Table2[],15,FALSE))</f>
        <v>Community On-Site</v>
      </c>
      <c r="P7" s="82" t="str">
        <f>IF(VLOOKUP($A7,Table2[],16,FALSE)=0,"",VLOOKUP($A7,Table2[],16,FALSE))</f>
        <v>MH-9-0003-1</v>
      </c>
      <c r="Q7" s="83" t="str">
        <f>IF(ISNA(VLOOKUP($A7,Table3[],6,FALSE)),"None",VLOOKUP($A7,Table3[],6,FALSE))</f>
        <v>None</v>
      </c>
      <c r="R7" s="83" t="str">
        <f>IF(ISNA(VLOOKUP($A7,Table3[],7,FALSE)),"Unknown",VLOOKUP($A7,Table3[],7,FALSE))</f>
        <v>Unknown</v>
      </c>
      <c r="S7" s="83" t="str">
        <f>IF(ISNA(VLOOKUP($A7,Table3[],8,FALSE)),"None",VLOOKUP($A7,Table3[],8,FALSE))</f>
        <v>None</v>
      </c>
      <c r="T7" s="84" t="str">
        <f>IF(ISNA(VLOOKUP($A7,Table3[],13,FALSE)),"Unknown",VLOOKUP($A7,Table3[],13,FALSE))</f>
        <v>Unknown</v>
      </c>
      <c r="U7" s="85" t="str">
        <f>IF(ISNA(VLOOKUP($A7,Table3[],14,FALSE)),"Unknown",VLOOKUP($A7,Table3[],14,FALSE))</f>
        <v>Unknown</v>
      </c>
      <c r="V7" s="84">
        <f>IF(ISNA(VLOOKUP($A7,Table3[],21,FALSE)),0,VLOOKUP($A7,Table3[],21,FALSE))</f>
        <v>0</v>
      </c>
      <c r="W7" s="85">
        <f>IF(ISNA(VLOOKUP($A7,Table3[],22,FALSE)),0,VLOOKUP($A7,Table3[],22,FALSE))</f>
        <v>0</v>
      </c>
    </row>
    <row r="8" spans="1:23" s="73" customFormat="1" x14ac:dyDescent="0.25">
      <c r="A8" s="35">
        <v>293</v>
      </c>
      <c r="B8" s="138" t="str">
        <f>VLOOKUP(A8,Registry!$A$4:$AA$241,2,FALSE)</f>
        <v>J. Earl Perkins Mobile Home Park</v>
      </c>
      <c r="C8" s="138" t="str">
        <f>VLOOKUP(A8,Registry!$A$4:$AA$241,3,FALSE)</f>
        <v>Addison</v>
      </c>
      <c r="D8" s="138" t="str">
        <f>VLOOKUP(A8,Registry!$A$4:$AA$241,4,FALSE)</f>
        <v>Middlebury</v>
      </c>
      <c r="E8" s="138">
        <f>IF(VLOOKUP(A8,Registry!$A$4:$AA$241,7,FALSE)=0,"",VLOOKUP(A8,Registry!$A$4:$AA$241,7,FALSE))</f>
        <v>1965</v>
      </c>
      <c r="F8" s="138" t="str">
        <f>IF(VLOOKUP(A8,Registry!$A$4:$AA$241,20,FALSE)=0,"",VLOOKUP(A8,Registry!$A$4:$AA$241,20,FALSE))</f>
        <v>For profit</v>
      </c>
      <c r="G8" s="138">
        <f>VLOOKUP(A8,Registry!$A$4:$AA$241,21,FALSE)</f>
        <v>2</v>
      </c>
      <c r="H8" s="81">
        <f>VLOOKUP($A8,Table4[],36,FALSE)</f>
        <v>1</v>
      </c>
      <c r="I8" s="129" t="str">
        <f>VLOOKUP($A8,Table4[],41,FALSE)</f>
        <v>-</v>
      </c>
      <c r="J8" s="81">
        <f>VLOOKUP($A8,Table4[],30,FALSE)</f>
        <v>0</v>
      </c>
      <c r="K8" s="82">
        <f>VLOOKUP($A8,Table4[],17,FALSE)</f>
        <v>0</v>
      </c>
      <c r="L8" s="82">
        <f>VLOOKUP($A8,Table4[],18,FALSE)</f>
        <v>0</v>
      </c>
      <c r="M8" s="82" t="str">
        <f>IF(VLOOKUP($A8,Table2[],8,FALSE)=0,"",VLOOKUP($A8,Table2[],8,FALSE))</f>
        <v>Municipal</v>
      </c>
      <c r="N8" s="82">
        <f>VLOOKUP($A8,Table2[],14,FALSE)</f>
        <v>0</v>
      </c>
      <c r="O8" s="82" t="str">
        <f>IF(VLOOKUP($A8,Table2[],15,FALSE)=0,"",VLOOKUP($A8,Table2[],15,FALSE))</f>
        <v>On-Site</v>
      </c>
      <c r="P8" s="82" t="str">
        <f>IF(VLOOKUP($A8,Table2[],16,FALSE)=0,"",VLOOKUP($A8,Table2[],16,FALSE))</f>
        <v/>
      </c>
      <c r="Q8" s="83" t="str">
        <f>IF(ISNA(VLOOKUP($A8,Table3[],6,FALSE)),"None",VLOOKUP($A8,Table3[],6,FALSE))</f>
        <v>None</v>
      </c>
      <c r="R8" s="83" t="str">
        <f>IF(ISNA(VLOOKUP($A8,Table3[],7,FALSE)),"Unknown",VLOOKUP($A8,Table3[],7,FALSE))</f>
        <v>Unknown</v>
      </c>
      <c r="S8" s="83" t="str">
        <f>IF(ISNA(VLOOKUP($A8,Table3[],8,FALSE)),"None",VLOOKUP($A8,Table3[],8,FALSE))</f>
        <v>None</v>
      </c>
      <c r="T8" s="84" t="str">
        <f>IF(ISNA(VLOOKUP($A8,Table3[],13,FALSE)),"Unknown",VLOOKUP($A8,Table3[],13,FALSE))</f>
        <v>Unknown</v>
      </c>
      <c r="U8" s="85" t="str">
        <f>IF(ISNA(VLOOKUP($A8,Table3[],14,FALSE)),"Unknown",VLOOKUP($A8,Table3[],14,FALSE))</f>
        <v>Unknown</v>
      </c>
      <c r="V8" s="84">
        <f>IF(ISNA(VLOOKUP($A8,Table3[],21,FALSE)),0,VLOOKUP($A8,Table3[],21,FALSE))</f>
        <v>0</v>
      </c>
      <c r="W8" s="85">
        <f>IF(ISNA(VLOOKUP($A8,Table3[],22,FALSE)),0,VLOOKUP($A8,Table3[],22,FALSE))</f>
        <v>0</v>
      </c>
    </row>
    <row r="9" spans="1:23" s="73" customFormat="1" x14ac:dyDescent="0.25">
      <c r="A9" s="35">
        <v>80</v>
      </c>
      <c r="B9" s="138" t="str">
        <f>VLOOKUP(A9,Registry!$A$4:$AA$241,2,FALSE)</f>
        <v>Lindale Mobile Home Park</v>
      </c>
      <c r="C9" s="138" t="str">
        <f>VLOOKUP(A9,Registry!$A$4:$AA$241,3,FALSE)</f>
        <v>Addison</v>
      </c>
      <c r="D9" s="138" t="str">
        <f>VLOOKUP(A9,Registry!$A$4:$AA$241,4,FALSE)</f>
        <v>Middlebury</v>
      </c>
      <c r="E9" s="138">
        <f>IF(VLOOKUP(A9,Registry!$A$4:$AA$241,7,FALSE)=0,"",VLOOKUP(A9,Registry!$A$4:$AA$241,7,FALSE))</f>
        <v>1968</v>
      </c>
      <c r="F9" s="138" t="str">
        <f>IF(VLOOKUP(A9,Registry!$A$4:$AA$241,20,FALSE)=0,"",VLOOKUP(A9,Registry!$A$4:$AA$241,20,FALSE))</f>
        <v>Non-profit</v>
      </c>
      <c r="G9" s="138">
        <f>VLOOKUP(A9,Registry!$A$4:$AA$241,21,FALSE)</f>
        <v>67</v>
      </c>
      <c r="H9" s="81">
        <f>VLOOKUP($A9,Table4[],36,FALSE)</f>
        <v>1</v>
      </c>
      <c r="I9" s="129">
        <f>VLOOKUP($A9,Table4[],41,FALSE)</f>
        <v>0.11692307692307692</v>
      </c>
      <c r="J9" s="81">
        <f>VLOOKUP($A9,Table4[],30,FALSE)</f>
        <v>-1.4925373134328358E-2</v>
      </c>
      <c r="K9" s="82">
        <f>VLOOKUP($A9,Table4[],17,FALSE)</f>
        <v>0</v>
      </c>
      <c r="L9" s="82">
        <f>VLOOKUP($A9,Table4[],18,FALSE)</f>
        <v>0</v>
      </c>
      <c r="M9" s="82" t="str">
        <f>IF(VLOOKUP($A9,Table2[],8,FALSE)=0,"",VLOOKUP($A9,Table2[],8,FALSE))</f>
        <v>Consecutive Community</v>
      </c>
      <c r="N9" s="82">
        <f>VLOOKUP($A9,Table2[],14,FALSE)</f>
        <v>0</v>
      </c>
      <c r="O9" s="82" t="str">
        <f>IF(VLOOKUP($A9,Table2[],15,FALSE)=0,"",VLOOKUP($A9,Table2[],15,FALSE))</f>
        <v>On-Site</v>
      </c>
      <c r="P9" s="82" t="str">
        <f>IF(VLOOKUP($A9,Table2[],16,FALSE)=0,"",VLOOKUP($A9,Table2[],16,FALSE))</f>
        <v>MH-9-0010</v>
      </c>
      <c r="Q9" s="83" t="str">
        <f>IF(ISNA(VLOOKUP($A9,Table3[],6,FALSE)),"None",VLOOKUP($A9,Table3[],6,FALSE))</f>
        <v>None</v>
      </c>
      <c r="R9" s="83" t="str">
        <f>IF(ISNA(VLOOKUP($A9,Table3[],7,FALSE)),"Unknown",VLOOKUP($A9,Table3[],7,FALSE))</f>
        <v>Unknown</v>
      </c>
      <c r="S9" s="83" t="str">
        <f>IF(ISNA(VLOOKUP($A9,Table3[],8,FALSE)),"None",VLOOKUP($A9,Table3[],8,FALSE))</f>
        <v>None</v>
      </c>
      <c r="T9" s="84" t="str">
        <f>IF(ISNA(VLOOKUP($A9,Table3[],13,FALSE)),"Unknown",VLOOKUP($A9,Table3[],13,FALSE))</f>
        <v>Unknown</v>
      </c>
      <c r="U9" s="85" t="str">
        <f>IF(ISNA(VLOOKUP($A9,Table3[],14,FALSE)),"Unknown",VLOOKUP($A9,Table3[],14,FALSE))</f>
        <v>Unknown</v>
      </c>
      <c r="V9" s="84">
        <f>IF(ISNA(VLOOKUP($A9,Table3[],21,FALSE)),0,VLOOKUP($A9,Table3[],21,FALSE))</f>
        <v>0</v>
      </c>
      <c r="W9" s="85">
        <f>IF(ISNA(VLOOKUP($A9,Table3[],22,FALSE)),0,VLOOKUP($A9,Table3[],22,FALSE))</f>
        <v>0</v>
      </c>
    </row>
    <row r="10" spans="1:23" s="73" customFormat="1" x14ac:dyDescent="0.25">
      <c r="A10" s="35">
        <v>315</v>
      </c>
      <c r="B10" s="138" t="str">
        <f>VLOOKUP(A10,Registry!$A$4:$AA$241,2,FALSE)</f>
        <v>Quesnel MHP</v>
      </c>
      <c r="C10" s="138" t="str">
        <f>VLOOKUP(A10,Registry!$A$4:$AA$241,3,FALSE)</f>
        <v>Addison</v>
      </c>
      <c r="D10" s="138" t="str">
        <f>VLOOKUP(A10,Registry!$A$4:$AA$241,4,FALSE)</f>
        <v>Middlebury</v>
      </c>
      <c r="E10" s="138">
        <f>IF(VLOOKUP(A10,Registry!$A$4:$AA$241,7,FALSE)=0,"",VLOOKUP(A10,Registry!$A$4:$AA$241,7,FALSE))</f>
        <v>1978</v>
      </c>
      <c r="F10" s="138" t="str">
        <f>IF(VLOOKUP(A10,Registry!$A$4:$AA$241,20,FALSE)=0,"",VLOOKUP(A10,Registry!$A$4:$AA$241,20,FALSE))</f>
        <v>For profit</v>
      </c>
      <c r="G10" s="138">
        <f>VLOOKUP(A10,Registry!$A$4:$AA$241,21,FALSE)</f>
        <v>4</v>
      </c>
      <c r="H10" s="81">
        <f>VLOOKUP($A10,Table4[],36,FALSE)</f>
        <v>1</v>
      </c>
      <c r="I10" s="129">
        <f>VLOOKUP($A10,Table4[],41,FALSE)</f>
        <v>0</v>
      </c>
      <c r="J10" s="81">
        <f>VLOOKUP($A10,Table4[],30,FALSE)</f>
        <v>0</v>
      </c>
      <c r="K10" s="82">
        <f>VLOOKUP($A10,Table4[],17,FALSE)</f>
        <v>0</v>
      </c>
      <c r="L10" s="82">
        <f>VLOOKUP($A10,Table4[],18,FALSE)</f>
        <v>0</v>
      </c>
      <c r="M10" s="82" t="str">
        <f>IF(VLOOKUP($A10,Table2[],8,FALSE)=0,"",VLOOKUP($A10,Table2[],8,FALSE))</f>
        <v>Municipal</v>
      </c>
      <c r="N10" s="82">
        <f>VLOOKUP($A10,Table2[],14,FALSE)</f>
        <v>0</v>
      </c>
      <c r="O10" s="82" t="str">
        <f>IF(VLOOKUP($A10,Table2[],15,FALSE)=0,"",VLOOKUP($A10,Table2[],15,FALSE))</f>
        <v>On-Site</v>
      </c>
      <c r="P10" s="82" t="str">
        <f>IF(VLOOKUP($A10,Table2[],16,FALSE)=0,"",VLOOKUP($A10,Table2[],16,FALSE))</f>
        <v/>
      </c>
      <c r="Q10" s="83" t="str">
        <f>IF(ISNA(VLOOKUP($A10,Table3[],6,FALSE)),"None",VLOOKUP($A10,Table3[],6,FALSE))</f>
        <v>None</v>
      </c>
      <c r="R10" s="83" t="str">
        <f>IF(ISNA(VLOOKUP($A10,Table3[],7,FALSE)),"Unknown",VLOOKUP($A10,Table3[],7,FALSE))</f>
        <v>Unknown</v>
      </c>
      <c r="S10" s="83" t="str">
        <f>IF(ISNA(VLOOKUP($A10,Table3[],8,FALSE)),"None",VLOOKUP($A10,Table3[],8,FALSE))</f>
        <v>None</v>
      </c>
      <c r="T10" s="84" t="str">
        <f>IF(ISNA(VLOOKUP($A10,Table3[],13,FALSE)),"Unknown",VLOOKUP($A10,Table3[],13,FALSE))</f>
        <v>Unknown</v>
      </c>
      <c r="U10" s="85" t="str">
        <f>IF(ISNA(VLOOKUP($A10,Table3[],14,FALSE)),"Unknown",VLOOKUP($A10,Table3[],14,FALSE))</f>
        <v>Unknown</v>
      </c>
      <c r="V10" s="84">
        <f>IF(ISNA(VLOOKUP($A10,Table3[],21,FALSE)),0,VLOOKUP($A10,Table3[],21,FALSE))</f>
        <v>0</v>
      </c>
      <c r="W10" s="85">
        <f>IF(ISNA(VLOOKUP($A10,Table3[],22,FALSE)),0,VLOOKUP($A10,Table3[],22,FALSE))</f>
        <v>0</v>
      </c>
    </row>
    <row r="11" spans="1:23" s="73" customFormat="1" x14ac:dyDescent="0.25">
      <c r="A11" s="35">
        <v>90</v>
      </c>
      <c r="B11" s="138" t="str">
        <f>VLOOKUP(A11,Registry!$A$4:$AA$241,2,FALSE)</f>
        <v>Vaughn MHP</v>
      </c>
      <c r="C11" s="138" t="str">
        <f>VLOOKUP(A11,Registry!$A$4:$AA$241,3,FALSE)</f>
        <v>Addison</v>
      </c>
      <c r="D11" s="138" t="str">
        <f>VLOOKUP(A11,Registry!$A$4:$AA$241,4,FALSE)</f>
        <v>Monkton</v>
      </c>
      <c r="E11" s="138">
        <f>IF(VLOOKUP(A11,Registry!$A$4:$AA$241,7,FALSE)=0,"",VLOOKUP(A11,Registry!$A$4:$AA$241,7,FALSE))</f>
        <v>1970</v>
      </c>
      <c r="F11" s="138" t="str">
        <f>IF(VLOOKUP(A11,Registry!$A$4:$AA$241,20,FALSE)=0,"",VLOOKUP(A11,Registry!$A$4:$AA$241,20,FALSE))</f>
        <v>Non-profit</v>
      </c>
      <c r="G11" s="138">
        <f>VLOOKUP(A11,Registry!$A$4:$AA$241,21,FALSE)</f>
        <v>9</v>
      </c>
      <c r="H11" s="81">
        <f>VLOOKUP($A11,Table4[],36,FALSE)</f>
        <v>1</v>
      </c>
      <c r="I11" s="129">
        <f>VLOOKUP($A11,Table4[],41,FALSE)</f>
        <v>0.10644257703081232</v>
      </c>
      <c r="J11" s="81">
        <f>VLOOKUP($A11,Table4[],30,FALSE)</f>
        <v>0</v>
      </c>
      <c r="K11" s="82">
        <f>VLOOKUP($A11,Table4[],17,FALSE)</f>
        <v>0</v>
      </c>
      <c r="L11" s="82">
        <f>VLOOKUP($A11,Table4[],18,FALSE)</f>
        <v>0</v>
      </c>
      <c r="M11" s="82" t="str">
        <f>IF(VLOOKUP($A11,Table2[],8,FALSE)=0,"",VLOOKUP($A11,Table2[],8,FALSE))</f>
        <v>Small-Scale (potable, &lt;25 users)</v>
      </c>
      <c r="N11" s="82">
        <f>VLOOKUP($A11,Table2[],14,FALSE)</f>
        <v>0</v>
      </c>
      <c r="O11" s="82" t="str">
        <f>IF(VLOOKUP($A11,Table2[],15,FALSE)=0,"",VLOOKUP($A11,Table2[],15,FALSE))</f>
        <v>Community On-Site</v>
      </c>
      <c r="P11" s="82" t="str">
        <f>IF(VLOOKUP($A11,Table2[],16,FALSE)=0,"",VLOOKUP($A11,Table2[],16,FALSE))</f>
        <v>MH-9-0006, WW-9-0982</v>
      </c>
      <c r="Q11" s="83" t="str">
        <f>IF(ISNA(VLOOKUP($A11,Table3[],6,FALSE)),"None",VLOOKUP($A11,Table3[],6,FALSE))</f>
        <v>None</v>
      </c>
      <c r="R11" s="83" t="str">
        <f>IF(ISNA(VLOOKUP($A11,Table3[],7,FALSE)),"Unknown",VLOOKUP($A11,Table3[],7,FALSE))</f>
        <v>Unknown</v>
      </c>
      <c r="S11" s="83" t="str">
        <f>IF(ISNA(VLOOKUP($A11,Table3[],8,FALSE)),"None",VLOOKUP($A11,Table3[],8,FALSE))</f>
        <v>None</v>
      </c>
      <c r="T11" s="84" t="str">
        <f>IF(ISNA(VLOOKUP($A11,Table3[],13,FALSE)),"Unknown",VLOOKUP($A11,Table3[],13,FALSE))</f>
        <v>Unknown</v>
      </c>
      <c r="U11" s="85" t="str">
        <f>IF(ISNA(VLOOKUP($A11,Table3[],14,FALSE)),"Unknown",VLOOKUP($A11,Table3[],14,FALSE))</f>
        <v>Unknown</v>
      </c>
      <c r="V11" s="84">
        <f>IF(ISNA(VLOOKUP($A11,Table3[],21,FALSE)),0,VLOOKUP($A11,Table3[],21,FALSE))</f>
        <v>0</v>
      </c>
      <c r="W11" s="85">
        <f>IF(ISNA(VLOOKUP($A11,Table3[],22,FALSE)),0,VLOOKUP($A11,Table3[],22,FALSE))</f>
        <v>0</v>
      </c>
    </row>
    <row r="12" spans="1:23" s="73" customFormat="1" x14ac:dyDescent="0.25">
      <c r="A12" s="35">
        <v>185</v>
      </c>
      <c r="B12" s="138" t="str">
        <f>VLOOKUP(A12,Registry!$A$4:$AA$241,2,FALSE)</f>
        <v>Skip's Mobile Home Park</v>
      </c>
      <c r="C12" s="138" t="str">
        <f>VLOOKUP(A12,Registry!$A$4:$AA$241,3,FALSE)</f>
        <v>Addison</v>
      </c>
      <c r="D12" s="138" t="str">
        <f>VLOOKUP(A12,Registry!$A$4:$AA$241,4,FALSE)</f>
        <v>Salisbury</v>
      </c>
      <c r="E12" s="138">
        <f>IF(VLOOKUP(A12,Registry!$A$4:$AA$241,7,FALSE)=0,"",VLOOKUP(A12,Registry!$A$4:$AA$241,7,FALSE))</f>
        <v>1983</v>
      </c>
      <c r="F12" s="138" t="str">
        <f>IF(VLOOKUP(A12,Registry!$A$4:$AA$241,20,FALSE)=0,"",VLOOKUP(A12,Registry!$A$4:$AA$241,20,FALSE))</f>
        <v>For profit</v>
      </c>
      <c r="G12" s="138">
        <f>VLOOKUP(A12,Registry!$A$4:$AA$241,21,FALSE)</f>
        <v>4</v>
      </c>
      <c r="H12" s="81">
        <f>VLOOKUP($A12,Table4[],36,FALSE)</f>
        <v>1</v>
      </c>
      <c r="I12" s="129">
        <f>VLOOKUP($A12,Table4[],41,FALSE)</f>
        <v>0</v>
      </c>
      <c r="J12" s="81">
        <f>VLOOKUP($A12,Table4[],30,FALSE)</f>
        <v>0</v>
      </c>
      <c r="K12" s="82">
        <f>VLOOKUP($A12,Table4[],17,FALSE)</f>
        <v>0</v>
      </c>
      <c r="L12" s="82">
        <f>VLOOKUP($A12,Table4[],18,FALSE)</f>
        <v>0</v>
      </c>
      <c r="M12" s="82" t="str">
        <f>IF(VLOOKUP($A12,Table2[],8,FALSE)=0,"",VLOOKUP($A12,Table2[],8,FALSE))</f>
        <v>Small-Scale (potable, &lt;25 users)</v>
      </c>
      <c r="N12" s="82">
        <f>VLOOKUP($A12,Table2[],14,FALSE)</f>
        <v>0</v>
      </c>
      <c r="O12" s="82" t="str">
        <f>IF(VLOOKUP($A12,Table2[],15,FALSE)=0,"",VLOOKUP($A12,Table2[],15,FALSE))</f>
        <v>On-Site</v>
      </c>
      <c r="P12" s="82" t="str">
        <f>IF(VLOOKUP($A12,Table2[],16,FALSE)=0,"",VLOOKUP($A12,Table2[],16,FALSE))</f>
        <v/>
      </c>
      <c r="Q12" s="83" t="str">
        <f>IF(ISNA(VLOOKUP($A12,Table3[],6,FALSE)),"None",VLOOKUP($A12,Table3[],6,FALSE))</f>
        <v>None</v>
      </c>
      <c r="R12" s="83" t="str">
        <f>IF(ISNA(VLOOKUP($A12,Table3[],7,FALSE)),"Unknown",VLOOKUP($A12,Table3[],7,FALSE))</f>
        <v>Unknown</v>
      </c>
      <c r="S12" s="83" t="str">
        <f>IF(ISNA(VLOOKUP($A12,Table3[],8,FALSE)),"None",VLOOKUP($A12,Table3[],8,FALSE))</f>
        <v>None</v>
      </c>
      <c r="T12" s="84" t="str">
        <f>IF(ISNA(VLOOKUP($A12,Table3[],13,FALSE)),"Unknown",VLOOKUP($A12,Table3[],13,FALSE))</f>
        <v>Unknown</v>
      </c>
      <c r="U12" s="85" t="str">
        <f>IF(ISNA(VLOOKUP($A12,Table3[],14,FALSE)),"Unknown",VLOOKUP($A12,Table3[],14,FALSE))</f>
        <v>Unknown</v>
      </c>
      <c r="V12" s="84">
        <f>IF(ISNA(VLOOKUP($A12,Table3[],21,FALSE)),0,VLOOKUP($A12,Table3[],21,FALSE))</f>
        <v>0</v>
      </c>
      <c r="W12" s="85">
        <f>IF(ISNA(VLOOKUP($A12,Table3[],22,FALSE)),0,VLOOKUP($A12,Table3[],22,FALSE))</f>
        <v>0</v>
      </c>
    </row>
    <row r="13" spans="1:23" s="73" customFormat="1" x14ac:dyDescent="0.25">
      <c r="A13" s="35">
        <v>114</v>
      </c>
      <c r="B13" s="138" t="str">
        <f>VLOOKUP(A13,Registry!$A$4:$AA$241,2,FALSE)</f>
        <v>Brookside Mobile Home Park</v>
      </c>
      <c r="C13" s="138" t="str">
        <f>VLOOKUP(A13,Registry!$A$4:$AA$241,3,FALSE)</f>
        <v>Addison</v>
      </c>
      <c r="D13" s="138" t="str">
        <f>VLOOKUP(A13,Registry!$A$4:$AA$241,4,FALSE)</f>
        <v>Starksboro</v>
      </c>
      <c r="E13" s="138">
        <f>IF(VLOOKUP(A13,Registry!$A$4:$AA$241,7,FALSE)=0,"",VLOOKUP(A13,Registry!$A$4:$AA$241,7,FALSE))</f>
        <v>1969</v>
      </c>
      <c r="F13" s="138" t="str">
        <f>IF(VLOOKUP(A13,Registry!$A$4:$AA$241,20,FALSE)=0,"",VLOOKUP(A13,Registry!$A$4:$AA$241,20,FALSE))</f>
        <v>Non-profit</v>
      </c>
      <c r="G13" s="138">
        <f>VLOOKUP(A13,Registry!$A$4:$AA$241,21,FALSE)</f>
        <v>48</v>
      </c>
      <c r="H13" s="81">
        <f>VLOOKUP($A13,Table4[],36,FALSE)</f>
        <v>1</v>
      </c>
      <c r="I13" s="129">
        <f>VLOOKUP($A13,Table4[],41,FALSE)</f>
        <v>0.1023391812865497</v>
      </c>
      <c r="J13" s="81">
        <f>VLOOKUP($A13,Table4[],30,FALSE)</f>
        <v>0</v>
      </c>
      <c r="K13" s="82">
        <f>VLOOKUP($A13,Table4[],17,FALSE)</f>
        <v>0</v>
      </c>
      <c r="L13" s="82">
        <f>VLOOKUP($A13,Table4[],18,FALSE)</f>
        <v>0</v>
      </c>
      <c r="M13" s="82" t="str">
        <f>IF(VLOOKUP($A13,Table2[],8,FALSE)=0,"",VLOOKUP($A13,Table2[],8,FALSE))</f>
        <v xml:space="preserve">Community </v>
      </c>
      <c r="N13" s="82">
        <f>VLOOKUP($A13,Table2[],14,FALSE)</f>
        <v>0</v>
      </c>
      <c r="O13" s="82" t="str">
        <f>IF(VLOOKUP($A13,Table2[],15,FALSE)=0,"",VLOOKUP($A13,Table2[],15,FALSE))</f>
        <v>Community On-Site</v>
      </c>
      <c r="P13" s="82" t="str">
        <f>IF(VLOOKUP($A13,Table2[],16,FALSE)=0,"",VLOOKUP($A13,Table2[],16,FALSE))</f>
        <v/>
      </c>
      <c r="Q13" s="83" t="str">
        <f>IF(ISNA(VLOOKUP($A13,Table3[],6,FALSE)),"None",VLOOKUP($A13,Table3[],6,FALSE))</f>
        <v>None</v>
      </c>
      <c r="R13" s="83" t="str">
        <f>IF(ISNA(VLOOKUP($A13,Table3[],7,FALSE)),"Unknown",VLOOKUP($A13,Table3[],7,FALSE))</f>
        <v>Unknown</v>
      </c>
      <c r="S13" s="83" t="str">
        <f>IF(ISNA(VLOOKUP($A13,Table3[],8,FALSE)),"None",VLOOKUP($A13,Table3[],8,FALSE))</f>
        <v>100 Year Flood Plain</v>
      </c>
      <c r="T13" s="84">
        <f>IF(ISNA(VLOOKUP($A13,Table3[],13,FALSE)),"Unknown",VLOOKUP($A13,Table3[],13,FALSE))</f>
        <v>0</v>
      </c>
      <c r="U13" s="85">
        <f>IF(ISNA(VLOOKUP($A13,Table3[],14,FALSE)),"Unknown",VLOOKUP($A13,Table3[],14,FALSE))</f>
        <v>0</v>
      </c>
      <c r="V13" s="84">
        <f>IF(ISNA(VLOOKUP($A13,Table3[],21,FALSE)),0,VLOOKUP($A13,Table3[],21,FALSE))</f>
        <v>0</v>
      </c>
      <c r="W13" s="85">
        <f>IF(ISNA(VLOOKUP($A13,Table3[],22,FALSE)),0,VLOOKUP($A13,Table3[],22,FALSE))</f>
        <v>0</v>
      </c>
    </row>
    <row r="14" spans="1:23" s="73" customFormat="1" x14ac:dyDescent="0.25">
      <c r="A14" s="35">
        <v>217</v>
      </c>
      <c r="B14" s="138" t="str">
        <f>VLOOKUP(A14,Registry!$A$4:$AA$241,2,FALSE)</f>
        <v>Hillside Manor Park</v>
      </c>
      <c r="C14" s="138" t="str">
        <f>VLOOKUP(A14,Registry!$A$4:$AA$241,3,FALSE)</f>
        <v>Addison</v>
      </c>
      <c r="D14" s="138" t="str">
        <f>VLOOKUP(A14,Registry!$A$4:$AA$241,4,FALSE)</f>
        <v>Starksboro</v>
      </c>
      <c r="E14" s="138">
        <f>IF(VLOOKUP(A14,Registry!$A$4:$AA$241,7,FALSE)=0,"",VLOOKUP(A14,Registry!$A$4:$AA$241,7,FALSE))</f>
        <v>1960</v>
      </c>
      <c r="F14" s="138" t="str">
        <f>IF(VLOOKUP(A14,Registry!$A$4:$AA$241,20,FALSE)=0,"",VLOOKUP(A14,Registry!$A$4:$AA$241,20,FALSE))</f>
        <v>Non-profit</v>
      </c>
      <c r="G14" s="138">
        <f>VLOOKUP(A14,Registry!$A$4:$AA$241,21,FALSE)</f>
        <v>29</v>
      </c>
      <c r="H14" s="81">
        <f>VLOOKUP($A14,Table4[],36,FALSE)</f>
        <v>0.86206896551724133</v>
      </c>
      <c r="I14" s="129">
        <f>VLOOKUP($A14,Table4[],41,FALSE)</f>
        <v>0.1076923076923077</v>
      </c>
      <c r="J14" s="81">
        <f>VLOOKUP($A14,Table4[],30,FALSE)</f>
        <v>3.4482758620689655E-2</v>
      </c>
      <c r="K14" s="82">
        <f>VLOOKUP($A14,Table4[],17,FALSE)</f>
        <v>0</v>
      </c>
      <c r="L14" s="82">
        <f>VLOOKUP($A14,Table4[],18,FALSE)</f>
        <v>0</v>
      </c>
      <c r="M14" s="82" t="str">
        <f>IF(VLOOKUP($A14,Table2[],8,FALSE)=0,"",VLOOKUP($A14,Table2[],8,FALSE))</f>
        <v xml:space="preserve">Community </v>
      </c>
      <c r="N14" s="82">
        <f>VLOOKUP($A14,Table2[],14,FALSE)</f>
        <v>0</v>
      </c>
      <c r="O14" s="82" t="str">
        <f>IF(VLOOKUP($A14,Table2[],15,FALSE)=0,"",VLOOKUP($A14,Table2[],15,FALSE))</f>
        <v>On-Site</v>
      </c>
      <c r="P14" s="82" t="str">
        <f>IF(VLOOKUP($A14,Table2[],16,FALSE)=0,"",VLOOKUP($A14,Table2[],16,FALSE))</f>
        <v>MH-9-0005, MH-9-0008, WW-9-1818</v>
      </c>
      <c r="Q14" s="83" t="str">
        <f>IF(ISNA(VLOOKUP($A14,Table3[],6,FALSE)),"None",VLOOKUP($A14,Table3[],6,FALSE))</f>
        <v>100 Year Flood Plain</v>
      </c>
      <c r="R14" s="83" t="str">
        <f>IF(ISNA(VLOOKUP($A14,Table3[],7,FALSE)),"Unknown",VLOOKUP($A14,Table3[],7,FALSE))</f>
        <v>Unknown</v>
      </c>
      <c r="S14" s="83" t="str">
        <f>IF(ISNA(VLOOKUP($A14,Table3[],8,FALSE)),"None",VLOOKUP($A14,Table3[],8,FALSE))</f>
        <v>100 Year Flood Plain</v>
      </c>
      <c r="T14" s="84">
        <f>IF(ISNA(VLOOKUP($A14,Table3[],13,FALSE)),"Unknown",VLOOKUP($A14,Table3[],13,FALSE))</f>
        <v>7</v>
      </c>
      <c r="U14" s="85">
        <f>IF(ISNA(VLOOKUP($A14,Table3[],14,FALSE)),"Unknown",VLOOKUP($A14,Table3[],14,FALSE))</f>
        <v>0.2413793103448276</v>
      </c>
      <c r="V14" s="84">
        <f>IF(ISNA(VLOOKUP($A14,Table3[],21,FALSE)),0,VLOOKUP($A14,Table3[],21,FALSE))</f>
        <v>2</v>
      </c>
      <c r="W14" s="85">
        <f>IF(ISNA(VLOOKUP($A14,Table3[],22,FALSE)),0,VLOOKUP($A14,Table3[],22,FALSE))</f>
        <v>6.8965517241379309E-2</v>
      </c>
    </row>
    <row r="15" spans="1:23" s="73" customFormat="1" x14ac:dyDescent="0.25">
      <c r="A15" s="35">
        <v>218</v>
      </c>
      <c r="B15" s="138" t="str">
        <f>VLOOKUP(A15,Registry!$A$4:$AA$241,2,FALSE)</f>
        <v>Lazy Brook Park</v>
      </c>
      <c r="C15" s="138" t="str">
        <f>VLOOKUP(A15,Registry!$A$4:$AA$241,3,FALSE)</f>
        <v>Addison</v>
      </c>
      <c r="D15" s="138" t="str">
        <f>VLOOKUP(A15,Registry!$A$4:$AA$241,4,FALSE)</f>
        <v>Starksboro</v>
      </c>
      <c r="E15" s="138">
        <f>IF(VLOOKUP(A15,Registry!$A$4:$AA$241,7,FALSE)=0,"",VLOOKUP(A15,Registry!$A$4:$AA$241,7,FALSE))</f>
        <v>1960</v>
      </c>
      <c r="F15" s="138" t="str">
        <f>IF(VLOOKUP(A15,Registry!$A$4:$AA$241,20,FALSE)=0,"",VLOOKUP(A15,Registry!$A$4:$AA$241,20,FALSE))</f>
        <v>Non-profit</v>
      </c>
      <c r="G15" s="138">
        <f>VLOOKUP(A15,Registry!$A$4:$AA$241,21,FALSE)</f>
        <v>51</v>
      </c>
      <c r="H15" s="81">
        <f>VLOOKUP($A15,Table4[],36,FALSE)</f>
        <v>0.98039215686274506</v>
      </c>
      <c r="I15" s="129">
        <f>VLOOKUP($A15,Table4[],41,FALSE)</f>
        <v>0.17216117216117216</v>
      </c>
      <c r="J15" s="81">
        <f>VLOOKUP($A15,Table4[],30,FALSE)</f>
        <v>1.9607843137254902E-2</v>
      </c>
      <c r="K15" s="82">
        <f>VLOOKUP($A15,Table4[],17,FALSE)</f>
        <v>0</v>
      </c>
      <c r="L15" s="82">
        <f>VLOOKUP($A15,Table4[],18,FALSE)</f>
        <v>0</v>
      </c>
      <c r="M15" s="82" t="str">
        <f>IF(VLOOKUP($A15,Table2[],8,FALSE)=0,"",VLOOKUP($A15,Table2[],8,FALSE))</f>
        <v xml:space="preserve">Community </v>
      </c>
      <c r="N15" s="82">
        <f>VLOOKUP($A15,Table2[],14,FALSE)</f>
        <v>2</v>
      </c>
      <c r="O15" s="82" t="str">
        <f>IF(VLOOKUP($A15,Table2[],15,FALSE)=0,"",VLOOKUP($A15,Table2[],15,FALSE))</f>
        <v>Individual On-Site</v>
      </c>
      <c r="P15" s="82" t="str">
        <f>IF(VLOOKUP($A15,Table2[],16,FALSE)=0,"",VLOOKUP($A15,Table2[],16,FALSE))</f>
        <v>MH-9-0007, WW-9-0443</v>
      </c>
      <c r="Q15" s="83" t="str">
        <f>IF(ISNA(VLOOKUP($A15,Table3[],6,FALSE)),"None",VLOOKUP($A15,Table3[],6,FALSE))</f>
        <v>100 Year Flood Plain</v>
      </c>
      <c r="R15" s="83" t="str">
        <f>IF(ISNA(VLOOKUP($A15,Table3[],7,FALSE)),"Unknown",VLOOKUP($A15,Table3[],7,FALSE))</f>
        <v>Unknown</v>
      </c>
      <c r="S15" s="83" t="str">
        <f>IF(ISNA(VLOOKUP($A15,Table3[],8,FALSE)),"None",VLOOKUP($A15,Table3[],8,FALSE))</f>
        <v>100 Year Flood Plain</v>
      </c>
      <c r="T15" s="84">
        <f>IF(ISNA(VLOOKUP($A15,Table3[],13,FALSE)),"Unknown",VLOOKUP($A15,Table3[],13,FALSE))</f>
        <v>18</v>
      </c>
      <c r="U15" s="85">
        <f>IF(ISNA(VLOOKUP($A15,Table3[],14,FALSE)),"Unknown",VLOOKUP($A15,Table3[],14,FALSE))</f>
        <v>0.35294117647058826</v>
      </c>
      <c r="V15" s="84">
        <f>IF(ISNA(VLOOKUP($A15,Table3[],21,FALSE)),0,VLOOKUP($A15,Table3[],21,FALSE))</f>
        <v>12</v>
      </c>
      <c r="W15" s="85">
        <f>IF(ISNA(VLOOKUP($A15,Table3[],22,FALSE)),0,VLOOKUP($A15,Table3[],22,FALSE))</f>
        <v>0.23529411764705882</v>
      </c>
    </row>
    <row r="16" spans="1:23" s="73" customFormat="1" x14ac:dyDescent="0.25">
      <c r="A16" s="35">
        <v>219</v>
      </c>
      <c r="B16" s="138" t="str">
        <f>VLOOKUP(A16,Registry!$A$4:$AA$241,2,FALSE)</f>
        <v>Otter Creek Park</v>
      </c>
      <c r="C16" s="138" t="str">
        <f>VLOOKUP(A16,Registry!$A$4:$AA$241,3,FALSE)</f>
        <v>Addison</v>
      </c>
      <c r="D16" s="138" t="str">
        <f>VLOOKUP(A16,Registry!$A$4:$AA$241,4,FALSE)</f>
        <v>Vergennes</v>
      </c>
      <c r="E16" s="138">
        <f>IF(VLOOKUP(A16,Registry!$A$4:$AA$241,7,FALSE)=0,"",VLOOKUP(A16,Registry!$A$4:$AA$241,7,FALSE))</f>
        <v>1960</v>
      </c>
      <c r="F16" s="138" t="str">
        <f>IF(VLOOKUP(A16,Registry!$A$4:$AA$241,20,FALSE)=0,"",VLOOKUP(A16,Registry!$A$4:$AA$241,20,FALSE))</f>
        <v>Non-profit</v>
      </c>
      <c r="G16" s="138">
        <f>VLOOKUP(A16,Registry!$A$4:$AA$241,21,FALSE)</f>
        <v>73</v>
      </c>
      <c r="H16" s="81">
        <f>VLOOKUP($A16,Table4[],36,FALSE)</f>
        <v>1</v>
      </c>
      <c r="I16" s="129">
        <f>VLOOKUP($A16,Table4[],41,FALSE)</f>
        <v>0.1044776119402985</v>
      </c>
      <c r="J16" s="81">
        <f>VLOOKUP($A16,Table4[],30,FALSE)</f>
        <v>0</v>
      </c>
      <c r="K16" s="82">
        <f>VLOOKUP($A16,Table4[],17,FALSE)</f>
        <v>0</v>
      </c>
      <c r="L16" s="82">
        <f>VLOOKUP($A16,Table4[],18,FALSE)</f>
        <v>0</v>
      </c>
      <c r="M16" s="82" t="str">
        <f>IF(VLOOKUP($A16,Table2[],8,FALSE)=0,"",VLOOKUP($A16,Table2[],8,FALSE))</f>
        <v>Consecutive Community</v>
      </c>
      <c r="N16" s="82">
        <f>VLOOKUP($A16,Table2[],14,FALSE)</f>
        <v>0</v>
      </c>
      <c r="O16" s="82" t="str">
        <f>IF(VLOOKUP($A16,Table2[],15,FALSE)=0,"",VLOOKUP($A16,Table2[],15,FALSE))</f>
        <v>Municipal</v>
      </c>
      <c r="P16" s="82" t="str">
        <f>IF(VLOOKUP($A16,Table2[],16,FALSE)=0,"",VLOOKUP($A16,Table2[],16,FALSE))</f>
        <v/>
      </c>
      <c r="Q16" s="83" t="str">
        <f>IF(ISNA(VLOOKUP($A16,Table3[],6,FALSE)),"None",VLOOKUP($A16,Table3[],6,FALSE))</f>
        <v>None</v>
      </c>
      <c r="R16" s="83" t="str">
        <f>IF(ISNA(VLOOKUP($A16,Table3[],7,FALSE)),"Unknown",VLOOKUP($A16,Table3[],7,FALSE))</f>
        <v>Unknown</v>
      </c>
      <c r="S16" s="83" t="str">
        <f>IF(ISNA(VLOOKUP($A16,Table3[],8,FALSE)),"None",VLOOKUP($A16,Table3[],8,FALSE))</f>
        <v>100 Year Flood Plain</v>
      </c>
      <c r="T16" s="84">
        <f>IF(ISNA(VLOOKUP($A16,Table3[],13,FALSE)),"Unknown",VLOOKUP($A16,Table3[],13,FALSE))</f>
        <v>0</v>
      </c>
      <c r="U16" s="85">
        <f>IF(ISNA(VLOOKUP($A16,Table3[],14,FALSE)),"Unknown",VLOOKUP($A16,Table3[],14,FALSE))</f>
        <v>0</v>
      </c>
      <c r="V16" s="84">
        <f>IF(ISNA(VLOOKUP($A16,Table3[],21,FALSE)),0,VLOOKUP($A16,Table3[],21,FALSE))</f>
        <v>0</v>
      </c>
      <c r="W16" s="85">
        <f>IF(ISNA(VLOOKUP($A16,Table3[],22,FALSE)),0,VLOOKUP($A16,Table3[],22,FALSE))</f>
        <v>0</v>
      </c>
    </row>
    <row r="17" spans="1:23" s="73" customFormat="1" x14ac:dyDescent="0.25">
      <c r="A17" s="35">
        <v>116</v>
      </c>
      <c r="B17" s="138" t="str">
        <f>VLOOKUP(A17,Registry!$A$4:$AA$241,2,FALSE)</f>
        <v>High Manor Park</v>
      </c>
      <c r="C17" s="138" t="str">
        <f>VLOOKUP(A17,Registry!$A$4:$AA$241,3,FALSE)</f>
        <v>Addison</v>
      </c>
      <c r="D17" s="138" t="str">
        <f>VLOOKUP(A17,Registry!$A$4:$AA$241,4,FALSE)</f>
        <v>Waltham</v>
      </c>
      <c r="E17" s="138">
        <f>IF(VLOOKUP(A17,Registry!$A$4:$AA$241,7,FALSE)=0,"",VLOOKUP(A17,Registry!$A$4:$AA$241,7,FALSE))</f>
        <v>1966</v>
      </c>
      <c r="F17" s="138" t="str">
        <f>IF(VLOOKUP(A17,Registry!$A$4:$AA$241,20,FALSE)=0,"",VLOOKUP(A17,Registry!$A$4:$AA$241,20,FALSE))</f>
        <v>For profit</v>
      </c>
      <c r="G17" s="138">
        <f>VLOOKUP(A17,Registry!$A$4:$AA$241,21,FALSE)</f>
        <v>23</v>
      </c>
      <c r="H17" s="81">
        <f>VLOOKUP($A17,Table4[],36,FALSE)</f>
        <v>1</v>
      </c>
      <c r="I17" s="129">
        <f>VLOOKUP($A17,Table4[],41,FALSE)</f>
        <v>0.1</v>
      </c>
      <c r="J17" s="81">
        <f>VLOOKUP($A17,Table4[],30,FALSE)</f>
        <v>0</v>
      </c>
      <c r="K17" s="82">
        <f>VLOOKUP($A17,Table4[],17,FALSE)</f>
        <v>0</v>
      </c>
      <c r="L17" s="82">
        <f>VLOOKUP($A17,Table4[],18,FALSE)</f>
        <v>0</v>
      </c>
      <c r="M17" s="82" t="str">
        <f>IF(VLOOKUP($A17,Table2[],8,FALSE)=0,"",VLOOKUP($A17,Table2[],8,FALSE))</f>
        <v>Municipal</v>
      </c>
      <c r="N17" s="82">
        <f>VLOOKUP($A17,Table2[],14,FALSE)</f>
        <v>0</v>
      </c>
      <c r="O17" s="82" t="str">
        <f>IF(VLOOKUP($A17,Table2[],15,FALSE)=0,"",VLOOKUP($A17,Table2[],15,FALSE))</f>
        <v>Municipal</v>
      </c>
      <c r="P17" s="82" t="str">
        <f>IF(VLOOKUP($A17,Table2[],16,FALSE)=0,"",VLOOKUP($A17,Table2[],16,FALSE))</f>
        <v/>
      </c>
      <c r="Q17" s="83" t="str">
        <f>IF(ISNA(VLOOKUP($A17,Table3[],6,FALSE)),"None",VLOOKUP($A17,Table3[],6,FALSE))</f>
        <v>None</v>
      </c>
      <c r="R17" s="83" t="str">
        <f>IF(ISNA(VLOOKUP($A17,Table3[],7,FALSE)),"Unknown",VLOOKUP($A17,Table3[],7,FALSE))</f>
        <v>Unknown</v>
      </c>
      <c r="S17" s="83" t="str">
        <f>IF(ISNA(VLOOKUP($A17,Table3[],8,FALSE)),"None",VLOOKUP($A17,Table3[],8,FALSE))</f>
        <v>None</v>
      </c>
      <c r="T17" s="84" t="str">
        <f>IF(ISNA(VLOOKUP($A17,Table3[],13,FALSE)),"Unknown",VLOOKUP($A17,Table3[],13,FALSE))</f>
        <v>Unknown</v>
      </c>
      <c r="U17" s="85" t="str">
        <f>IF(ISNA(VLOOKUP($A17,Table3[],14,FALSE)),"Unknown",VLOOKUP($A17,Table3[],14,FALSE))</f>
        <v>Unknown</v>
      </c>
      <c r="V17" s="84">
        <f>IF(ISNA(VLOOKUP($A17,Table3[],21,FALSE)),0,VLOOKUP($A17,Table3[],21,FALSE))</f>
        <v>0</v>
      </c>
      <c r="W17" s="85">
        <f>IF(ISNA(VLOOKUP($A17,Table3[],22,FALSE)),0,VLOOKUP($A17,Table3[],22,FALSE))</f>
        <v>0</v>
      </c>
    </row>
    <row r="18" spans="1:23" s="73" customFormat="1" x14ac:dyDescent="0.25">
      <c r="A18" s="35">
        <v>206</v>
      </c>
      <c r="B18" s="138" t="str">
        <f>VLOOKUP(A18,Registry!$A$4:$AA$241,2,FALSE)</f>
        <v>Mears Mobile Home Park</v>
      </c>
      <c r="C18" s="138" t="str">
        <f>VLOOKUP(A18,Registry!$A$4:$AA$241,3,FALSE)</f>
        <v>Bennington</v>
      </c>
      <c r="D18" s="138" t="str">
        <f>VLOOKUP(A18,Registry!$A$4:$AA$241,4,FALSE)</f>
        <v>Arlington</v>
      </c>
      <c r="E18" s="138">
        <f>IF(VLOOKUP(A18,Registry!$A$4:$AA$241,7,FALSE)=0,"",VLOOKUP(A18,Registry!$A$4:$AA$241,7,FALSE))</f>
        <v>1970</v>
      </c>
      <c r="F18" s="138" t="str">
        <f>IF(VLOOKUP(A18,Registry!$A$4:$AA$241,20,FALSE)=0,"",VLOOKUP(A18,Registry!$A$4:$AA$241,20,FALSE))</f>
        <v>For profit</v>
      </c>
      <c r="G18" s="138">
        <f>VLOOKUP(A18,Registry!$A$4:$AA$241,21,FALSE)</f>
        <v>5</v>
      </c>
      <c r="H18" s="81">
        <f>VLOOKUP($A18,Table4[],36,FALSE)</f>
        <v>0.2</v>
      </c>
      <c r="I18" s="129">
        <f>VLOOKUP($A18,Table4[],41,FALSE)</f>
        <v>0</v>
      </c>
      <c r="J18" s="81">
        <f>VLOOKUP($A18,Table4[],30,FALSE)</f>
        <v>0</v>
      </c>
      <c r="K18" s="82">
        <f>VLOOKUP($A18,Table4[],17,FALSE)</f>
        <v>0</v>
      </c>
      <c r="L18" s="82">
        <f>VLOOKUP($A18,Table4[],18,FALSE)</f>
        <v>0</v>
      </c>
      <c r="M18" s="82" t="str">
        <f>IF(VLOOKUP($A18,Table2[],8,FALSE)=0,"",VLOOKUP($A18,Table2[],8,FALSE))</f>
        <v>Small-Scale (potable, &lt;25 users)</v>
      </c>
      <c r="N18" s="82">
        <f>VLOOKUP($A18,Table2[],14,FALSE)</f>
        <v>0</v>
      </c>
      <c r="O18" s="82" t="str">
        <f>IF(VLOOKUP($A18,Table2[],15,FALSE)=0,"",VLOOKUP($A18,Table2[],15,FALSE))</f>
        <v>On-Site</v>
      </c>
      <c r="P18" s="82" t="str">
        <f>IF(VLOOKUP($A18,Table2[],16,FALSE)=0,"",VLOOKUP($A18,Table2[],16,FALSE))</f>
        <v/>
      </c>
      <c r="Q18" s="83" t="str">
        <f>IF(ISNA(VLOOKUP($A18,Table3[],6,FALSE)),"None",VLOOKUP($A18,Table3[],6,FALSE))</f>
        <v>100 Year Flood Plain</v>
      </c>
      <c r="R18" s="83" t="str">
        <f>IF(ISNA(VLOOKUP($A18,Table3[],7,FALSE)),"Unknown",VLOOKUP($A18,Table3[],7,FALSE))</f>
        <v>None</v>
      </c>
      <c r="S18" s="83" t="str">
        <f>IF(ISNA(VLOOKUP($A18,Table3[],8,FALSE)),"None",VLOOKUP($A18,Table3[],8,FALSE))</f>
        <v>Floodway</v>
      </c>
      <c r="T18" s="84">
        <f>IF(ISNA(VLOOKUP($A18,Table3[],13,FALSE)),"Unknown",VLOOKUP($A18,Table3[],13,FALSE))</f>
        <v>0</v>
      </c>
      <c r="U18" s="85">
        <f>IF(ISNA(VLOOKUP($A18,Table3[],14,FALSE)),"Unknown",VLOOKUP($A18,Table3[],14,FALSE))</f>
        <v>0</v>
      </c>
      <c r="V18" s="84">
        <f>IF(ISNA(VLOOKUP($A18,Table3[],21,FALSE)),0,VLOOKUP($A18,Table3[],21,FALSE))</f>
        <v>4</v>
      </c>
      <c r="W18" s="85">
        <f>IF(ISNA(VLOOKUP($A18,Table3[],22,FALSE)),0,VLOOKUP($A18,Table3[],22,FALSE))</f>
        <v>0.8</v>
      </c>
    </row>
    <row r="19" spans="1:23" s="73" customFormat="1" x14ac:dyDescent="0.25">
      <c r="A19" s="35">
        <v>203</v>
      </c>
      <c r="B19" s="138" t="str">
        <f>VLOOKUP(A19,Registry!$A$4:$AA$241,2,FALSE)</f>
        <v>100 Mountain View Road</v>
      </c>
      <c r="C19" s="138" t="str">
        <f>VLOOKUP(A19,Registry!$A$4:$AA$241,3,FALSE)</f>
        <v>Bennington</v>
      </c>
      <c r="D19" s="138" t="str">
        <f>VLOOKUP(A19,Registry!$A$4:$AA$241,4,FALSE)</f>
        <v>Bennington</v>
      </c>
      <c r="E19" s="138">
        <f>IF(VLOOKUP(A19,Registry!$A$4:$AA$241,7,FALSE)=0,"",VLOOKUP(A19,Registry!$A$4:$AA$241,7,FALSE))</f>
        <v>1965</v>
      </c>
      <c r="F19" s="138" t="str">
        <f>IF(VLOOKUP(A19,Registry!$A$4:$AA$241,20,FALSE)=0,"",VLOOKUP(A19,Registry!$A$4:$AA$241,20,FALSE))</f>
        <v>For profit</v>
      </c>
      <c r="G19" s="138">
        <f>VLOOKUP(A19,Registry!$A$4:$AA$241,21,FALSE)</f>
        <v>115</v>
      </c>
      <c r="H19" s="81">
        <f>VLOOKUP($A19,Table4[],36,FALSE)</f>
        <v>0.95652173913043481</v>
      </c>
      <c r="I19" s="129">
        <f>VLOOKUP($A19,Table4[],41,FALSE)</f>
        <v>5.9241706161137442E-2</v>
      </c>
      <c r="J19" s="81">
        <f>VLOOKUP($A19,Table4[],30,FALSE)</f>
        <v>-9.5652173913043481E-2</v>
      </c>
      <c r="K19" s="82">
        <f>VLOOKUP($A19,Table4[],17,FALSE)</f>
        <v>12</v>
      </c>
      <c r="L19" s="82">
        <f>VLOOKUP($A19,Table4[],18,FALSE)</f>
        <v>0</v>
      </c>
      <c r="M19" s="82" t="str">
        <f>IF(VLOOKUP($A19,Table2[],8,FALSE)=0,"",VLOOKUP($A19,Table2[],8,FALSE))</f>
        <v>Consecutive Community</v>
      </c>
      <c r="N19" s="82">
        <f>VLOOKUP($A19,Table2[],14,FALSE)</f>
        <v>0</v>
      </c>
      <c r="O19" s="82" t="str">
        <f>IF(VLOOKUP($A19,Table2[],15,FALSE)=0,"",VLOOKUP($A19,Table2[],15,FALSE))</f>
        <v>Municipal</v>
      </c>
      <c r="P19" s="82" t="str">
        <f>IF(VLOOKUP($A19,Table2[],16,FALSE)=0,"",VLOOKUP($A19,Table2[],16,FALSE))</f>
        <v>MH-8-0001-1</v>
      </c>
      <c r="Q19" s="83" t="str">
        <f>IF(ISNA(VLOOKUP($A19,Table3[],6,FALSE)),"None",VLOOKUP($A19,Table3[],6,FALSE))</f>
        <v>None</v>
      </c>
      <c r="R19" s="83" t="str">
        <f>IF(ISNA(VLOOKUP($A19,Table3[],7,FALSE)),"Unknown",VLOOKUP($A19,Table3[],7,FALSE))</f>
        <v>Unknown</v>
      </c>
      <c r="S19" s="83" t="str">
        <f>IF(ISNA(VLOOKUP($A19,Table3[],8,FALSE)),"None",VLOOKUP($A19,Table3[],8,FALSE))</f>
        <v>None</v>
      </c>
      <c r="T19" s="84" t="str">
        <f>IF(ISNA(VLOOKUP($A19,Table3[],13,FALSE)),"Unknown",VLOOKUP($A19,Table3[],13,FALSE))</f>
        <v>Unknown</v>
      </c>
      <c r="U19" s="85" t="str">
        <f>IF(ISNA(VLOOKUP($A19,Table3[],14,FALSE)),"Unknown",VLOOKUP($A19,Table3[],14,FALSE))</f>
        <v>Unknown</v>
      </c>
      <c r="V19" s="84">
        <f>IF(ISNA(VLOOKUP($A19,Table3[],21,FALSE)),0,VLOOKUP($A19,Table3[],21,FALSE))</f>
        <v>0</v>
      </c>
      <c r="W19" s="85">
        <f>IF(ISNA(VLOOKUP($A19,Table3[],22,FALSE)),0,VLOOKUP($A19,Table3[],22,FALSE))</f>
        <v>0</v>
      </c>
    </row>
    <row r="20" spans="1:23" s="73" customFormat="1" x14ac:dyDescent="0.25">
      <c r="A20" s="35">
        <v>3</v>
      </c>
      <c r="B20" s="138" t="str">
        <f>VLOOKUP(A20,Registry!$A$4:$AA$241,2,FALSE)</f>
        <v>Catamount Mobile Home Park</v>
      </c>
      <c r="C20" s="138" t="str">
        <f>VLOOKUP(A20,Registry!$A$4:$AA$241,3,FALSE)</f>
        <v>Bennington</v>
      </c>
      <c r="D20" s="138" t="str">
        <f>VLOOKUP(A20,Registry!$A$4:$AA$241,4,FALSE)</f>
        <v>Bennington</v>
      </c>
      <c r="E20" s="138">
        <f>IF(VLOOKUP(A20,Registry!$A$4:$AA$241,7,FALSE)=0,"",VLOOKUP(A20,Registry!$A$4:$AA$241,7,FALSE))</f>
        <v>1950</v>
      </c>
      <c r="F20" s="138" t="str">
        <f>IF(VLOOKUP(A20,Registry!$A$4:$AA$241,20,FALSE)=0,"",VLOOKUP(A20,Registry!$A$4:$AA$241,20,FALSE))</f>
        <v>For profit</v>
      </c>
      <c r="G20" s="138">
        <f>VLOOKUP(A20,Registry!$A$4:$AA$241,21,FALSE)</f>
        <v>36</v>
      </c>
      <c r="H20" s="81">
        <f>VLOOKUP($A20,Table4[],36,FALSE)</f>
        <v>0.55555555555555558</v>
      </c>
      <c r="I20" s="129">
        <f>VLOOKUP($A20,Table4[],41,FALSE)</f>
        <v>7.7881619937694699E-2</v>
      </c>
      <c r="J20" s="81">
        <f>VLOOKUP($A20,Table4[],30,FALSE)</f>
        <v>2.7777777777777776E-2</v>
      </c>
      <c r="K20" s="82">
        <f>VLOOKUP($A20,Table4[],17,FALSE)</f>
        <v>0</v>
      </c>
      <c r="L20" s="82">
        <f>VLOOKUP($A20,Table4[],18,FALSE)</f>
        <v>0</v>
      </c>
      <c r="M20" s="82" t="str">
        <f>IF(VLOOKUP($A20,Table2[],8,FALSE)=0,"",VLOOKUP($A20,Table2[],8,FALSE))</f>
        <v>Municipal</v>
      </c>
      <c r="N20" s="82">
        <f>VLOOKUP($A20,Table2[],14,FALSE)</f>
        <v>0</v>
      </c>
      <c r="O20" s="82" t="str">
        <f>IF(VLOOKUP($A20,Table2[],15,FALSE)=0,"",VLOOKUP($A20,Table2[],15,FALSE))</f>
        <v>Municipal</v>
      </c>
      <c r="P20" s="82" t="str">
        <f>IF(VLOOKUP($A20,Table2[],16,FALSE)=0,"",VLOOKUP($A20,Table2[],16,FALSE))</f>
        <v>MH-8-0005</v>
      </c>
      <c r="Q20" s="83" t="str">
        <f>IF(ISNA(VLOOKUP($A20,Table3[],6,FALSE)),"None",VLOOKUP($A20,Table3[],6,FALSE))</f>
        <v>None</v>
      </c>
      <c r="R20" s="83" t="str">
        <f>IF(ISNA(VLOOKUP($A20,Table3[],7,FALSE)),"Unknown",VLOOKUP($A20,Table3[],7,FALSE))</f>
        <v>Unknown</v>
      </c>
      <c r="S20" s="83" t="str">
        <f>IF(ISNA(VLOOKUP($A20,Table3[],8,FALSE)),"None",VLOOKUP($A20,Table3[],8,FALSE))</f>
        <v>100 Year Flood Plain</v>
      </c>
      <c r="T20" s="84">
        <f>IF(ISNA(VLOOKUP($A20,Table3[],13,FALSE)),"Unknown",VLOOKUP($A20,Table3[],13,FALSE))</f>
        <v>0</v>
      </c>
      <c r="U20" s="85">
        <f>IF(ISNA(VLOOKUP($A20,Table3[],14,FALSE)),"Unknown",VLOOKUP($A20,Table3[],14,FALSE))</f>
        <v>0</v>
      </c>
      <c r="V20" s="84">
        <f>IF(ISNA(VLOOKUP($A20,Table3[],21,FALSE)),0,VLOOKUP($A20,Table3[],21,FALSE))</f>
        <v>0</v>
      </c>
      <c r="W20" s="85">
        <f>IF(ISNA(VLOOKUP($A20,Table3[],22,FALSE)),0,VLOOKUP($A20,Table3[],22,FALSE))</f>
        <v>0</v>
      </c>
    </row>
    <row r="21" spans="1:23" s="73" customFormat="1" x14ac:dyDescent="0.25">
      <c r="A21" s="35">
        <v>47</v>
      </c>
      <c r="B21" s="138" t="str">
        <f>VLOOKUP(A21,Registry!$A$4:$AA$241,2,FALSE)</f>
        <v>East Mountain Mobile Home Park</v>
      </c>
      <c r="C21" s="138" t="str">
        <f>VLOOKUP(A21,Registry!$A$4:$AA$241,3,FALSE)</f>
        <v>Bennington</v>
      </c>
      <c r="D21" s="138" t="str">
        <f>VLOOKUP(A21,Registry!$A$4:$AA$241,4,FALSE)</f>
        <v>Bennington</v>
      </c>
      <c r="E21" s="138">
        <f>IF(VLOOKUP(A21,Registry!$A$4:$AA$241,7,FALSE)=0,"",VLOOKUP(A21,Registry!$A$4:$AA$241,7,FALSE))</f>
        <v>1968</v>
      </c>
      <c r="F21" s="138" t="str">
        <f>IF(VLOOKUP(A21,Registry!$A$4:$AA$241,20,FALSE)=0,"",VLOOKUP(A21,Registry!$A$4:$AA$241,20,FALSE))</f>
        <v>For profit</v>
      </c>
      <c r="G21" s="138">
        <f>VLOOKUP(A21,Registry!$A$4:$AA$241,21,FALSE)</f>
        <v>22</v>
      </c>
      <c r="H21" s="81">
        <f>VLOOKUP($A21,Table4[],36,FALSE)</f>
        <v>1</v>
      </c>
      <c r="I21" s="129" t="str">
        <f>VLOOKUP($A21,Table4[],41,FALSE)</f>
        <v>-</v>
      </c>
      <c r="J21" s="81">
        <f>VLOOKUP($A21,Table4[],30,FALSE)</f>
        <v>4.5454545454545456E-2</v>
      </c>
      <c r="K21" s="82">
        <f>VLOOKUP($A21,Table4[],17,FALSE)</f>
        <v>0</v>
      </c>
      <c r="L21" s="82">
        <f>VLOOKUP($A21,Table4[],18,FALSE)</f>
        <v>0</v>
      </c>
      <c r="M21" s="82" t="str">
        <f>IF(VLOOKUP($A21,Table2[],8,FALSE)=0,"",VLOOKUP($A21,Table2[],8,FALSE))</f>
        <v>Consecutive Community</v>
      </c>
      <c r="N21" s="82">
        <f>VLOOKUP($A21,Table2[],14,FALSE)</f>
        <v>16</v>
      </c>
      <c r="O21" s="82" t="str">
        <f>IF(VLOOKUP($A21,Table2[],15,FALSE)=0,"",VLOOKUP($A21,Table2[],15,FALSE))</f>
        <v>On-site</v>
      </c>
      <c r="P21" s="82" t="str">
        <f>IF(VLOOKUP($A21,Table2[],16,FALSE)=0,"",VLOOKUP($A21,Table2[],16,FALSE))</f>
        <v/>
      </c>
      <c r="Q21" s="83" t="str">
        <f>IF(ISNA(VLOOKUP($A21,Table3[],6,FALSE)),"None",VLOOKUP($A21,Table3[],6,FALSE))</f>
        <v>None</v>
      </c>
      <c r="R21" s="83" t="str">
        <f>IF(ISNA(VLOOKUP($A21,Table3[],7,FALSE)),"Unknown",VLOOKUP($A21,Table3[],7,FALSE))</f>
        <v>Unknown</v>
      </c>
      <c r="S21" s="83" t="str">
        <f>IF(ISNA(VLOOKUP($A21,Table3[],8,FALSE)),"None",VLOOKUP($A21,Table3[],8,FALSE))</f>
        <v>None</v>
      </c>
      <c r="T21" s="84" t="str">
        <f>IF(ISNA(VLOOKUP($A21,Table3[],13,FALSE)),"Unknown",VLOOKUP($A21,Table3[],13,FALSE))</f>
        <v>Unknown</v>
      </c>
      <c r="U21" s="85" t="str">
        <f>IF(ISNA(VLOOKUP($A21,Table3[],14,FALSE)),"Unknown",VLOOKUP($A21,Table3[],14,FALSE))</f>
        <v>Unknown</v>
      </c>
      <c r="V21" s="84">
        <f>IF(ISNA(VLOOKUP($A21,Table3[],21,FALSE)),0,VLOOKUP($A21,Table3[],21,FALSE))</f>
        <v>0</v>
      </c>
      <c r="W21" s="85">
        <f>IF(ISNA(VLOOKUP($A21,Table3[],22,FALSE)),0,VLOOKUP($A21,Table3[],22,FALSE))</f>
        <v>0</v>
      </c>
    </row>
    <row r="22" spans="1:23" s="73" customFormat="1" x14ac:dyDescent="0.25">
      <c r="A22" s="35">
        <v>202</v>
      </c>
      <c r="B22" s="138" t="str">
        <f>VLOOKUP(A22,Registry!$A$4:$AA$241,2,FALSE)</f>
        <v>Gore Road Mobile Home Park</v>
      </c>
      <c r="C22" s="138" t="str">
        <f>VLOOKUP(A22,Registry!$A$4:$AA$241,3,FALSE)</f>
        <v>Bennington</v>
      </c>
      <c r="D22" s="138" t="str">
        <f>VLOOKUP(A22,Registry!$A$4:$AA$241,4,FALSE)</f>
        <v>Bennington</v>
      </c>
      <c r="E22" s="138">
        <f>IF(VLOOKUP(A22,Registry!$A$4:$AA$241,7,FALSE)=0,"",VLOOKUP(A22,Registry!$A$4:$AA$241,7,FALSE))</f>
        <v>1960</v>
      </c>
      <c r="F22" s="138" t="str">
        <f>IF(VLOOKUP(A22,Registry!$A$4:$AA$241,20,FALSE)=0,"",VLOOKUP(A22,Registry!$A$4:$AA$241,20,FALSE))</f>
        <v>For profit</v>
      </c>
      <c r="G22" s="138">
        <f>VLOOKUP(A22,Registry!$A$4:$AA$241,21,FALSE)</f>
        <v>38</v>
      </c>
      <c r="H22" s="81">
        <f>VLOOKUP($A22,Table4[],36,FALSE)</f>
        <v>1</v>
      </c>
      <c r="I22" s="129">
        <f>VLOOKUP($A22,Table4[],41,FALSE)</f>
        <v>6.0240963855421686E-2</v>
      </c>
      <c r="J22" s="81">
        <f>VLOOKUP($A22,Table4[],30,FALSE)</f>
        <v>0</v>
      </c>
      <c r="K22" s="82">
        <f>VLOOKUP($A22,Table4[],17,FALSE)</f>
        <v>0</v>
      </c>
      <c r="L22" s="82">
        <f>VLOOKUP($A22,Table4[],18,FALSE)</f>
        <v>0</v>
      </c>
      <c r="M22" s="82" t="str">
        <f>IF(VLOOKUP($A22,Table2[],8,FALSE)=0,"",VLOOKUP($A22,Table2[],8,FALSE))</f>
        <v>Consecutive Community</v>
      </c>
      <c r="N22" s="82">
        <f>VLOOKUP($A22,Table2[],14,FALSE)</f>
        <v>0</v>
      </c>
      <c r="O22" s="82" t="str">
        <f>IF(VLOOKUP($A22,Table2[],15,FALSE)=0,"",VLOOKUP($A22,Table2[],15,FALSE))</f>
        <v/>
      </c>
      <c r="P22" s="82" t="str">
        <f>IF(VLOOKUP($A22,Table2[],16,FALSE)=0,"",VLOOKUP($A22,Table2[],16,FALSE))</f>
        <v>MH-8-0002</v>
      </c>
      <c r="Q22" s="83" t="str">
        <f>IF(ISNA(VLOOKUP($A22,Table3[],6,FALSE)),"None",VLOOKUP($A22,Table3[],6,FALSE))</f>
        <v>None</v>
      </c>
      <c r="R22" s="83" t="str">
        <f>IF(ISNA(VLOOKUP($A22,Table3[],7,FALSE)),"Unknown",VLOOKUP($A22,Table3[],7,FALSE))</f>
        <v>Unknown</v>
      </c>
      <c r="S22" s="83" t="str">
        <f>IF(ISNA(VLOOKUP($A22,Table3[],8,FALSE)),"None",VLOOKUP($A22,Table3[],8,FALSE))</f>
        <v>None</v>
      </c>
      <c r="T22" s="84" t="str">
        <f>IF(ISNA(VLOOKUP($A22,Table3[],13,FALSE)),"Unknown",VLOOKUP($A22,Table3[],13,FALSE))</f>
        <v>Unknown</v>
      </c>
      <c r="U22" s="85" t="str">
        <f>IF(ISNA(VLOOKUP($A22,Table3[],14,FALSE)),"Unknown",VLOOKUP($A22,Table3[],14,FALSE))</f>
        <v>Unknown</v>
      </c>
      <c r="V22" s="84">
        <f>IF(ISNA(VLOOKUP($A22,Table3[],21,FALSE)),0,VLOOKUP($A22,Table3[],21,FALSE))</f>
        <v>0</v>
      </c>
      <c r="W22" s="85">
        <f>IF(ISNA(VLOOKUP($A22,Table3[],22,FALSE)),0,VLOOKUP($A22,Table3[],22,FALSE))</f>
        <v>0</v>
      </c>
    </row>
    <row r="23" spans="1:23" s="73" customFormat="1" x14ac:dyDescent="0.25">
      <c r="A23" s="35">
        <v>46</v>
      </c>
      <c r="B23" s="138" t="str">
        <f>VLOOKUP(A23,Registry!$A$4:$AA$241,2,FALSE)</f>
        <v>Mountain View Court Mobile Home</v>
      </c>
      <c r="C23" s="138" t="str">
        <f>VLOOKUP(A23,Registry!$A$4:$AA$241,3,FALSE)</f>
        <v>Bennington</v>
      </c>
      <c r="D23" s="138" t="str">
        <f>VLOOKUP(A23,Registry!$A$4:$AA$241,4,FALSE)</f>
        <v>Bennington</v>
      </c>
      <c r="E23" s="138">
        <f>IF(VLOOKUP(A23,Registry!$A$4:$AA$241,7,FALSE)=0,"",VLOOKUP(A23,Registry!$A$4:$AA$241,7,FALSE))</f>
        <v>1962</v>
      </c>
      <c r="F23" s="138" t="str">
        <f>IF(VLOOKUP(A23,Registry!$A$4:$AA$241,20,FALSE)=0,"",VLOOKUP(A23,Registry!$A$4:$AA$241,20,FALSE))</f>
        <v>Non-profit</v>
      </c>
      <c r="G23" s="138">
        <f>VLOOKUP(A23,Registry!$A$4:$AA$241,21,FALSE)</f>
        <v>20</v>
      </c>
      <c r="H23" s="81">
        <f>VLOOKUP($A23,Table4[],36,FALSE)</f>
        <v>0.55000000000000004</v>
      </c>
      <c r="I23" s="129">
        <f>VLOOKUP($A23,Table4[],41,FALSE)</f>
        <v>5.8962264150943397E-2</v>
      </c>
      <c r="J23" s="81">
        <f>VLOOKUP($A23,Table4[],30,FALSE)</f>
        <v>0.05</v>
      </c>
      <c r="K23" s="82">
        <f>VLOOKUP($A23,Table4[],17,FALSE)</f>
        <v>1</v>
      </c>
      <c r="L23" s="82">
        <f>VLOOKUP($A23,Table4[],18,FALSE)</f>
        <v>0</v>
      </c>
      <c r="M23" s="82" t="str">
        <f>IF(VLOOKUP($A23,Table2[],8,FALSE)=0,"",VLOOKUP($A23,Table2[],8,FALSE))</f>
        <v>Consecutive Community</v>
      </c>
      <c r="N23" s="82">
        <f>VLOOKUP($A23,Table2[],14,FALSE)</f>
        <v>0</v>
      </c>
      <c r="O23" s="82" t="str">
        <f>IF(VLOOKUP($A23,Table2[],15,FALSE)=0,"",VLOOKUP($A23,Table2[],15,FALSE))</f>
        <v>Municipal</v>
      </c>
      <c r="P23" s="82" t="str">
        <f>IF(VLOOKUP($A23,Table2[],16,FALSE)=0,"",VLOOKUP($A23,Table2[],16,FALSE))</f>
        <v/>
      </c>
      <c r="Q23" s="83" t="str">
        <f>IF(ISNA(VLOOKUP($A23,Table3[],6,FALSE)),"None",VLOOKUP($A23,Table3[],6,FALSE))</f>
        <v>None</v>
      </c>
      <c r="R23" s="83" t="str">
        <f>IF(ISNA(VLOOKUP($A23,Table3[],7,FALSE)),"Unknown",VLOOKUP($A23,Table3[],7,FALSE))</f>
        <v>Unknown</v>
      </c>
      <c r="S23" s="83" t="str">
        <f>IF(ISNA(VLOOKUP($A23,Table3[],8,FALSE)),"None",VLOOKUP($A23,Table3[],8,FALSE))</f>
        <v>None</v>
      </c>
      <c r="T23" s="84" t="str">
        <f>IF(ISNA(VLOOKUP($A23,Table3[],13,FALSE)),"Unknown",VLOOKUP($A23,Table3[],13,FALSE))</f>
        <v>Unknown</v>
      </c>
      <c r="U23" s="85" t="str">
        <f>IF(ISNA(VLOOKUP($A23,Table3[],14,FALSE)),"Unknown",VLOOKUP($A23,Table3[],14,FALSE))</f>
        <v>Unknown</v>
      </c>
      <c r="V23" s="84">
        <f>IF(ISNA(VLOOKUP($A23,Table3[],21,FALSE)),0,VLOOKUP($A23,Table3[],21,FALSE))</f>
        <v>0</v>
      </c>
      <c r="W23" s="85">
        <f>IF(ISNA(VLOOKUP($A23,Table3[],22,FALSE)),0,VLOOKUP($A23,Table3[],22,FALSE))</f>
        <v>0</v>
      </c>
    </row>
    <row r="24" spans="1:23" s="73" customFormat="1" x14ac:dyDescent="0.25">
      <c r="A24" s="35">
        <v>311</v>
      </c>
      <c r="B24" s="138" t="str">
        <f>VLOOKUP(A24,Registry!$A$4:$AA$241,2,FALSE)</f>
        <v>Smith's Way</v>
      </c>
      <c r="C24" s="138" t="str">
        <f>VLOOKUP(A24,Registry!$A$4:$AA$241,3,FALSE)</f>
        <v>Bennington</v>
      </c>
      <c r="D24" s="138" t="str">
        <f>VLOOKUP(A24,Registry!$A$4:$AA$241,4,FALSE)</f>
        <v>Bennington</v>
      </c>
      <c r="E24" s="138">
        <f>IF(VLOOKUP(A24,Registry!$A$4:$AA$241,7,FALSE)=0,"",VLOOKUP(A24,Registry!$A$4:$AA$241,7,FALSE))</f>
        <v>1996</v>
      </c>
      <c r="F24" s="138" t="str">
        <f>IF(VLOOKUP(A24,Registry!$A$4:$AA$241,20,FALSE)=0,"",VLOOKUP(A24,Registry!$A$4:$AA$241,20,FALSE))</f>
        <v>For profit</v>
      </c>
      <c r="G24" s="138">
        <f>VLOOKUP(A24,Registry!$A$4:$AA$241,21,FALSE)</f>
        <v>3</v>
      </c>
      <c r="H24" s="81">
        <f>VLOOKUP($A24,Table4[],36,FALSE)</f>
        <v>0.66666666666666663</v>
      </c>
      <c r="I24" s="129">
        <f>VLOOKUP($A24,Table4[],41,FALSE)</f>
        <v>0</v>
      </c>
      <c r="J24" s="81">
        <f>VLOOKUP($A24,Table4[],30,FALSE)</f>
        <v>0</v>
      </c>
      <c r="K24" s="82">
        <f>VLOOKUP($A24,Table4[],17,FALSE)</f>
        <v>0</v>
      </c>
      <c r="L24" s="82">
        <f>VLOOKUP($A24,Table4[],18,FALSE)</f>
        <v>0</v>
      </c>
      <c r="M24" s="82" t="str">
        <f>IF(VLOOKUP($A24,Table2[],8,FALSE)=0,"",VLOOKUP($A24,Table2[],8,FALSE))</f>
        <v>Municipal</v>
      </c>
      <c r="N24" s="82">
        <f>VLOOKUP($A24,Table2[],14,FALSE)</f>
        <v>0</v>
      </c>
      <c r="O24" s="82" t="str">
        <f>IF(VLOOKUP($A24,Table2[],15,FALSE)=0,"",VLOOKUP($A24,Table2[],15,FALSE))</f>
        <v/>
      </c>
      <c r="P24" s="82" t="str">
        <f>IF(VLOOKUP($A24,Table2[],16,FALSE)=0,"",VLOOKUP($A24,Table2[],16,FALSE))</f>
        <v/>
      </c>
      <c r="Q24" s="83" t="str">
        <f>IF(ISNA(VLOOKUP($A24,Table3[],6,FALSE)),"None",VLOOKUP($A24,Table3[],6,FALSE))</f>
        <v>100 Year Flood Plain</v>
      </c>
      <c r="R24" s="83" t="str">
        <f>IF(ISNA(VLOOKUP($A24,Table3[],7,FALSE)),"Unknown",VLOOKUP($A24,Table3[],7,FALSE))</f>
        <v>Extreme</v>
      </c>
      <c r="S24" s="83" t="str">
        <f>IF(ISNA(VLOOKUP($A24,Table3[],8,FALSE)),"None",VLOOKUP($A24,Table3[],8,FALSE))</f>
        <v>100 Year Flood Plain</v>
      </c>
      <c r="T24" s="84">
        <f>IF(ISNA(VLOOKUP($A24,Table3[],13,FALSE)),"Unknown",VLOOKUP($A24,Table3[],13,FALSE))</f>
        <v>1</v>
      </c>
      <c r="U24" s="85">
        <f>IF(ISNA(VLOOKUP($A24,Table3[],14,FALSE)),"Unknown",VLOOKUP($A24,Table3[],14,FALSE))</f>
        <v>0.33333333333333331</v>
      </c>
      <c r="V24" s="84">
        <f>IF(ISNA(VLOOKUP($A24,Table3[],21,FALSE)),0,VLOOKUP($A24,Table3[],21,FALSE))</f>
        <v>4</v>
      </c>
      <c r="W24" s="85">
        <f>IF(ISNA(VLOOKUP($A24,Table3[],22,FALSE)),0,VLOOKUP($A24,Table3[],22,FALSE))</f>
        <v>1</v>
      </c>
    </row>
    <row r="25" spans="1:23" s="73" customFormat="1" x14ac:dyDescent="0.25">
      <c r="A25" s="35">
        <v>243</v>
      </c>
      <c r="B25" s="138" t="str">
        <f>VLOOKUP(A25,Registry!$A$4:$AA$241,2,FALSE)</f>
        <v>Sunset Farm MHP</v>
      </c>
      <c r="C25" s="138" t="str">
        <f>VLOOKUP(A25,Registry!$A$4:$AA$241,3,FALSE)</f>
        <v>Bennington</v>
      </c>
      <c r="D25" s="138" t="str">
        <f>VLOOKUP(A25,Registry!$A$4:$AA$241,4,FALSE)</f>
        <v>Bennington</v>
      </c>
      <c r="E25" s="138">
        <f>IF(VLOOKUP(A25,Registry!$A$4:$AA$241,7,FALSE)=0,"",VLOOKUP(A25,Registry!$A$4:$AA$241,7,FALSE))</f>
        <v>1969</v>
      </c>
      <c r="F25" s="138" t="str">
        <f>IF(VLOOKUP(A25,Registry!$A$4:$AA$241,20,FALSE)=0,"",VLOOKUP(A25,Registry!$A$4:$AA$241,20,FALSE))</f>
        <v>For profit</v>
      </c>
      <c r="G25" s="138">
        <f>VLOOKUP(A25,Registry!$A$4:$AA$241,21,FALSE)</f>
        <v>12</v>
      </c>
      <c r="H25" s="81">
        <f>VLOOKUP($A25,Table4[],36,FALSE)</f>
        <v>0.83333333333333337</v>
      </c>
      <c r="I25" s="129">
        <f>VLOOKUP($A25,Table4[],41,FALSE)</f>
        <v>0</v>
      </c>
      <c r="J25" s="81">
        <f>VLOOKUP($A25,Table4[],30,FALSE)</f>
        <v>-8.3333333333333329E-2</v>
      </c>
      <c r="K25" s="82">
        <f>VLOOKUP($A25,Table4[],17,FALSE)</f>
        <v>0</v>
      </c>
      <c r="L25" s="82">
        <f>VLOOKUP($A25,Table4[],18,FALSE)</f>
        <v>0</v>
      </c>
      <c r="M25" s="82" t="str">
        <f>IF(VLOOKUP($A25,Table2[],8,FALSE)=0,"",VLOOKUP($A25,Table2[],8,FALSE))</f>
        <v>Small-Scale (potable, &lt;25 users)</v>
      </c>
      <c r="N25" s="82">
        <f>VLOOKUP($A25,Table2[],14,FALSE)</f>
        <v>0</v>
      </c>
      <c r="O25" s="82" t="str">
        <f>IF(VLOOKUP($A25,Table2[],15,FALSE)=0,"",VLOOKUP($A25,Table2[],15,FALSE))</f>
        <v>Community On-Site</v>
      </c>
      <c r="P25" s="82" t="str">
        <f>IF(VLOOKUP($A25,Table2[],16,FALSE)=0,"",VLOOKUP($A25,Table2[],16,FALSE))</f>
        <v>WW-8-1518, -2, -3, -4, -5</v>
      </c>
      <c r="Q25" s="83" t="str">
        <f>IF(ISNA(VLOOKUP($A25,Table3[],6,FALSE)),"None",VLOOKUP($A25,Table3[],6,FALSE))</f>
        <v>None</v>
      </c>
      <c r="R25" s="83" t="str">
        <f>IF(ISNA(VLOOKUP($A25,Table3[],7,FALSE)),"Unknown",VLOOKUP($A25,Table3[],7,FALSE))</f>
        <v>Unknown</v>
      </c>
      <c r="S25" s="83" t="str">
        <f>IF(ISNA(VLOOKUP($A25,Table3[],8,FALSE)),"None",VLOOKUP($A25,Table3[],8,FALSE))</f>
        <v>None</v>
      </c>
      <c r="T25" s="84" t="str">
        <f>IF(ISNA(VLOOKUP($A25,Table3[],13,FALSE)),"Unknown",VLOOKUP($A25,Table3[],13,FALSE))</f>
        <v>Unknown</v>
      </c>
      <c r="U25" s="85" t="str">
        <f>IF(ISNA(VLOOKUP($A25,Table3[],14,FALSE)),"Unknown",VLOOKUP($A25,Table3[],14,FALSE))</f>
        <v>Unknown</v>
      </c>
      <c r="V25" s="84">
        <f>IF(ISNA(VLOOKUP($A25,Table3[],21,FALSE)),0,VLOOKUP($A25,Table3[],21,FALSE))</f>
        <v>0</v>
      </c>
      <c r="W25" s="85">
        <f>IF(ISNA(VLOOKUP($A25,Table3[],22,FALSE)),0,VLOOKUP($A25,Table3[],22,FALSE))</f>
        <v>0</v>
      </c>
    </row>
    <row r="26" spans="1:23" s="73" customFormat="1" x14ac:dyDescent="0.25">
      <c r="A26" s="35">
        <v>237</v>
      </c>
      <c r="B26" s="138" t="str">
        <f>VLOOKUP(A26,Registry!$A$4:$AA$241,2,FALSE)</f>
        <v>Sweet's Mobile Home Park</v>
      </c>
      <c r="C26" s="138" t="str">
        <f>VLOOKUP(A26,Registry!$A$4:$AA$241,3,FALSE)</f>
        <v>Bennington</v>
      </c>
      <c r="D26" s="138" t="str">
        <f>VLOOKUP(A26,Registry!$A$4:$AA$241,4,FALSE)</f>
        <v>Bennington</v>
      </c>
      <c r="E26" s="138">
        <f>IF(VLOOKUP(A26,Registry!$A$4:$AA$241,7,FALSE)=0,"",VLOOKUP(A26,Registry!$A$4:$AA$241,7,FALSE))</f>
        <v>1977</v>
      </c>
      <c r="F26" s="138" t="str">
        <f>IF(VLOOKUP(A26,Registry!$A$4:$AA$241,20,FALSE)=0,"",VLOOKUP(A26,Registry!$A$4:$AA$241,20,FALSE))</f>
        <v>For profit</v>
      </c>
      <c r="G26" s="138">
        <f>VLOOKUP(A26,Registry!$A$4:$AA$241,21,FALSE)</f>
        <v>16</v>
      </c>
      <c r="H26" s="81">
        <f>VLOOKUP($A26,Table4[],36,FALSE)</f>
        <v>1</v>
      </c>
      <c r="I26" s="129">
        <f>VLOOKUP($A26,Table4[],41,FALSE)</f>
        <v>3.7433155080213901E-2</v>
      </c>
      <c r="J26" s="81">
        <f>VLOOKUP($A26,Table4[],30,FALSE)</f>
        <v>0</v>
      </c>
      <c r="K26" s="82">
        <f>VLOOKUP($A26,Table4[],17,FALSE)</f>
        <v>0</v>
      </c>
      <c r="L26" s="82">
        <f>VLOOKUP($A26,Table4[],18,FALSE)</f>
        <v>0</v>
      </c>
      <c r="M26" s="82" t="str">
        <f>IF(VLOOKUP($A26,Table2[],8,FALSE)=0,"",VLOOKUP($A26,Table2[],8,FALSE))</f>
        <v>Municipal</v>
      </c>
      <c r="N26" s="82">
        <f>VLOOKUP($A26,Table2[],14,FALSE)</f>
        <v>0</v>
      </c>
      <c r="O26" s="82" t="str">
        <f>IF(VLOOKUP($A26,Table2[],15,FALSE)=0,"",VLOOKUP($A26,Table2[],15,FALSE))</f>
        <v>Municipal</v>
      </c>
      <c r="P26" s="82" t="str">
        <f>IF(VLOOKUP($A26,Table2[],16,FALSE)=0,"",VLOOKUP($A26,Table2[],16,FALSE))</f>
        <v/>
      </c>
      <c r="Q26" s="83" t="str">
        <f>IF(ISNA(VLOOKUP($A26,Table3[],6,FALSE)),"None",VLOOKUP($A26,Table3[],6,FALSE))</f>
        <v>None</v>
      </c>
      <c r="R26" s="83" t="str">
        <f>IF(ISNA(VLOOKUP($A26,Table3[],7,FALSE)),"Unknown",VLOOKUP($A26,Table3[],7,FALSE))</f>
        <v>Unknown</v>
      </c>
      <c r="S26" s="83" t="str">
        <f>IF(ISNA(VLOOKUP($A26,Table3[],8,FALSE)),"None",VLOOKUP($A26,Table3[],8,FALSE))</f>
        <v>None</v>
      </c>
      <c r="T26" s="84" t="str">
        <f>IF(ISNA(VLOOKUP($A26,Table3[],13,FALSE)),"Unknown",VLOOKUP($A26,Table3[],13,FALSE))</f>
        <v>Unknown</v>
      </c>
      <c r="U26" s="85" t="str">
        <f>IF(ISNA(VLOOKUP($A26,Table3[],14,FALSE)),"Unknown",VLOOKUP($A26,Table3[],14,FALSE))</f>
        <v>Unknown</v>
      </c>
      <c r="V26" s="84">
        <f>IF(ISNA(VLOOKUP($A26,Table3[],21,FALSE)),0,VLOOKUP($A26,Table3[],21,FALSE))</f>
        <v>0</v>
      </c>
      <c r="W26" s="85">
        <f>IF(ISNA(VLOOKUP($A26,Table3[],22,FALSE)),0,VLOOKUP($A26,Table3[],22,FALSE))</f>
        <v>0</v>
      </c>
    </row>
    <row r="27" spans="1:23" s="73" customFormat="1" x14ac:dyDescent="0.25">
      <c r="A27" s="35">
        <v>201</v>
      </c>
      <c r="B27" s="138" t="str">
        <f>VLOOKUP(A27,Registry!$A$4:$AA$241,2,FALSE)</f>
        <v>West Road Mobile Home Park</v>
      </c>
      <c r="C27" s="138" t="str">
        <f>VLOOKUP(A27,Registry!$A$4:$AA$241,3,FALSE)</f>
        <v>Bennington</v>
      </c>
      <c r="D27" s="138" t="str">
        <f>VLOOKUP(A27,Registry!$A$4:$AA$241,4,FALSE)</f>
        <v>Bennington</v>
      </c>
      <c r="E27" s="138">
        <f>IF(VLOOKUP(A27,Registry!$A$4:$AA$241,7,FALSE)=0,"",VLOOKUP(A27,Registry!$A$4:$AA$241,7,FALSE))</f>
        <v>1965</v>
      </c>
      <c r="F27" s="138" t="str">
        <f>IF(VLOOKUP(A27,Registry!$A$4:$AA$241,20,FALSE)=0,"",VLOOKUP(A27,Registry!$A$4:$AA$241,20,FALSE))</f>
        <v>For profit</v>
      </c>
      <c r="G27" s="138">
        <f>VLOOKUP(A27,Registry!$A$4:$AA$241,21,FALSE)</f>
        <v>40</v>
      </c>
      <c r="H27" s="81">
        <f>VLOOKUP($A27,Table4[],36,FALSE)</f>
        <v>1</v>
      </c>
      <c r="I27" s="129">
        <f>VLOOKUP($A27,Table4[],41,FALSE)</f>
        <v>6.0606060606060608E-2</v>
      </c>
      <c r="J27" s="81">
        <f>VLOOKUP($A27,Table4[],30,FALSE)</f>
        <v>-7.4999999999999997E-2</v>
      </c>
      <c r="K27" s="82">
        <f>VLOOKUP($A27,Table4[],17,FALSE)</f>
        <v>2</v>
      </c>
      <c r="L27" s="82">
        <f>VLOOKUP($A27,Table4[],18,FALSE)</f>
        <v>0</v>
      </c>
      <c r="M27" s="82" t="str">
        <f>IF(VLOOKUP($A27,Table2[],8,FALSE)=0,"",VLOOKUP($A27,Table2[],8,FALSE))</f>
        <v>Consecutive Community</v>
      </c>
      <c r="N27" s="82">
        <f>VLOOKUP($A27,Table2[],14,FALSE)</f>
        <v>0</v>
      </c>
      <c r="O27" s="82" t="str">
        <f>IF(VLOOKUP($A27,Table2[],15,FALSE)=0,"",VLOOKUP($A27,Table2[],15,FALSE))</f>
        <v>Municipal</v>
      </c>
      <c r="P27" s="82" t="str">
        <f>IF(VLOOKUP($A27,Table2[],16,FALSE)=0,"",VLOOKUP($A27,Table2[],16,FALSE))</f>
        <v/>
      </c>
      <c r="Q27" s="83" t="str">
        <f>IF(ISNA(VLOOKUP($A27,Table3[],6,FALSE)),"None",VLOOKUP($A27,Table3[],6,FALSE))</f>
        <v>None</v>
      </c>
      <c r="R27" s="83" t="str">
        <f>IF(ISNA(VLOOKUP($A27,Table3[],7,FALSE)),"Unknown",VLOOKUP($A27,Table3[],7,FALSE))</f>
        <v>Unknown</v>
      </c>
      <c r="S27" s="83" t="str">
        <f>IF(ISNA(VLOOKUP($A27,Table3[],8,FALSE)),"None",VLOOKUP($A27,Table3[],8,FALSE))</f>
        <v>None</v>
      </c>
      <c r="T27" s="84" t="str">
        <f>IF(ISNA(VLOOKUP($A27,Table3[],13,FALSE)),"Unknown",VLOOKUP($A27,Table3[],13,FALSE))</f>
        <v>Unknown</v>
      </c>
      <c r="U27" s="85" t="str">
        <f>IF(ISNA(VLOOKUP($A27,Table3[],14,FALSE)),"Unknown",VLOOKUP($A27,Table3[],14,FALSE))</f>
        <v>Unknown</v>
      </c>
      <c r="V27" s="84">
        <f>IF(ISNA(VLOOKUP($A27,Table3[],21,FALSE)),0,VLOOKUP($A27,Table3[],21,FALSE))</f>
        <v>0</v>
      </c>
      <c r="W27" s="85">
        <f>IF(ISNA(VLOOKUP($A27,Table3[],22,FALSE)),0,VLOOKUP($A27,Table3[],22,FALSE))</f>
        <v>0</v>
      </c>
    </row>
    <row r="28" spans="1:23" s="73" customFormat="1" x14ac:dyDescent="0.25">
      <c r="A28" s="35">
        <v>151</v>
      </c>
      <c r="B28" s="138" t="str">
        <f>VLOOKUP(A28,Registry!$A$4:$AA$241,2,FALSE)</f>
        <v>White Birches Mobile Home Park</v>
      </c>
      <c r="C28" s="138" t="str">
        <f>VLOOKUP(A28,Registry!$A$4:$AA$241,3,FALSE)</f>
        <v>Bennington</v>
      </c>
      <c r="D28" s="138" t="str">
        <f>VLOOKUP(A28,Registry!$A$4:$AA$241,4,FALSE)</f>
        <v>Bennington</v>
      </c>
      <c r="E28" s="138">
        <f>IF(VLOOKUP(A28,Registry!$A$4:$AA$241,7,FALSE)=0,"",VLOOKUP(A28,Registry!$A$4:$AA$241,7,FALSE))</f>
        <v>1970</v>
      </c>
      <c r="F28" s="138" t="str">
        <f>IF(VLOOKUP(A28,Registry!$A$4:$AA$241,20,FALSE)=0,"",VLOOKUP(A28,Registry!$A$4:$AA$241,20,FALSE))</f>
        <v>For profit</v>
      </c>
      <c r="G28" s="138">
        <f>VLOOKUP(A28,Registry!$A$4:$AA$241,21,FALSE)</f>
        <v>52</v>
      </c>
      <c r="H28" s="81">
        <f>VLOOKUP($A28,Table4[],36,FALSE)</f>
        <v>1</v>
      </c>
      <c r="I28" s="129">
        <f>VLOOKUP($A28,Table4[],41,FALSE)</f>
        <v>7.4257425742574254E-2</v>
      </c>
      <c r="J28" s="81">
        <f>VLOOKUP($A28,Table4[],30,FALSE)</f>
        <v>-1.9230769230769232E-2</v>
      </c>
      <c r="K28" s="82">
        <f>VLOOKUP($A28,Table4[],17,FALSE)</f>
        <v>-1</v>
      </c>
      <c r="L28" s="82">
        <f>VLOOKUP($A28,Table4[],18,FALSE)</f>
        <v>0</v>
      </c>
      <c r="M28" s="82" t="str">
        <f>IF(VLOOKUP($A28,Table2[],8,FALSE)=0,"",VLOOKUP($A28,Table2[],8,FALSE))</f>
        <v>Consecutive Community</v>
      </c>
      <c r="N28" s="82">
        <f>VLOOKUP($A28,Table2[],14,FALSE)</f>
        <v>3</v>
      </c>
      <c r="O28" s="82" t="str">
        <f>IF(VLOOKUP($A28,Table2[],15,FALSE)=0,"",VLOOKUP($A28,Table2[],15,FALSE))</f>
        <v>Municipal</v>
      </c>
      <c r="P28" s="82" t="str">
        <f>IF(VLOOKUP($A28,Table2[],16,FALSE)=0,"",VLOOKUP($A28,Table2[],16,FALSE))</f>
        <v/>
      </c>
      <c r="Q28" s="83" t="str">
        <f>IF(ISNA(VLOOKUP($A28,Table3[],6,FALSE)),"None",VLOOKUP($A28,Table3[],6,FALSE))</f>
        <v>None</v>
      </c>
      <c r="R28" s="83" t="str">
        <f>IF(ISNA(VLOOKUP($A28,Table3[],7,FALSE)),"Unknown",VLOOKUP($A28,Table3[],7,FALSE))</f>
        <v>Unknown</v>
      </c>
      <c r="S28" s="83" t="str">
        <f>IF(ISNA(VLOOKUP($A28,Table3[],8,FALSE)),"None",VLOOKUP($A28,Table3[],8,FALSE))</f>
        <v>100 Year Flood Plain</v>
      </c>
      <c r="T28" s="84">
        <f>IF(ISNA(VLOOKUP($A28,Table3[],13,FALSE)),"Unknown",VLOOKUP($A28,Table3[],13,FALSE))</f>
        <v>0</v>
      </c>
      <c r="U28" s="85">
        <f>IF(ISNA(VLOOKUP($A28,Table3[],14,FALSE)),"Unknown",VLOOKUP($A28,Table3[],14,FALSE))</f>
        <v>0</v>
      </c>
      <c r="V28" s="84">
        <f>IF(ISNA(VLOOKUP($A28,Table3[],21,FALSE)),0,VLOOKUP($A28,Table3[],21,FALSE))</f>
        <v>0</v>
      </c>
      <c r="W28" s="85">
        <f>IF(ISNA(VLOOKUP($A28,Table3[],22,FALSE)),0,VLOOKUP($A28,Table3[],22,FALSE))</f>
        <v>0</v>
      </c>
    </row>
    <row r="29" spans="1:23" s="73" customFormat="1" x14ac:dyDescent="0.25">
      <c r="A29" s="35">
        <v>233</v>
      </c>
      <c r="B29" s="138" t="str">
        <f>VLOOKUP(A29,Registry!$A$4:$AA$241,2,FALSE)</f>
        <v>Willows Mobile Home Park</v>
      </c>
      <c r="C29" s="138" t="str">
        <f>VLOOKUP(A29,Registry!$A$4:$AA$241,3,FALSE)</f>
        <v>Bennington</v>
      </c>
      <c r="D29" s="138" t="str">
        <f>VLOOKUP(A29,Registry!$A$4:$AA$241,4,FALSE)</f>
        <v>Bennington</v>
      </c>
      <c r="E29" s="138">
        <f>IF(VLOOKUP(A29,Registry!$A$4:$AA$241,7,FALSE)=0,"",VLOOKUP(A29,Registry!$A$4:$AA$241,7,FALSE))</f>
        <v>1945</v>
      </c>
      <c r="F29" s="138" t="str">
        <f>IF(VLOOKUP(A29,Registry!$A$4:$AA$241,20,FALSE)=0,"",VLOOKUP(A29,Registry!$A$4:$AA$241,20,FALSE))</f>
        <v>Non-profit</v>
      </c>
      <c r="G29" s="138">
        <f>VLOOKUP(A29,Registry!$A$4:$AA$241,21,FALSE)</f>
        <v>24</v>
      </c>
      <c r="H29" s="81">
        <f>VLOOKUP($A29,Table4[],36,FALSE)</f>
        <v>0.75</v>
      </c>
      <c r="I29" s="129">
        <f>VLOOKUP($A29,Table4[],41,FALSE)</f>
        <v>0</v>
      </c>
      <c r="J29" s="81">
        <f>VLOOKUP($A29,Table4[],30,FALSE)</f>
        <v>-8.3333333333333329E-2</v>
      </c>
      <c r="K29" s="82">
        <f>VLOOKUP($A29,Table4[],17,FALSE)</f>
        <v>4</v>
      </c>
      <c r="L29" s="82">
        <f>VLOOKUP($A29,Table4[],18,FALSE)</f>
        <v>1</v>
      </c>
      <c r="M29" s="82" t="str">
        <f>IF(VLOOKUP($A29,Table2[],8,FALSE)=0,"",VLOOKUP($A29,Table2[],8,FALSE))</f>
        <v>Consecutive Community</v>
      </c>
      <c r="N29" s="82">
        <f>VLOOKUP($A29,Table2[],14,FALSE)</f>
        <v>0</v>
      </c>
      <c r="O29" s="82" t="str">
        <f>IF(VLOOKUP($A29,Table2[],15,FALSE)=0,"",VLOOKUP($A29,Table2[],15,FALSE))</f>
        <v>Municipal</v>
      </c>
      <c r="P29" s="82" t="str">
        <f>IF(VLOOKUP($A29,Table2[],16,FALSE)=0,"",VLOOKUP($A29,Table2[],16,FALSE))</f>
        <v>MH-8-0006</v>
      </c>
      <c r="Q29" s="83" t="str">
        <f>IF(ISNA(VLOOKUP($A29,Table3[],6,FALSE)),"None",VLOOKUP($A29,Table3[],6,FALSE))</f>
        <v>500 Year Flood Plain</v>
      </c>
      <c r="R29" s="83" t="str">
        <f>IF(ISNA(VLOOKUP($A29,Table3[],7,FALSE)),"Unknown",VLOOKUP($A29,Table3[],7,FALSE))</f>
        <v>Unknown</v>
      </c>
      <c r="S29" s="83" t="str">
        <f>IF(ISNA(VLOOKUP($A29,Table3[],8,FALSE)),"None",VLOOKUP($A29,Table3[],8,FALSE))</f>
        <v>500 Year Flood Plain</v>
      </c>
      <c r="T29" s="84">
        <f>IF(ISNA(VLOOKUP($A29,Table3[],13,FALSE)),"Unknown",VLOOKUP($A29,Table3[],13,FALSE))</f>
        <v>3</v>
      </c>
      <c r="U29" s="85">
        <f>IF(ISNA(VLOOKUP($A29,Table3[],14,FALSE)),"Unknown",VLOOKUP($A29,Table3[],14,FALSE))</f>
        <v>0.125</v>
      </c>
      <c r="V29" s="84">
        <f>IF(ISNA(VLOOKUP($A29,Table3[],21,FALSE)),0,VLOOKUP($A29,Table3[],21,FALSE))</f>
        <v>24</v>
      </c>
      <c r="W29" s="85">
        <f>IF(ISNA(VLOOKUP($A29,Table3[],22,FALSE)),0,VLOOKUP($A29,Table3[],22,FALSE))</f>
        <v>1</v>
      </c>
    </row>
    <row r="30" spans="1:23" s="73" customFormat="1" x14ac:dyDescent="0.25">
      <c r="A30" s="35">
        <v>225</v>
      </c>
      <c r="B30" s="138" t="str">
        <f>VLOOKUP(A30,Registry!$A$4:$AA$241,2,FALSE)</f>
        <v>Dorr Mobile Home Park 1</v>
      </c>
      <c r="C30" s="138" t="str">
        <f>VLOOKUP(A30,Registry!$A$4:$AA$241,3,FALSE)</f>
        <v>Bennington</v>
      </c>
      <c r="D30" s="138" t="str">
        <f>VLOOKUP(A30,Registry!$A$4:$AA$241,4,FALSE)</f>
        <v>Manchester</v>
      </c>
      <c r="E30" s="138">
        <f>IF(VLOOKUP(A30,Registry!$A$4:$AA$241,7,FALSE)=0,"",VLOOKUP(A30,Registry!$A$4:$AA$241,7,FALSE))</f>
        <v>1965</v>
      </c>
      <c r="F30" s="138" t="str">
        <f>IF(VLOOKUP(A30,Registry!$A$4:$AA$241,20,FALSE)=0,"",VLOOKUP(A30,Registry!$A$4:$AA$241,20,FALSE))</f>
        <v>For profit</v>
      </c>
      <c r="G30" s="138">
        <f>VLOOKUP(A30,Registry!$A$4:$AA$241,21,FALSE)</f>
        <v>6</v>
      </c>
      <c r="H30" s="81">
        <f>VLOOKUP($A30,Table4[],36,FALSE)</f>
        <v>5</v>
      </c>
      <c r="I30" s="129">
        <f>VLOOKUP($A30,Table4[],41,FALSE)</f>
        <v>0</v>
      </c>
      <c r="J30" s="81">
        <f>VLOOKUP($A30,Table4[],30,FALSE)</f>
        <v>-0.33333333333333331</v>
      </c>
      <c r="K30" s="82">
        <f>VLOOKUP($A30,Table4[],17,FALSE)</f>
        <v>-1</v>
      </c>
      <c r="L30" s="82">
        <f>VLOOKUP($A30,Table4[],18,FALSE)</f>
        <v>0</v>
      </c>
      <c r="M30" s="82" t="str">
        <f>IF(VLOOKUP($A30,Table2[],8,FALSE)=0,"",VLOOKUP($A30,Table2[],8,FALSE))</f>
        <v>Municipal</v>
      </c>
      <c r="N30" s="82">
        <f>VLOOKUP($A30,Table2[],14,FALSE)</f>
        <v>0</v>
      </c>
      <c r="O30" s="82" t="str">
        <f>IF(VLOOKUP($A30,Table2[],15,FALSE)=0,"",VLOOKUP($A30,Table2[],15,FALSE))</f>
        <v>Municipal</v>
      </c>
      <c r="P30" s="82" t="str">
        <f>IF(VLOOKUP($A30,Table2[],16,FALSE)=0,"",VLOOKUP($A30,Table2[],16,FALSE))</f>
        <v/>
      </c>
      <c r="Q30" s="83" t="str">
        <f>IF(ISNA(VLOOKUP($A30,Table3[],6,FALSE)),"None",VLOOKUP($A30,Table3[],6,FALSE))</f>
        <v>None</v>
      </c>
      <c r="R30" s="83" t="str">
        <f>IF(ISNA(VLOOKUP($A30,Table3[],7,FALSE)),"Unknown",VLOOKUP($A30,Table3[],7,FALSE))</f>
        <v>Unknown</v>
      </c>
      <c r="S30" s="83" t="str">
        <f>IF(ISNA(VLOOKUP($A30,Table3[],8,FALSE)),"None",VLOOKUP($A30,Table3[],8,FALSE))</f>
        <v>None</v>
      </c>
      <c r="T30" s="84" t="str">
        <f>IF(ISNA(VLOOKUP($A30,Table3[],13,FALSE)),"Unknown",VLOOKUP($A30,Table3[],13,FALSE))</f>
        <v>Unknown</v>
      </c>
      <c r="U30" s="85" t="str">
        <f>IF(ISNA(VLOOKUP($A30,Table3[],14,FALSE)),"Unknown",VLOOKUP($A30,Table3[],14,FALSE))</f>
        <v>Unknown</v>
      </c>
      <c r="V30" s="84">
        <f>IF(ISNA(VLOOKUP($A30,Table3[],21,FALSE)),0,VLOOKUP($A30,Table3[],21,FALSE))</f>
        <v>0</v>
      </c>
      <c r="W30" s="85">
        <f>IF(ISNA(VLOOKUP($A30,Table3[],22,FALSE)),0,VLOOKUP($A30,Table3[],22,FALSE))</f>
        <v>0</v>
      </c>
    </row>
    <row r="31" spans="1:23" s="73" customFormat="1" x14ac:dyDescent="0.25">
      <c r="A31" s="163">
        <v>328</v>
      </c>
      <c r="B31" s="164" t="str">
        <f>VLOOKUP(A31,Registry!$A$4:$AA$241,2,FALSE)</f>
        <v>Dorr Mobile Home Park 2</v>
      </c>
      <c r="C31" s="164" t="str">
        <f>VLOOKUP(A31,Registry!$A$4:$AA$241,3,FALSE)</f>
        <v>Bennington</v>
      </c>
      <c r="D31" s="164" t="str">
        <f>VLOOKUP(A31,Registry!$A$4:$AA$241,4,FALSE)</f>
        <v>Manchester</v>
      </c>
      <c r="E31" s="164" t="str">
        <f>IF(VLOOKUP(A31,Registry!$A$4:$AA$241,7,FALSE)=0,"",VLOOKUP(A31,Registry!$A$4:$AA$241,7,FALSE))</f>
        <v/>
      </c>
      <c r="F31" s="164" t="str">
        <f>IF(VLOOKUP(A31,Registry!$A$4:$AA$241,20,FALSE)=0,"",VLOOKUP(A31,Registry!$A$4:$AA$241,20,FALSE))</f>
        <v>For profit</v>
      </c>
      <c r="G31" s="164">
        <f>VLOOKUP(A31,Registry!$A$4:$AA$241,21,FALSE)</f>
        <v>25</v>
      </c>
      <c r="H31" s="81">
        <f>VLOOKUP($A31,Table4[],36,FALSE)</f>
        <v>0</v>
      </c>
      <c r="I31" s="166" t="str">
        <f>VLOOKUP($A31,Table4[],41,FALSE)</f>
        <v>-</v>
      </c>
      <c r="J31" s="165">
        <f>VLOOKUP($A31,Table4[],30,FALSE)</f>
        <v>0.12</v>
      </c>
      <c r="K31" s="167">
        <f>VLOOKUP($A31,Table4[],17,FALSE)</f>
        <v>0</v>
      </c>
      <c r="L31" s="167">
        <f>VLOOKUP($A31,Table4[],18,FALSE)</f>
        <v>0</v>
      </c>
      <c r="M31" s="167" t="str">
        <f>IF(VLOOKUP($A31,Table2[],8,FALSE)=0,"",VLOOKUP($A31,Table2[],8,FALSE))</f>
        <v/>
      </c>
      <c r="N31" s="167">
        <f>VLOOKUP($A31,Table2[],14,FALSE)</f>
        <v>0</v>
      </c>
      <c r="O31" s="167" t="str">
        <f>IF(VLOOKUP($A31,Table2[],15,FALSE)=0,"",VLOOKUP($A31,Table2[],15,FALSE))</f>
        <v/>
      </c>
      <c r="P31" s="167" t="str">
        <f>IF(VLOOKUP($A31,Table2[],16,FALSE)=0,"",VLOOKUP($A31,Table2[],16,FALSE))</f>
        <v/>
      </c>
      <c r="Q31" s="168">
        <f>IF(ISNA(VLOOKUP($A31,Table3[],6,FALSE)),"None",VLOOKUP($A31,Table3[],6,FALSE))</f>
        <v>0</v>
      </c>
      <c r="R31" s="168">
        <f>IF(ISNA(VLOOKUP($A31,Table3[],7,FALSE)),"Unknown",VLOOKUP($A31,Table3[],7,FALSE))</f>
        <v>0</v>
      </c>
      <c r="S31" s="168">
        <f>IF(ISNA(VLOOKUP($A31,Table3[],8,FALSE)),"None",VLOOKUP($A31,Table3[],8,FALSE))</f>
        <v>0</v>
      </c>
      <c r="T31" s="169">
        <f>IF(ISNA(VLOOKUP($A31,Table3[],13,FALSE)),"Unknown",VLOOKUP($A31,Table3[],13,FALSE))</f>
        <v>0</v>
      </c>
      <c r="U31" s="170">
        <f>IF(ISNA(VLOOKUP($A31,Table3[],14,FALSE)),"Unknown",VLOOKUP($A31,Table3[],14,FALSE))</f>
        <v>0</v>
      </c>
      <c r="V31" s="169">
        <f>IF(ISNA(VLOOKUP($A31,Table3[],21,FALSE)),0,VLOOKUP($A31,Table3[],21,FALSE))</f>
        <v>0</v>
      </c>
      <c r="W31" s="170">
        <f>IF(ISNA(VLOOKUP($A31,Table3[],22,FALSE)),0,VLOOKUP($A31,Table3[],22,FALSE))</f>
        <v>0</v>
      </c>
    </row>
    <row r="32" spans="1:23" s="73" customFormat="1" x14ac:dyDescent="0.25">
      <c r="A32" s="163">
        <v>329</v>
      </c>
      <c r="B32" s="164" t="str">
        <f>VLOOKUP(A32,Registry!$A$4:$AA$241,2,FALSE)</f>
        <v>Dorr Mobile Home Park 3</v>
      </c>
      <c r="C32" s="164" t="str">
        <f>VLOOKUP(A32,Registry!$A$4:$AA$241,3,FALSE)</f>
        <v>Bennington</v>
      </c>
      <c r="D32" s="164" t="str">
        <f>VLOOKUP(A32,Registry!$A$4:$AA$241,4,FALSE)</f>
        <v>Manchester</v>
      </c>
      <c r="E32" s="164" t="str">
        <f>IF(VLOOKUP(A32,Registry!$A$4:$AA$241,7,FALSE)=0,"",VLOOKUP(A32,Registry!$A$4:$AA$241,7,FALSE))</f>
        <v/>
      </c>
      <c r="F32" s="164" t="str">
        <f>IF(VLOOKUP(A32,Registry!$A$4:$AA$241,20,FALSE)=0,"",VLOOKUP(A32,Registry!$A$4:$AA$241,20,FALSE))</f>
        <v>For profit</v>
      </c>
      <c r="G32" s="164">
        <f>VLOOKUP(A32,Registry!$A$4:$AA$241,21,FALSE)</f>
        <v>4</v>
      </c>
      <c r="H32" s="81">
        <f>VLOOKUP($A32,Table4[],36,FALSE)</f>
        <v>0</v>
      </c>
      <c r="I32" s="166" t="str">
        <f>VLOOKUP($A32,Table4[],41,FALSE)</f>
        <v>-</v>
      </c>
      <c r="J32" s="165">
        <f>VLOOKUP($A32,Table4[],30,FALSE)</f>
        <v>0</v>
      </c>
      <c r="K32" s="167">
        <f>VLOOKUP($A32,Table4[],17,FALSE)</f>
        <v>0</v>
      </c>
      <c r="L32" s="167">
        <f>VLOOKUP($A32,Table4[],18,FALSE)</f>
        <v>0</v>
      </c>
      <c r="M32" s="167" t="str">
        <f>IF(VLOOKUP($A32,Table2[],8,FALSE)=0,"",VLOOKUP($A32,Table2[],8,FALSE))</f>
        <v/>
      </c>
      <c r="N32" s="167">
        <f>VLOOKUP($A32,Table2[],14,FALSE)</f>
        <v>0</v>
      </c>
      <c r="O32" s="167" t="str">
        <f>IF(VLOOKUP($A32,Table2[],15,FALSE)=0,"",VLOOKUP($A32,Table2[],15,FALSE))</f>
        <v/>
      </c>
      <c r="P32" s="167" t="str">
        <f>IF(VLOOKUP($A32,Table2[],16,FALSE)=0,"",VLOOKUP($A32,Table2[],16,FALSE))</f>
        <v/>
      </c>
      <c r="Q32" s="168">
        <f>IF(ISNA(VLOOKUP($A32,Table3[],6,FALSE)),"None",VLOOKUP($A32,Table3[],6,FALSE))</f>
        <v>0</v>
      </c>
      <c r="R32" s="168">
        <f>IF(ISNA(VLOOKUP($A32,Table3[],7,FALSE)),"Unknown",VLOOKUP($A32,Table3[],7,FALSE))</f>
        <v>0</v>
      </c>
      <c r="S32" s="168">
        <f>IF(ISNA(VLOOKUP($A32,Table3[],8,FALSE)),"None",VLOOKUP($A32,Table3[],8,FALSE))</f>
        <v>0</v>
      </c>
      <c r="T32" s="169">
        <f>IF(ISNA(VLOOKUP($A32,Table3[],13,FALSE)),"Unknown",VLOOKUP($A32,Table3[],13,FALSE))</f>
        <v>0</v>
      </c>
      <c r="U32" s="170">
        <f>IF(ISNA(VLOOKUP($A32,Table3[],14,FALSE)),"Unknown",VLOOKUP($A32,Table3[],14,FALSE))</f>
        <v>0</v>
      </c>
      <c r="V32" s="169">
        <f>IF(ISNA(VLOOKUP($A32,Table3[],21,FALSE)),0,VLOOKUP($A32,Table3[],21,FALSE))</f>
        <v>0</v>
      </c>
      <c r="W32" s="170">
        <f>IF(ISNA(VLOOKUP($A32,Table3[],22,FALSE)),0,VLOOKUP($A32,Table3[],22,FALSE))</f>
        <v>0</v>
      </c>
    </row>
    <row r="33" spans="1:23" s="73" customFormat="1" x14ac:dyDescent="0.25">
      <c r="A33" s="35">
        <v>49</v>
      </c>
      <c r="B33" s="138" t="str">
        <f>VLOOKUP(A33,Registry!$A$4:$AA$241,2,FALSE)</f>
        <v>Manchester Mobile Home Park</v>
      </c>
      <c r="C33" s="138" t="str">
        <f>VLOOKUP(A33,Registry!$A$4:$AA$241,3,FALSE)</f>
        <v>Bennington</v>
      </c>
      <c r="D33" s="138" t="str">
        <f>VLOOKUP(A33,Registry!$A$4:$AA$241,4,FALSE)</f>
        <v>Manchester</v>
      </c>
      <c r="E33" s="138">
        <f>IF(VLOOKUP(A33,Registry!$A$4:$AA$241,7,FALSE)=0,"",VLOOKUP(A33,Registry!$A$4:$AA$241,7,FALSE))</f>
        <v>1965</v>
      </c>
      <c r="F33" s="138" t="str">
        <f>IF(VLOOKUP(A33,Registry!$A$4:$AA$241,20,FALSE)=0,"",VLOOKUP(A33,Registry!$A$4:$AA$241,20,FALSE))</f>
        <v>For profit</v>
      </c>
      <c r="G33" s="138">
        <f>VLOOKUP(A33,Registry!$A$4:$AA$241,21,FALSE)</f>
        <v>34</v>
      </c>
      <c r="H33" s="81">
        <f>VLOOKUP($A33,Table4[],36,FALSE)</f>
        <v>0.97058823529411764</v>
      </c>
      <c r="I33" s="129">
        <f>VLOOKUP($A33,Table4[],41,FALSE)</f>
        <v>0</v>
      </c>
      <c r="J33" s="81">
        <f>VLOOKUP($A33,Table4[],30,FALSE)</f>
        <v>0</v>
      </c>
      <c r="K33" s="82">
        <f>VLOOKUP($A33,Table4[],17,FALSE)</f>
        <v>0</v>
      </c>
      <c r="L33" s="82">
        <f>VLOOKUP($A33,Table4[],18,FALSE)</f>
        <v>-2</v>
      </c>
      <c r="M33" s="82" t="str">
        <f>IF(VLOOKUP($A33,Table2[],8,FALSE)=0,"",VLOOKUP($A33,Table2[],8,FALSE))</f>
        <v xml:space="preserve">Community </v>
      </c>
      <c r="N33" s="82">
        <f>VLOOKUP($A33,Table2[],14,FALSE)</f>
        <v>0</v>
      </c>
      <c r="O33" s="82" t="str">
        <f>IF(VLOOKUP($A33,Table2[],15,FALSE)=0,"",VLOOKUP($A33,Table2[],15,FALSE))</f>
        <v>Community On-Site</v>
      </c>
      <c r="P33" s="82" t="str">
        <f>IF(VLOOKUP($A33,Table2[],16,FALSE)=0,"",VLOOKUP($A33,Table2[],16,FALSE))</f>
        <v/>
      </c>
      <c r="Q33" s="83" t="str">
        <f>IF(ISNA(VLOOKUP($A33,Table3[],6,FALSE)),"None",VLOOKUP($A33,Table3[],6,FALSE))</f>
        <v>None</v>
      </c>
      <c r="R33" s="83" t="str">
        <f>IF(ISNA(VLOOKUP($A33,Table3[],7,FALSE)),"Unknown",VLOOKUP($A33,Table3[],7,FALSE))</f>
        <v>Unknown</v>
      </c>
      <c r="S33" s="83" t="str">
        <f>IF(ISNA(VLOOKUP($A33,Table3[],8,FALSE)),"None",VLOOKUP($A33,Table3[],8,FALSE))</f>
        <v>None</v>
      </c>
      <c r="T33" s="84" t="str">
        <f>IF(ISNA(VLOOKUP($A33,Table3[],13,FALSE)),"Unknown",VLOOKUP($A33,Table3[],13,FALSE))</f>
        <v>Unknown</v>
      </c>
      <c r="U33" s="85" t="str">
        <f>IF(ISNA(VLOOKUP($A33,Table3[],14,FALSE)),"Unknown",VLOOKUP($A33,Table3[],14,FALSE))</f>
        <v>Unknown</v>
      </c>
      <c r="V33" s="84">
        <f>IF(ISNA(VLOOKUP($A33,Table3[],21,FALSE)),0,VLOOKUP($A33,Table3[],21,FALSE))</f>
        <v>0</v>
      </c>
      <c r="W33" s="85">
        <f>IF(ISNA(VLOOKUP($A33,Table3[],22,FALSE)),0,VLOOKUP($A33,Table3[],22,FALSE))</f>
        <v>0</v>
      </c>
    </row>
    <row r="34" spans="1:23" s="73" customFormat="1" x14ac:dyDescent="0.25">
      <c r="A34" s="35">
        <v>48</v>
      </c>
      <c r="B34" s="138" t="str">
        <f>VLOOKUP(A34,Registry!$A$4:$AA$241,2,FALSE)</f>
        <v>Squires Road Mobile Home Park</v>
      </c>
      <c r="C34" s="138" t="str">
        <f>VLOOKUP(A34,Registry!$A$4:$AA$241,3,FALSE)</f>
        <v>Bennington</v>
      </c>
      <c r="D34" s="138" t="str">
        <f>VLOOKUP(A34,Registry!$A$4:$AA$241,4,FALSE)</f>
        <v>Manchester</v>
      </c>
      <c r="E34" s="138">
        <f>IF(VLOOKUP(A34,Registry!$A$4:$AA$241,7,FALSE)=0,"",VLOOKUP(A34,Registry!$A$4:$AA$241,7,FALSE))</f>
        <v>1970</v>
      </c>
      <c r="F34" s="138" t="str">
        <f>IF(VLOOKUP(A34,Registry!$A$4:$AA$241,20,FALSE)=0,"",VLOOKUP(A34,Registry!$A$4:$AA$241,20,FALSE))</f>
        <v>For profit</v>
      </c>
      <c r="G34" s="138">
        <f>VLOOKUP(A34,Registry!$A$4:$AA$241,21,FALSE)</f>
        <v>5</v>
      </c>
      <c r="H34" s="81">
        <f>VLOOKUP($A34,Table4[],36,FALSE)</f>
        <v>1</v>
      </c>
      <c r="I34" s="129">
        <f>VLOOKUP($A34,Table4[],41,FALSE)</f>
        <v>8.7978271138403258E-2</v>
      </c>
      <c r="J34" s="81">
        <f>VLOOKUP($A34,Table4[],30,FALSE)</f>
        <v>0</v>
      </c>
      <c r="K34" s="82">
        <f>VLOOKUP($A34,Table4[],17,FALSE)</f>
        <v>0</v>
      </c>
      <c r="L34" s="82">
        <f>VLOOKUP($A34,Table4[],18,FALSE)</f>
        <v>0</v>
      </c>
      <c r="M34" s="82" t="str">
        <f>IF(VLOOKUP($A34,Table2[],8,FALSE)=0,"",VLOOKUP($A34,Table2[],8,FALSE))</f>
        <v>Small-Scale (potable, &lt;25 users)</v>
      </c>
      <c r="N34" s="82">
        <f>VLOOKUP($A34,Table2[],14,FALSE)</f>
        <v>0</v>
      </c>
      <c r="O34" s="82" t="str">
        <f>IF(VLOOKUP($A34,Table2[],15,FALSE)=0,"",VLOOKUP($A34,Table2[],15,FALSE))</f>
        <v>On-site</v>
      </c>
      <c r="P34" s="82" t="str">
        <f>IF(VLOOKUP($A34,Table2[],16,FALSE)=0,"",VLOOKUP($A34,Table2[],16,FALSE))</f>
        <v/>
      </c>
      <c r="Q34" s="83" t="str">
        <f>IF(ISNA(VLOOKUP($A34,Table3[],6,FALSE)),"None",VLOOKUP($A34,Table3[],6,FALSE))</f>
        <v>None</v>
      </c>
      <c r="R34" s="83" t="str">
        <f>IF(ISNA(VLOOKUP($A34,Table3[],7,FALSE)),"Unknown",VLOOKUP($A34,Table3[],7,FALSE))</f>
        <v>Unknown</v>
      </c>
      <c r="S34" s="83" t="str">
        <f>IF(ISNA(VLOOKUP($A34,Table3[],8,FALSE)),"None",VLOOKUP($A34,Table3[],8,FALSE))</f>
        <v>None</v>
      </c>
      <c r="T34" s="84" t="str">
        <f>IF(ISNA(VLOOKUP($A34,Table3[],13,FALSE)),"Unknown",VLOOKUP($A34,Table3[],13,FALSE))</f>
        <v>Unknown</v>
      </c>
      <c r="U34" s="85" t="str">
        <f>IF(ISNA(VLOOKUP($A34,Table3[],14,FALSE)),"Unknown",VLOOKUP($A34,Table3[],14,FALSE))</f>
        <v>Unknown</v>
      </c>
      <c r="V34" s="84">
        <f>IF(ISNA(VLOOKUP($A34,Table3[],21,FALSE)),0,VLOOKUP($A34,Table3[],21,FALSE))</f>
        <v>0</v>
      </c>
      <c r="W34" s="85">
        <f>IF(ISNA(VLOOKUP($A34,Table3[],22,FALSE)),0,VLOOKUP($A34,Table3[],22,FALSE))</f>
        <v>0</v>
      </c>
    </row>
    <row r="35" spans="1:23" s="73" customFormat="1" x14ac:dyDescent="0.25">
      <c r="A35" s="35">
        <v>2</v>
      </c>
      <c r="B35" s="138" t="str">
        <f>VLOOKUP(A35,Registry!$A$4:$AA$241,2,FALSE)</f>
        <v>Barbers Pond Trailer Park</v>
      </c>
      <c r="C35" s="138" t="str">
        <f>VLOOKUP(A35,Registry!$A$4:$AA$241,3,FALSE)</f>
        <v>Bennington</v>
      </c>
      <c r="D35" s="138" t="str">
        <f>VLOOKUP(A35,Registry!$A$4:$AA$241,4,FALSE)</f>
        <v>Pownal</v>
      </c>
      <c r="E35" s="138">
        <f>IF(VLOOKUP(A35,Registry!$A$4:$AA$241,7,FALSE)=0,"",VLOOKUP(A35,Registry!$A$4:$AA$241,7,FALSE))</f>
        <v>1960</v>
      </c>
      <c r="F35" s="138" t="str">
        <f>IF(VLOOKUP(A35,Registry!$A$4:$AA$241,20,FALSE)=0,"",VLOOKUP(A35,Registry!$A$4:$AA$241,20,FALSE))</f>
        <v>For profit</v>
      </c>
      <c r="G35" s="138">
        <f>VLOOKUP(A35,Registry!$A$4:$AA$241,21,FALSE)</f>
        <v>6</v>
      </c>
      <c r="H35" s="81">
        <f>VLOOKUP($A35,Table4[],36,FALSE)</f>
        <v>1</v>
      </c>
      <c r="I35" s="129">
        <f>VLOOKUP($A35,Table4[],41,FALSE)</f>
        <v>0</v>
      </c>
      <c r="J35" s="81">
        <f>VLOOKUP($A35,Table4[],30,FALSE)</f>
        <v>0</v>
      </c>
      <c r="K35" s="82">
        <f>VLOOKUP($A35,Table4[],17,FALSE)</f>
        <v>0</v>
      </c>
      <c r="L35" s="82">
        <f>VLOOKUP($A35,Table4[],18,FALSE)</f>
        <v>0</v>
      </c>
      <c r="M35" s="82" t="str">
        <f>IF(VLOOKUP($A35,Table2[],8,FALSE)=0,"",VLOOKUP($A35,Table2[],8,FALSE))</f>
        <v>Small-Scale (potable, &lt;25 users)</v>
      </c>
      <c r="N35" s="82">
        <f>VLOOKUP($A35,Table2[],14,FALSE)</f>
        <v>0</v>
      </c>
      <c r="O35" s="82" t="str">
        <f>IF(VLOOKUP($A35,Table2[],15,FALSE)=0,"",VLOOKUP($A35,Table2[],15,FALSE))</f>
        <v>Community On-Site</v>
      </c>
      <c r="P35" s="82" t="str">
        <f>IF(VLOOKUP($A35,Table2[],16,FALSE)=0,"",VLOOKUP($A35,Table2[],16,FALSE))</f>
        <v>MH-8-0003, MH-8-0004-DUP</v>
      </c>
      <c r="Q35" s="83" t="str">
        <f>IF(ISNA(VLOOKUP($A35,Table3[],6,FALSE)),"None",VLOOKUP($A35,Table3[],6,FALSE))</f>
        <v>None</v>
      </c>
      <c r="R35" s="83" t="str">
        <f>IF(ISNA(VLOOKUP($A35,Table3[],7,FALSE)),"Unknown",VLOOKUP($A35,Table3[],7,FALSE))</f>
        <v>Unknown</v>
      </c>
      <c r="S35" s="83" t="str">
        <f>IF(ISNA(VLOOKUP($A35,Table3[],8,FALSE)),"None",VLOOKUP($A35,Table3[],8,FALSE))</f>
        <v>None</v>
      </c>
      <c r="T35" s="84" t="str">
        <f>IF(ISNA(VLOOKUP($A35,Table3[],13,FALSE)),"Unknown",VLOOKUP($A35,Table3[],13,FALSE))</f>
        <v>Unknown</v>
      </c>
      <c r="U35" s="85" t="str">
        <f>IF(ISNA(VLOOKUP($A35,Table3[],14,FALSE)),"Unknown",VLOOKUP($A35,Table3[],14,FALSE))</f>
        <v>Unknown</v>
      </c>
      <c r="V35" s="84">
        <f>IF(ISNA(VLOOKUP($A35,Table3[],21,FALSE)),0,VLOOKUP($A35,Table3[],21,FALSE))</f>
        <v>0</v>
      </c>
      <c r="W35" s="85">
        <f>IF(ISNA(VLOOKUP($A35,Table3[],22,FALSE)),0,VLOOKUP($A35,Table3[],22,FALSE))</f>
        <v>0</v>
      </c>
    </row>
    <row r="36" spans="1:23" s="73" customFormat="1" x14ac:dyDescent="0.25">
      <c r="A36" s="35">
        <v>54</v>
      </c>
      <c r="B36" s="138" t="str">
        <f>VLOOKUP(A36,Registry!$A$4:$AA$241,2,FALSE)</f>
        <v>Burdick and Burdick Trailer Park</v>
      </c>
      <c r="C36" s="138" t="str">
        <f>VLOOKUP(A36,Registry!$A$4:$AA$241,3,FALSE)</f>
        <v>Bennington</v>
      </c>
      <c r="D36" s="138" t="str">
        <f>VLOOKUP(A36,Registry!$A$4:$AA$241,4,FALSE)</f>
        <v>Pownal</v>
      </c>
      <c r="E36" s="138">
        <f>IF(VLOOKUP(A36,Registry!$A$4:$AA$241,7,FALSE)=0,"",VLOOKUP(A36,Registry!$A$4:$AA$241,7,FALSE))</f>
        <v>1965</v>
      </c>
      <c r="F36" s="138" t="str">
        <f>IF(VLOOKUP(A36,Registry!$A$4:$AA$241,20,FALSE)=0,"",VLOOKUP(A36,Registry!$A$4:$AA$241,20,FALSE))</f>
        <v>For profit</v>
      </c>
      <c r="G36" s="138">
        <f>VLOOKUP(A36,Registry!$A$4:$AA$241,21,FALSE)</f>
        <v>15</v>
      </c>
      <c r="H36" s="81">
        <f>VLOOKUP($A36,Table4[],36,FALSE)</f>
        <v>0.73333333333333328</v>
      </c>
      <c r="I36" s="129">
        <f>VLOOKUP($A36,Table4[],41,FALSE)</f>
        <v>0</v>
      </c>
      <c r="J36" s="81">
        <f>VLOOKUP($A36,Table4[],30,FALSE)</f>
        <v>-6.6666666666666666E-2</v>
      </c>
      <c r="K36" s="82">
        <f>VLOOKUP($A36,Table4[],17,FALSE)</f>
        <v>0</v>
      </c>
      <c r="L36" s="82">
        <f>VLOOKUP($A36,Table4[],18,FALSE)</f>
        <v>-1</v>
      </c>
      <c r="M36" s="82" t="str">
        <f>IF(VLOOKUP($A36,Table2[],8,FALSE)=0,"",VLOOKUP($A36,Table2[],8,FALSE))</f>
        <v>Consecutive Community</v>
      </c>
      <c r="N36" s="82">
        <f>VLOOKUP($A36,Table2[],14,FALSE)</f>
        <v>0</v>
      </c>
      <c r="O36" s="82" t="str">
        <f>IF(VLOOKUP($A36,Table2[],15,FALSE)=0,"",VLOOKUP($A36,Table2[],15,FALSE))</f>
        <v>Community On-Site</v>
      </c>
      <c r="P36" s="82" t="str">
        <f>IF(VLOOKUP($A36,Table2[],16,FALSE)=0,"",VLOOKUP($A36,Table2[],16,FALSE))</f>
        <v/>
      </c>
      <c r="Q36" s="83" t="str">
        <f>IF(ISNA(VLOOKUP($A36,Table3[],6,FALSE)),"None",VLOOKUP($A36,Table3[],6,FALSE))</f>
        <v>100 Year Flood Plain</v>
      </c>
      <c r="R36" s="83" t="str">
        <f>IF(ISNA(VLOOKUP($A36,Table3[],7,FALSE)),"Unknown",VLOOKUP($A36,Table3[],7,FALSE))</f>
        <v>Unknown</v>
      </c>
      <c r="S36" s="83" t="str">
        <f>IF(ISNA(VLOOKUP($A36,Table3[],8,FALSE)),"None",VLOOKUP($A36,Table3[],8,FALSE))</f>
        <v>100 Year Flood Plain</v>
      </c>
      <c r="T36" s="84">
        <f>IF(ISNA(VLOOKUP($A36,Table3[],13,FALSE)),"Unknown",VLOOKUP($A36,Table3[],13,FALSE))</f>
        <v>1</v>
      </c>
      <c r="U36" s="85">
        <f>IF(ISNA(VLOOKUP($A36,Table3[],14,FALSE)),"Unknown",VLOOKUP($A36,Table3[],14,FALSE))</f>
        <v>6.6666666666666666E-2</v>
      </c>
      <c r="V36" s="84">
        <f>IF(ISNA(VLOOKUP($A36,Table3[],21,FALSE)),0,VLOOKUP($A36,Table3[],21,FALSE))</f>
        <v>16</v>
      </c>
      <c r="W36" s="85">
        <f>IF(ISNA(VLOOKUP($A36,Table3[],22,FALSE)),0,VLOOKUP($A36,Table3[],22,FALSE))</f>
        <v>1</v>
      </c>
    </row>
    <row r="37" spans="1:23" s="73" customFormat="1" x14ac:dyDescent="0.25">
      <c r="A37" s="35">
        <v>51</v>
      </c>
      <c r="B37" s="138" t="str">
        <f>VLOOKUP(A37,Registry!$A$4:$AA$241,2,FALSE)</f>
        <v>Cozy Meadow</v>
      </c>
      <c r="C37" s="138" t="str">
        <f>VLOOKUP(A37,Registry!$A$4:$AA$241,3,FALSE)</f>
        <v>Bennington</v>
      </c>
      <c r="D37" s="138" t="str">
        <f>VLOOKUP(A37,Registry!$A$4:$AA$241,4,FALSE)</f>
        <v>Pownal</v>
      </c>
      <c r="E37" s="138">
        <f>IF(VLOOKUP(A37,Registry!$A$4:$AA$241,7,FALSE)=0,"",VLOOKUP(A37,Registry!$A$4:$AA$241,7,FALSE))</f>
        <v>1959</v>
      </c>
      <c r="F37" s="138" t="str">
        <f>IF(VLOOKUP(A37,Registry!$A$4:$AA$241,20,FALSE)=0,"",VLOOKUP(A37,Registry!$A$4:$AA$241,20,FALSE))</f>
        <v>For profit</v>
      </c>
      <c r="G37" s="138">
        <f>VLOOKUP(A37,Registry!$A$4:$AA$241,21,FALSE)</f>
        <v>43</v>
      </c>
      <c r="H37" s="81">
        <f>VLOOKUP($A37,Table4[],36,FALSE)</f>
        <v>0.93023255813953487</v>
      </c>
      <c r="I37" s="129">
        <f>VLOOKUP($A37,Table4[],41,FALSE)</f>
        <v>0.1111111111111111</v>
      </c>
      <c r="J37" s="81">
        <f>VLOOKUP($A37,Table4[],30,FALSE)</f>
        <v>0</v>
      </c>
      <c r="K37" s="82">
        <f>VLOOKUP($A37,Table4[],17,FALSE)</f>
        <v>0</v>
      </c>
      <c r="L37" s="82">
        <f>VLOOKUP($A37,Table4[],18,FALSE)</f>
        <v>0</v>
      </c>
      <c r="M37" s="82" t="str">
        <f>IF(VLOOKUP($A37,Table2[],8,FALSE)=0,"",VLOOKUP($A37,Table2[],8,FALSE))</f>
        <v xml:space="preserve">Community </v>
      </c>
      <c r="N37" s="82">
        <f>VLOOKUP($A37,Table2[],14,FALSE)</f>
        <v>0</v>
      </c>
      <c r="O37" s="82" t="str">
        <f>IF(VLOOKUP($A37,Table2[],15,FALSE)=0,"",VLOOKUP($A37,Table2[],15,FALSE))</f>
        <v>Community On-Site</v>
      </c>
      <c r="P37" s="82" t="str">
        <f>IF(VLOOKUP($A37,Table2[],16,FALSE)=0,"",VLOOKUP($A37,Table2[],16,FALSE))</f>
        <v/>
      </c>
      <c r="Q37" s="83" t="str">
        <f>IF(ISNA(VLOOKUP($A37,Table3[],6,FALSE)),"None",VLOOKUP($A37,Table3[],6,FALSE))</f>
        <v>100 Year Flood Plain</v>
      </c>
      <c r="R37" s="83" t="str">
        <f>IF(ISNA(VLOOKUP($A37,Table3[],7,FALSE)),"Unknown",VLOOKUP($A37,Table3[],7,FALSE))</f>
        <v>Unknown</v>
      </c>
      <c r="S37" s="83" t="str">
        <f>IF(ISNA(VLOOKUP($A37,Table3[],8,FALSE)),"None",VLOOKUP($A37,Table3[],8,FALSE))</f>
        <v>100 Year Flood Plain</v>
      </c>
      <c r="T37" s="84">
        <f>IF(ISNA(VLOOKUP($A37,Table3[],13,FALSE)),"Unknown",VLOOKUP($A37,Table3[],13,FALSE))</f>
        <v>0</v>
      </c>
      <c r="U37" s="85">
        <f>IF(ISNA(VLOOKUP($A37,Table3[],14,FALSE)),"Unknown",VLOOKUP($A37,Table3[],14,FALSE))</f>
        <v>0</v>
      </c>
      <c r="V37" s="84">
        <f>IF(ISNA(VLOOKUP($A37,Table3[],21,FALSE)),0,VLOOKUP($A37,Table3[],21,FALSE))</f>
        <v>1</v>
      </c>
      <c r="W37" s="85">
        <f>IF(ISNA(VLOOKUP($A37,Table3[],22,FALSE)),0,VLOOKUP($A37,Table3[],22,FALSE))</f>
        <v>2.3255813953488372E-2</v>
      </c>
    </row>
    <row r="38" spans="1:23" s="73" customFormat="1" x14ac:dyDescent="0.25">
      <c r="A38" s="35">
        <v>53</v>
      </c>
      <c r="B38" s="138" t="str">
        <f>VLOOKUP(A38,Registry!$A$4:$AA$241,2,FALSE)</f>
        <v>Evergreen Mobile Home Park</v>
      </c>
      <c r="C38" s="138" t="str">
        <f>VLOOKUP(A38,Registry!$A$4:$AA$241,3,FALSE)</f>
        <v>Bennington</v>
      </c>
      <c r="D38" s="138" t="str">
        <f>VLOOKUP(A38,Registry!$A$4:$AA$241,4,FALSE)</f>
        <v>Pownal</v>
      </c>
      <c r="E38" s="138">
        <f>IF(VLOOKUP(A38,Registry!$A$4:$AA$241,7,FALSE)=0,"",VLOOKUP(A38,Registry!$A$4:$AA$241,7,FALSE))</f>
        <v>1968</v>
      </c>
      <c r="F38" s="138" t="str">
        <f>IF(VLOOKUP(A38,Registry!$A$4:$AA$241,20,FALSE)=0,"",VLOOKUP(A38,Registry!$A$4:$AA$241,20,FALSE))</f>
        <v>For profit</v>
      </c>
      <c r="G38" s="138">
        <f>VLOOKUP(A38,Registry!$A$4:$AA$241,21,FALSE)</f>
        <v>19</v>
      </c>
      <c r="H38" s="81">
        <f>VLOOKUP($A38,Table4[],36,FALSE)</f>
        <v>1</v>
      </c>
      <c r="I38" s="129">
        <f>VLOOKUP($A38,Table4[],41,FALSE)</f>
        <v>0.10714285714285714</v>
      </c>
      <c r="J38" s="81">
        <f>VLOOKUP($A38,Table4[],30,FALSE)</f>
        <v>-5.2631578947368418E-2</v>
      </c>
      <c r="K38" s="82">
        <f>VLOOKUP($A38,Table4[],17,FALSE)</f>
        <v>0</v>
      </c>
      <c r="L38" s="82">
        <f>VLOOKUP($A38,Table4[],18,FALSE)</f>
        <v>0</v>
      </c>
      <c r="M38" s="82" t="str">
        <f>IF(VLOOKUP($A38,Table2[],8,FALSE)=0,"",VLOOKUP($A38,Table2[],8,FALSE))</f>
        <v xml:space="preserve">Community </v>
      </c>
      <c r="N38" s="82">
        <f>VLOOKUP($A38,Table2[],14,FALSE)</f>
        <v>1</v>
      </c>
      <c r="O38" s="82" t="str">
        <f>IF(VLOOKUP($A38,Table2[],15,FALSE)=0,"",VLOOKUP($A38,Table2[],15,FALSE))</f>
        <v>Community On-Site</v>
      </c>
      <c r="P38" s="82" t="str">
        <f>IF(VLOOKUP($A38,Table2[],16,FALSE)=0,"",VLOOKUP($A38,Table2[],16,FALSE))</f>
        <v/>
      </c>
      <c r="Q38" s="83" t="str">
        <f>IF(ISNA(VLOOKUP($A38,Table3[],6,FALSE)),"None",VLOOKUP($A38,Table3[],6,FALSE))</f>
        <v>None</v>
      </c>
      <c r="R38" s="83" t="str">
        <f>IF(ISNA(VLOOKUP($A38,Table3[],7,FALSE)),"Unknown",VLOOKUP($A38,Table3[],7,FALSE))</f>
        <v>Unknown</v>
      </c>
      <c r="S38" s="83" t="str">
        <f>IF(ISNA(VLOOKUP($A38,Table3[],8,FALSE)),"None",VLOOKUP($A38,Table3[],8,FALSE))</f>
        <v>None</v>
      </c>
      <c r="T38" s="84" t="str">
        <f>IF(ISNA(VLOOKUP($A38,Table3[],13,FALSE)),"Unknown",VLOOKUP($A38,Table3[],13,FALSE))</f>
        <v>Unknown</v>
      </c>
      <c r="U38" s="85" t="str">
        <f>IF(ISNA(VLOOKUP($A38,Table3[],14,FALSE)),"Unknown",VLOOKUP($A38,Table3[],14,FALSE))</f>
        <v>Unknown</v>
      </c>
      <c r="V38" s="84">
        <f>IF(ISNA(VLOOKUP($A38,Table3[],21,FALSE)),0,VLOOKUP($A38,Table3[],21,FALSE))</f>
        <v>0</v>
      </c>
      <c r="W38" s="85">
        <f>IF(ISNA(VLOOKUP($A38,Table3[],22,FALSE)),0,VLOOKUP($A38,Table3[],22,FALSE))</f>
        <v>0</v>
      </c>
    </row>
    <row r="39" spans="1:23" s="73" customFormat="1" x14ac:dyDescent="0.25">
      <c r="A39" s="35">
        <v>6</v>
      </c>
      <c r="B39" s="138" t="str">
        <f>VLOOKUP(A39,Registry!$A$4:$AA$241,2,FALSE)</f>
        <v>Green Mountain Mobile Home Park</v>
      </c>
      <c r="C39" s="138" t="str">
        <f>VLOOKUP(A39,Registry!$A$4:$AA$241,3,FALSE)</f>
        <v>Bennington</v>
      </c>
      <c r="D39" s="138" t="str">
        <f>VLOOKUP(A39,Registry!$A$4:$AA$241,4,FALSE)</f>
        <v>Pownal</v>
      </c>
      <c r="E39" s="138">
        <f>IF(VLOOKUP(A39,Registry!$A$4:$AA$241,7,FALSE)=0,"",VLOOKUP(A39,Registry!$A$4:$AA$241,7,FALSE))</f>
        <v>1964</v>
      </c>
      <c r="F39" s="138" t="str">
        <f>IF(VLOOKUP(A39,Registry!$A$4:$AA$241,20,FALSE)=0,"",VLOOKUP(A39,Registry!$A$4:$AA$241,20,FALSE))</f>
        <v>For profit</v>
      </c>
      <c r="G39" s="138">
        <f>VLOOKUP(A39,Registry!$A$4:$AA$241,21,FALSE)</f>
        <v>42</v>
      </c>
      <c r="H39" s="81">
        <f>VLOOKUP($A39,Table4[],36,FALSE)</f>
        <v>0.6428571428571429</v>
      </c>
      <c r="I39" s="129">
        <f>VLOOKUP($A39,Table4[],41,FALSE)</f>
        <v>0</v>
      </c>
      <c r="J39" s="81">
        <f>VLOOKUP($A39,Table4[],30,FALSE)</f>
        <v>0</v>
      </c>
      <c r="K39" s="82">
        <f>VLOOKUP($A39,Table4[],17,FALSE)</f>
        <v>0</v>
      </c>
      <c r="L39" s="82">
        <f>VLOOKUP($A39,Table4[],18,FALSE)</f>
        <v>0</v>
      </c>
      <c r="M39" s="82" t="str">
        <f>IF(VLOOKUP($A39,Table2[],8,FALSE)=0,"",VLOOKUP($A39,Table2[],8,FALSE))</f>
        <v>Consecutive Community</v>
      </c>
      <c r="N39" s="82">
        <f>VLOOKUP($A39,Table2[],14,FALSE)</f>
        <v>0</v>
      </c>
      <c r="O39" s="82" t="str">
        <f>IF(VLOOKUP($A39,Table2[],15,FALSE)=0,"",VLOOKUP($A39,Table2[],15,FALSE))</f>
        <v>Municipal</v>
      </c>
      <c r="P39" s="82" t="str">
        <f>IF(VLOOKUP($A39,Table2[],16,FALSE)=0,"",VLOOKUP($A39,Table2[],16,FALSE))</f>
        <v/>
      </c>
      <c r="Q39" s="83" t="str">
        <f>IF(ISNA(VLOOKUP($A39,Table3[],6,FALSE)),"None",VLOOKUP($A39,Table3[],6,FALSE))</f>
        <v>100 Year Flood Plain</v>
      </c>
      <c r="R39" s="83" t="str">
        <f>IF(ISNA(VLOOKUP($A39,Table3[],7,FALSE)),"Unknown",VLOOKUP($A39,Table3[],7,FALSE))</f>
        <v>Unknown</v>
      </c>
      <c r="S39" s="83" t="str">
        <f>IF(ISNA(VLOOKUP($A39,Table3[],8,FALSE)),"None",VLOOKUP($A39,Table3[],8,FALSE))</f>
        <v>100 Year Flood Plain</v>
      </c>
      <c r="T39" s="84">
        <f>IF(ISNA(VLOOKUP($A39,Table3[],13,FALSE)),"Unknown",VLOOKUP($A39,Table3[],13,FALSE))</f>
        <v>0</v>
      </c>
      <c r="U39" s="85">
        <f>IF(ISNA(VLOOKUP($A39,Table3[],14,FALSE)),"Unknown",VLOOKUP($A39,Table3[],14,FALSE))</f>
        <v>0</v>
      </c>
      <c r="V39" s="84">
        <f>IF(ISNA(VLOOKUP($A39,Table3[],21,FALSE)),0,VLOOKUP($A39,Table3[],21,FALSE))</f>
        <v>33</v>
      </c>
      <c r="W39" s="85">
        <f>IF(ISNA(VLOOKUP($A39,Table3[],22,FALSE)),0,VLOOKUP($A39,Table3[],22,FALSE))</f>
        <v>0.7857142857142857</v>
      </c>
    </row>
    <row r="40" spans="1:23" s="73" customFormat="1" x14ac:dyDescent="0.25">
      <c r="A40" s="35">
        <v>294</v>
      </c>
      <c r="B40" s="138" t="str">
        <f>VLOOKUP(A40,Registry!$A$4:$AA$241,2,FALSE)</f>
        <v>Hillside Mobile Home Park</v>
      </c>
      <c r="C40" s="138" t="str">
        <f>VLOOKUP(A40,Registry!$A$4:$AA$241,3,FALSE)</f>
        <v>Bennington</v>
      </c>
      <c r="D40" s="138" t="str">
        <f>VLOOKUP(A40,Registry!$A$4:$AA$241,4,FALSE)</f>
        <v>Pownal</v>
      </c>
      <c r="E40" s="138">
        <f>IF(VLOOKUP(A40,Registry!$A$4:$AA$241,7,FALSE)=0,"",VLOOKUP(A40,Registry!$A$4:$AA$241,7,FALSE))</f>
        <v>1969</v>
      </c>
      <c r="F40" s="138" t="str">
        <f>IF(VLOOKUP(A40,Registry!$A$4:$AA$241,20,FALSE)=0,"",VLOOKUP(A40,Registry!$A$4:$AA$241,20,FALSE))</f>
        <v>For profit</v>
      </c>
      <c r="G40" s="138">
        <f>VLOOKUP(A40,Registry!$A$4:$AA$241,21,FALSE)</f>
        <v>7</v>
      </c>
      <c r="H40" s="81">
        <f>VLOOKUP($A40,Table4[],36,FALSE)</f>
        <v>0.8571428571428571</v>
      </c>
      <c r="I40" s="129" t="str">
        <f>VLOOKUP($A40,Table4[],41,FALSE)</f>
        <v>-</v>
      </c>
      <c r="J40" s="81">
        <f>VLOOKUP($A40,Table4[],30,FALSE)</f>
        <v>0</v>
      </c>
      <c r="K40" s="82">
        <f>VLOOKUP($A40,Table4[],17,FALSE)</f>
        <v>0</v>
      </c>
      <c r="L40" s="82">
        <f>VLOOKUP($A40,Table4[],18,FALSE)</f>
        <v>0</v>
      </c>
      <c r="M40" s="82" t="str">
        <f>IF(VLOOKUP($A40,Table2[],8,FALSE)=0,"",VLOOKUP($A40,Table2[],8,FALSE))</f>
        <v>Small-Scale (potable, &lt;25 users)</v>
      </c>
      <c r="N40" s="82">
        <f>VLOOKUP($A40,Table2[],14,FALSE)</f>
        <v>0</v>
      </c>
      <c r="O40" s="82" t="str">
        <f>IF(VLOOKUP($A40,Table2[],15,FALSE)=0,"",VLOOKUP($A40,Table2[],15,FALSE))</f>
        <v>Municipal</v>
      </c>
      <c r="P40" s="82" t="str">
        <f>IF(VLOOKUP($A40,Table2[],16,FALSE)=0,"",VLOOKUP($A40,Table2[],16,FALSE))</f>
        <v/>
      </c>
      <c r="Q40" s="83" t="str">
        <f>IF(ISNA(VLOOKUP($A40,Table3[],6,FALSE)),"None",VLOOKUP($A40,Table3[],6,FALSE))</f>
        <v>None</v>
      </c>
      <c r="R40" s="83" t="str">
        <f>IF(ISNA(VLOOKUP($A40,Table3[],7,FALSE)),"Unknown",VLOOKUP($A40,Table3[],7,FALSE))</f>
        <v>Unknown</v>
      </c>
      <c r="S40" s="83" t="str">
        <f>IF(ISNA(VLOOKUP($A40,Table3[],8,FALSE)),"None",VLOOKUP($A40,Table3[],8,FALSE))</f>
        <v>None</v>
      </c>
      <c r="T40" s="84" t="str">
        <f>IF(ISNA(VLOOKUP($A40,Table3[],13,FALSE)),"Unknown",VLOOKUP($A40,Table3[],13,FALSE))</f>
        <v>Unknown</v>
      </c>
      <c r="U40" s="85" t="str">
        <f>IF(ISNA(VLOOKUP($A40,Table3[],14,FALSE)),"Unknown",VLOOKUP($A40,Table3[],14,FALSE))</f>
        <v>Unknown</v>
      </c>
      <c r="V40" s="84">
        <f>IF(ISNA(VLOOKUP($A40,Table3[],21,FALSE)),0,VLOOKUP($A40,Table3[],21,FALSE))</f>
        <v>0</v>
      </c>
      <c r="W40" s="85">
        <f>IF(ISNA(VLOOKUP($A40,Table3[],22,FALSE)),0,VLOOKUP($A40,Table3[],22,FALSE))</f>
        <v>0</v>
      </c>
    </row>
    <row r="41" spans="1:23" s="73" customFormat="1" x14ac:dyDescent="0.25">
      <c r="A41" s="35">
        <v>146</v>
      </c>
      <c r="B41" s="138" t="str">
        <f>VLOOKUP(A41,Registry!$A$4:$AA$241,2,FALSE)</f>
        <v>Pownal Estates MHP</v>
      </c>
      <c r="C41" s="138" t="str">
        <f>VLOOKUP(A41,Registry!$A$4:$AA$241,3,FALSE)</f>
        <v>Bennington</v>
      </c>
      <c r="D41" s="138" t="str">
        <f>VLOOKUP(A41,Registry!$A$4:$AA$241,4,FALSE)</f>
        <v>Pownal</v>
      </c>
      <c r="E41" s="138">
        <f>IF(VLOOKUP(A41,Registry!$A$4:$AA$241,7,FALSE)=0,"",VLOOKUP(A41,Registry!$A$4:$AA$241,7,FALSE))</f>
        <v>1970</v>
      </c>
      <c r="F41" s="138" t="str">
        <f>IF(VLOOKUP(A41,Registry!$A$4:$AA$241,20,FALSE)=0,"",VLOOKUP(A41,Registry!$A$4:$AA$241,20,FALSE))</f>
        <v>For profit</v>
      </c>
      <c r="G41" s="138">
        <f>VLOOKUP(A41,Registry!$A$4:$AA$241,21,FALSE)</f>
        <v>56</v>
      </c>
      <c r="H41" s="81">
        <f>VLOOKUP($A41,Table4[],36,FALSE)</f>
        <v>1</v>
      </c>
      <c r="I41" s="129">
        <f>VLOOKUP($A41,Table4[],41,FALSE)</f>
        <v>0.19047619047619047</v>
      </c>
      <c r="J41" s="81">
        <f>VLOOKUP($A41,Table4[],30,FALSE)</f>
        <v>0</v>
      </c>
      <c r="K41" s="82">
        <f>VLOOKUP($A41,Table4[],17,FALSE)</f>
        <v>-11</v>
      </c>
      <c r="L41" s="82">
        <f>VLOOKUP($A41,Table4[],18,FALSE)</f>
        <v>0</v>
      </c>
      <c r="M41" s="82" t="str">
        <f>IF(VLOOKUP($A41,Table2[],8,FALSE)=0,"",VLOOKUP($A41,Table2[],8,FALSE))</f>
        <v xml:space="preserve">Community </v>
      </c>
      <c r="N41" s="82">
        <f>VLOOKUP($A41,Table2[],14,FALSE)</f>
        <v>0</v>
      </c>
      <c r="O41" s="82" t="str">
        <f>IF(VLOOKUP($A41,Table2[],15,FALSE)=0,"",VLOOKUP($A41,Table2[],15,FALSE))</f>
        <v>Municipal</v>
      </c>
      <c r="P41" s="82" t="str">
        <f>IF(VLOOKUP($A41,Table2[],16,FALSE)=0,"",VLOOKUP($A41,Table2[],16,FALSE))</f>
        <v>MH-8-0007, WW-8-0128</v>
      </c>
      <c r="Q41" s="83" t="str">
        <f>IF(ISNA(VLOOKUP($A41,Table3[],6,FALSE)),"None",VLOOKUP($A41,Table3[],6,FALSE))</f>
        <v>100 Year Flood Plain</v>
      </c>
      <c r="R41" s="83" t="str">
        <f>IF(ISNA(VLOOKUP($A41,Table3[],7,FALSE)),"Unknown",VLOOKUP($A41,Table3[],7,FALSE))</f>
        <v>Unknown</v>
      </c>
      <c r="S41" s="83" t="str">
        <f>IF(ISNA(VLOOKUP($A41,Table3[],8,FALSE)),"None",VLOOKUP($A41,Table3[],8,FALSE))</f>
        <v>100 Year Flood Plain</v>
      </c>
      <c r="T41" s="84">
        <f>IF(ISNA(VLOOKUP($A41,Table3[],13,FALSE)),"Unknown",VLOOKUP($A41,Table3[],13,FALSE))</f>
        <v>0</v>
      </c>
      <c r="U41" s="85">
        <f>IF(ISNA(VLOOKUP($A41,Table3[],14,FALSE)),"Unknown",VLOOKUP($A41,Table3[],14,FALSE))</f>
        <v>0</v>
      </c>
      <c r="V41" s="84">
        <f>IF(ISNA(VLOOKUP($A41,Table3[],21,FALSE)),0,VLOOKUP($A41,Table3[],21,FALSE))</f>
        <v>53</v>
      </c>
      <c r="W41" s="85">
        <f>IF(ISNA(VLOOKUP($A41,Table3[],22,FALSE)),0,VLOOKUP($A41,Table3[],22,FALSE))</f>
        <v>0.9464285714285714</v>
      </c>
    </row>
    <row r="42" spans="1:23" s="73" customFormat="1" x14ac:dyDescent="0.25">
      <c r="A42" s="35">
        <v>52</v>
      </c>
      <c r="B42" s="138" t="str">
        <f>VLOOKUP(A42,Registry!$A$4:$AA$241,2,FALSE)</f>
        <v>Royal Pine Villa Mobile Home Court</v>
      </c>
      <c r="C42" s="138" t="str">
        <f>VLOOKUP(A42,Registry!$A$4:$AA$241,3,FALSE)</f>
        <v>Bennington</v>
      </c>
      <c r="D42" s="138" t="str">
        <f>VLOOKUP(A42,Registry!$A$4:$AA$241,4,FALSE)</f>
        <v>Pownal</v>
      </c>
      <c r="E42" s="138">
        <f>IF(VLOOKUP(A42,Registry!$A$4:$AA$241,7,FALSE)=0,"",VLOOKUP(A42,Registry!$A$4:$AA$241,7,FALSE))</f>
        <v>1968</v>
      </c>
      <c r="F42" s="138" t="str">
        <f>IF(VLOOKUP(A42,Registry!$A$4:$AA$241,20,FALSE)=0,"",VLOOKUP(A42,Registry!$A$4:$AA$241,20,FALSE))</f>
        <v>For profit</v>
      </c>
      <c r="G42" s="138">
        <f>VLOOKUP(A42,Registry!$A$4:$AA$241,21,FALSE)</f>
        <v>36</v>
      </c>
      <c r="H42" s="81">
        <f>VLOOKUP($A42,Table4[],36,FALSE)</f>
        <v>0.72222222222222221</v>
      </c>
      <c r="I42" s="129">
        <f>VLOOKUP($A42,Table4[],41,FALSE)</f>
        <v>3.1553398058252358E-2</v>
      </c>
      <c r="J42" s="81">
        <f>VLOOKUP($A42,Table4[],30,FALSE)</f>
        <v>0</v>
      </c>
      <c r="K42" s="82">
        <f>VLOOKUP($A42,Table4[],17,FALSE)</f>
        <v>-2</v>
      </c>
      <c r="L42" s="82">
        <f>VLOOKUP($A42,Table4[],18,FALSE)</f>
        <v>0</v>
      </c>
      <c r="M42" s="82" t="str">
        <f>IF(VLOOKUP($A42,Table2[],8,FALSE)=0,"",VLOOKUP($A42,Table2[],8,FALSE))</f>
        <v xml:space="preserve">Community </v>
      </c>
      <c r="N42" s="82">
        <f>VLOOKUP($A42,Table2[],14,FALSE)</f>
        <v>0</v>
      </c>
      <c r="O42" s="82" t="str">
        <f>IF(VLOOKUP($A42,Table2[],15,FALSE)=0,"",VLOOKUP($A42,Table2[],15,FALSE))</f>
        <v>Individual On-Site</v>
      </c>
      <c r="P42" s="82" t="str">
        <f>IF(VLOOKUP($A42,Table2[],16,FALSE)=0,"",VLOOKUP($A42,Table2[],16,FALSE))</f>
        <v/>
      </c>
      <c r="Q42" s="83" t="str">
        <f>IF(ISNA(VLOOKUP($A42,Table3[],6,FALSE)),"None",VLOOKUP($A42,Table3[],6,FALSE))</f>
        <v>100 Year Flood Plain</v>
      </c>
      <c r="R42" s="83" t="str">
        <f>IF(ISNA(VLOOKUP($A42,Table3[],7,FALSE)),"Unknown",VLOOKUP($A42,Table3[],7,FALSE))</f>
        <v>Unknown</v>
      </c>
      <c r="S42" s="83" t="str">
        <f>IF(ISNA(VLOOKUP($A42,Table3[],8,FALSE)),"None",VLOOKUP($A42,Table3[],8,FALSE))</f>
        <v>100 Year Flood Plain</v>
      </c>
      <c r="T42" s="84">
        <f>IF(ISNA(VLOOKUP($A42,Table3[],13,FALSE)),"Unknown",VLOOKUP($A42,Table3[],13,FALSE))</f>
        <v>7</v>
      </c>
      <c r="U42" s="85">
        <f>IF(ISNA(VLOOKUP($A42,Table3[],14,FALSE)),"Unknown",VLOOKUP($A42,Table3[],14,FALSE))</f>
        <v>0.19444444444444445</v>
      </c>
      <c r="V42" s="84">
        <f>IF(ISNA(VLOOKUP($A42,Table3[],21,FALSE)),0,VLOOKUP($A42,Table3[],21,FALSE))</f>
        <v>25</v>
      </c>
      <c r="W42" s="85">
        <f>IF(ISNA(VLOOKUP($A42,Table3[],22,FALSE)),0,VLOOKUP($A42,Table3[],22,FALSE))</f>
        <v>0.69444444444444442</v>
      </c>
    </row>
    <row r="43" spans="1:23" s="73" customFormat="1" x14ac:dyDescent="0.25">
      <c r="A43" s="35">
        <v>55</v>
      </c>
      <c r="B43" s="138" t="str">
        <f>VLOOKUP(A43,Registry!$A$4:$AA$241,2,FALSE)</f>
        <v>Harrington Mobile Home Park</v>
      </c>
      <c r="C43" s="138" t="str">
        <f>VLOOKUP(A43,Registry!$A$4:$AA$241,3,FALSE)</f>
        <v>Bennington</v>
      </c>
      <c r="D43" s="138" t="str">
        <f>VLOOKUP(A43,Registry!$A$4:$AA$241,4,FALSE)</f>
        <v>Shaftsbury</v>
      </c>
      <c r="E43" s="138">
        <f>IF(VLOOKUP(A43,Registry!$A$4:$AA$241,7,FALSE)=0,"",VLOOKUP(A43,Registry!$A$4:$AA$241,7,FALSE))</f>
        <v>1965</v>
      </c>
      <c r="F43" s="138" t="str">
        <f>IF(VLOOKUP(A43,Registry!$A$4:$AA$241,20,FALSE)=0,"",VLOOKUP(A43,Registry!$A$4:$AA$241,20,FALSE))</f>
        <v>For profit</v>
      </c>
      <c r="G43" s="138">
        <f>VLOOKUP(A43,Registry!$A$4:$AA$241,21,FALSE)</f>
        <v>9</v>
      </c>
      <c r="H43" s="81">
        <f>VLOOKUP($A43,Table4[],36,FALSE)</f>
        <v>1</v>
      </c>
      <c r="I43" s="129">
        <f>VLOOKUP($A43,Table4[],41,FALSE)</f>
        <v>-1</v>
      </c>
      <c r="J43" s="81">
        <f>VLOOKUP($A43,Table4[],30,FALSE)</f>
        <v>0</v>
      </c>
      <c r="K43" s="82">
        <f>VLOOKUP($A43,Table4[],17,FALSE)</f>
        <v>0</v>
      </c>
      <c r="L43" s="82">
        <f>VLOOKUP($A43,Table4[],18,FALSE)</f>
        <v>0</v>
      </c>
      <c r="M43" s="82" t="str">
        <f>IF(VLOOKUP($A43,Table2[],8,FALSE)=0,"",VLOOKUP($A43,Table2[],8,FALSE))</f>
        <v>Municipal</v>
      </c>
      <c r="N43" s="82">
        <f>VLOOKUP($A43,Table2[],14,FALSE)</f>
        <v>0</v>
      </c>
      <c r="O43" s="82" t="str">
        <f>IF(VLOOKUP($A43,Table2[],15,FALSE)=0,"",VLOOKUP($A43,Table2[],15,FALSE))</f>
        <v>Individual On-Site</v>
      </c>
      <c r="P43" s="82" t="str">
        <f>IF(VLOOKUP($A43,Table2[],16,FALSE)=0,"",VLOOKUP($A43,Table2[],16,FALSE))</f>
        <v/>
      </c>
      <c r="Q43" s="83" t="str">
        <f>IF(ISNA(VLOOKUP($A43,Table3[],6,FALSE)),"None",VLOOKUP($A43,Table3[],6,FALSE))</f>
        <v>None</v>
      </c>
      <c r="R43" s="83" t="str">
        <f>IF(ISNA(VLOOKUP($A43,Table3[],7,FALSE)),"Unknown",VLOOKUP($A43,Table3[],7,FALSE))</f>
        <v>Unknown</v>
      </c>
      <c r="S43" s="83" t="str">
        <f>IF(ISNA(VLOOKUP($A43,Table3[],8,FALSE)),"None",VLOOKUP($A43,Table3[],8,FALSE))</f>
        <v>None</v>
      </c>
      <c r="T43" s="84" t="str">
        <f>IF(ISNA(VLOOKUP($A43,Table3[],13,FALSE)),"Unknown",VLOOKUP($A43,Table3[],13,FALSE))</f>
        <v>Unknown</v>
      </c>
      <c r="U43" s="85" t="str">
        <f>IF(ISNA(VLOOKUP($A43,Table3[],14,FALSE)),"Unknown",VLOOKUP($A43,Table3[],14,FALSE))</f>
        <v>Unknown</v>
      </c>
      <c r="V43" s="84">
        <f>IF(ISNA(VLOOKUP($A43,Table3[],21,FALSE)),0,VLOOKUP($A43,Table3[],21,FALSE))</f>
        <v>0</v>
      </c>
      <c r="W43" s="85">
        <f>IF(ISNA(VLOOKUP($A43,Table3[],22,FALSE)),0,VLOOKUP($A43,Table3[],22,FALSE))</f>
        <v>0</v>
      </c>
    </row>
    <row r="44" spans="1:23" s="73" customFormat="1" x14ac:dyDescent="0.25">
      <c r="A44" s="35">
        <v>244</v>
      </c>
      <c r="B44" s="138" t="str">
        <f>VLOOKUP(A44,Registry!$A$4:$AA$241,2,FALSE)</f>
        <v>Smith's Mobile Home Park</v>
      </c>
      <c r="C44" s="138" t="str">
        <f>VLOOKUP(A44,Registry!$A$4:$AA$241,3,FALSE)</f>
        <v>Bennington</v>
      </c>
      <c r="D44" s="138" t="str">
        <f>VLOOKUP(A44,Registry!$A$4:$AA$241,4,FALSE)</f>
        <v>Woodford</v>
      </c>
      <c r="E44" s="138">
        <f>IF(VLOOKUP(A44,Registry!$A$4:$AA$241,7,FALSE)=0,"",VLOOKUP(A44,Registry!$A$4:$AA$241,7,FALSE))</f>
        <v>1961</v>
      </c>
      <c r="F44" s="138" t="str">
        <f>IF(VLOOKUP(A44,Registry!$A$4:$AA$241,20,FALSE)=0,"",VLOOKUP(A44,Registry!$A$4:$AA$241,20,FALSE))</f>
        <v>For profit</v>
      </c>
      <c r="G44" s="138">
        <f>VLOOKUP(A44,Registry!$A$4:$AA$241,21,FALSE)</f>
        <v>16</v>
      </c>
      <c r="H44" s="81">
        <f>VLOOKUP($A44,Table4[],36,FALSE)</f>
        <v>1</v>
      </c>
      <c r="I44" s="129">
        <f>VLOOKUP($A44,Table4[],41,FALSE)</f>
        <v>0.16666666666666666</v>
      </c>
      <c r="J44" s="81">
        <f>VLOOKUP($A44,Table4[],30,FALSE)</f>
        <v>0</v>
      </c>
      <c r="K44" s="82">
        <f>VLOOKUP($A44,Table4[],17,FALSE)</f>
        <v>0</v>
      </c>
      <c r="L44" s="82">
        <f>VLOOKUP($A44,Table4[],18,FALSE)</f>
        <v>0</v>
      </c>
      <c r="M44" s="82" t="str">
        <f>IF(VLOOKUP($A44,Table2[],8,FALSE)=0,"",VLOOKUP($A44,Table2[],8,FALSE))</f>
        <v>Small-Scale (potable, &lt;25 users)</v>
      </c>
      <c r="N44" s="82">
        <f>VLOOKUP($A44,Table2[],14,FALSE)</f>
        <v>0</v>
      </c>
      <c r="O44" s="82" t="str">
        <f>IF(VLOOKUP($A44,Table2[],15,FALSE)=0,"",VLOOKUP($A44,Table2[],15,FALSE))</f>
        <v>On-Site</v>
      </c>
      <c r="P44" s="82" t="str">
        <f>IF(VLOOKUP($A44,Table2[],16,FALSE)=0,"",VLOOKUP($A44,Table2[],16,FALSE))</f>
        <v/>
      </c>
      <c r="Q44" s="83" t="str">
        <f>IF(ISNA(VLOOKUP($A44,Table3[],6,FALSE)),"None",VLOOKUP($A44,Table3[],6,FALSE))</f>
        <v>None</v>
      </c>
      <c r="R44" s="83" t="str">
        <f>IF(ISNA(VLOOKUP($A44,Table3[],7,FALSE)),"Unknown",VLOOKUP($A44,Table3[],7,FALSE))</f>
        <v>Unknown</v>
      </c>
      <c r="S44" s="83" t="str">
        <f>IF(ISNA(VLOOKUP($A44,Table3[],8,FALSE)),"None",VLOOKUP($A44,Table3[],8,FALSE))</f>
        <v>None</v>
      </c>
      <c r="T44" s="84" t="str">
        <f>IF(ISNA(VLOOKUP($A44,Table3[],13,FALSE)),"Unknown",VLOOKUP($A44,Table3[],13,FALSE))</f>
        <v>Unknown</v>
      </c>
      <c r="U44" s="85" t="str">
        <f>IF(ISNA(VLOOKUP($A44,Table3[],14,FALSE)),"Unknown",VLOOKUP($A44,Table3[],14,FALSE))</f>
        <v>Unknown</v>
      </c>
      <c r="V44" s="84">
        <f>IF(ISNA(VLOOKUP($A44,Table3[],21,FALSE)),0,VLOOKUP($A44,Table3[],21,FALSE))</f>
        <v>0</v>
      </c>
      <c r="W44" s="85">
        <f>IF(ISNA(VLOOKUP($A44,Table3[],22,FALSE)),0,VLOOKUP($A44,Table3[],22,FALSE))</f>
        <v>0</v>
      </c>
    </row>
    <row r="45" spans="1:23" s="73" customFormat="1" x14ac:dyDescent="0.25">
      <c r="A45" s="35">
        <v>124</v>
      </c>
      <c r="B45" s="138" t="str">
        <f>VLOOKUP(A45,Registry!$A$4:$AA$241,2,FALSE)</f>
        <v>Glenwood Mobile Home Park</v>
      </c>
      <c r="C45" s="138" t="str">
        <f>VLOOKUP(A45,Registry!$A$4:$AA$241,3,FALSE)</f>
        <v>Caledonia</v>
      </c>
      <c r="D45" s="138" t="str">
        <f>VLOOKUP(A45,Registry!$A$4:$AA$241,4,FALSE)</f>
        <v>Burke</v>
      </c>
      <c r="E45" s="138">
        <f>IF(VLOOKUP(A45,Registry!$A$4:$AA$241,7,FALSE)=0,"",VLOOKUP(A45,Registry!$A$4:$AA$241,7,FALSE))</f>
        <v>1973</v>
      </c>
      <c r="F45" s="138" t="str">
        <f>IF(VLOOKUP(A45,Registry!$A$4:$AA$241,20,FALSE)=0,"",VLOOKUP(A45,Registry!$A$4:$AA$241,20,FALSE))</f>
        <v>For profit</v>
      </c>
      <c r="G45" s="138">
        <f>VLOOKUP(A45,Registry!$A$4:$AA$241,21,FALSE)</f>
        <v>11</v>
      </c>
      <c r="H45" s="81">
        <f>VLOOKUP($A45,Table4[],36,FALSE)</f>
        <v>1</v>
      </c>
      <c r="I45" s="129">
        <f>VLOOKUP($A45,Table4[],41,FALSE)</f>
        <v>0.13389121338912133</v>
      </c>
      <c r="J45" s="81">
        <f>VLOOKUP($A45,Table4[],30,FALSE)</f>
        <v>-9.0909090909090912E-2</v>
      </c>
      <c r="K45" s="82">
        <f>VLOOKUP($A45,Table4[],17,FALSE)</f>
        <v>0</v>
      </c>
      <c r="L45" s="82">
        <f>VLOOKUP($A45,Table4[],18,FALSE)</f>
        <v>0</v>
      </c>
      <c r="M45" s="82" t="str">
        <f>IF(VLOOKUP($A45,Table2[],8,FALSE)=0,"",VLOOKUP($A45,Table2[],8,FALSE))</f>
        <v/>
      </c>
      <c r="N45" s="82">
        <f>VLOOKUP($A45,Table2[],14,FALSE)</f>
        <v>0</v>
      </c>
      <c r="O45" s="82" t="str">
        <f>IF(VLOOKUP($A45,Table2[],15,FALSE)=0,"",VLOOKUP($A45,Table2[],15,FALSE))</f>
        <v/>
      </c>
      <c r="P45" s="82" t="str">
        <f>IF(VLOOKUP($A45,Table2[],16,FALSE)=0,"",VLOOKUP($A45,Table2[],16,FALSE))</f>
        <v/>
      </c>
      <c r="Q45" s="83" t="str">
        <f>IF(ISNA(VLOOKUP($A45,Table3[],6,FALSE)),"None",VLOOKUP($A45,Table3[],6,FALSE))</f>
        <v>None</v>
      </c>
      <c r="R45" s="83" t="str">
        <f>IF(ISNA(VLOOKUP($A45,Table3[],7,FALSE)),"Unknown",VLOOKUP($A45,Table3[],7,FALSE))</f>
        <v>Unknown</v>
      </c>
      <c r="S45" s="83" t="str">
        <f>IF(ISNA(VLOOKUP($A45,Table3[],8,FALSE)),"None",VLOOKUP($A45,Table3[],8,FALSE))</f>
        <v>None</v>
      </c>
      <c r="T45" s="84" t="str">
        <f>IF(ISNA(VLOOKUP($A45,Table3[],13,FALSE)),"Unknown",VLOOKUP($A45,Table3[],13,FALSE))</f>
        <v>Unknown</v>
      </c>
      <c r="U45" s="85" t="str">
        <f>IF(ISNA(VLOOKUP($A45,Table3[],14,FALSE)),"Unknown",VLOOKUP($A45,Table3[],14,FALSE))</f>
        <v>Unknown</v>
      </c>
      <c r="V45" s="84">
        <f>IF(ISNA(VLOOKUP($A45,Table3[],21,FALSE)),0,VLOOKUP($A45,Table3[],21,FALSE))</f>
        <v>0</v>
      </c>
      <c r="W45" s="85">
        <f>IF(ISNA(VLOOKUP($A45,Table3[],22,FALSE)),0,VLOOKUP($A45,Table3[],22,FALSE))</f>
        <v>0</v>
      </c>
    </row>
    <row r="46" spans="1:23" s="73" customFormat="1" x14ac:dyDescent="0.25">
      <c r="A46" s="35">
        <v>265</v>
      </c>
      <c r="B46" s="138" t="str">
        <f>VLOOKUP(A46,Registry!$A$4:$AA$241,2,FALSE)</f>
        <v>BCP MHP</v>
      </c>
      <c r="C46" s="138" t="str">
        <f>VLOOKUP(A46,Registry!$A$4:$AA$241,3,FALSE)</f>
        <v>Caledonia</v>
      </c>
      <c r="D46" s="138" t="str">
        <f>VLOOKUP(A46,Registry!$A$4:$AA$241,4,FALSE)</f>
        <v>Hardwick</v>
      </c>
      <c r="E46" s="138">
        <f>IF(VLOOKUP(A46,Registry!$A$4:$AA$241,7,FALSE)=0,"",VLOOKUP(A46,Registry!$A$4:$AA$241,7,FALSE))</f>
        <v>1989</v>
      </c>
      <c r="F46" s="138" t="str">
        <f>IF(VLOOKUP(A46,Registry!$A$4:$AA$241,20,FALSE)=0,"",VLOOKUP(A46,Registry!$A$4:$AA$241,20,FALSE))</f>
        <v>For profit</v>
      </c>
      <c r="G46" s="138">
        <f>VLOOKUP(A46,Registry!$A$4:$AA$241,21,FALSE)</f>
        <v>7</v>
      </c>
      <c r="H46" s="81">
        <f>VLOOKUP($A46,Table4[],36,FALSE)</f>
        <v>1</v>
      </c>
      <c r="I46" s="129">
        <f>VLOOKUP($A46,Table4[],41,FALSE)</f>
        <v>0</v>
      </c>
      <c r="J46" s="81">
        <f>VLOOKUP($A46,Table4[],30,FALSE)</f>
        <v>-0.14285714285714285</v>
      </c>
      <c r="K46" s="82">
        <f>VLOOKUP($A46,Table4[],17,FALSE)</f>
        <v>0</v>
      </c>
      <c r="L46" s="82">
        <f>VLOOKUP($A46,Table4[],18,FALSE)</f>
        <v>0</v>
      </c>
      <c r="M46" s="82" t="str">
        <f>IF(VLOOKUP($A46,Table2[],8,FALSE)=0,"",VLOOKUP($A46,Table2[],8,FALSE))</f>
        <v>Municipal</v>
      </c>
      <c r="N46" s="82">
        <f>VLOOKUP($A46,Table2[],14,FALSE)</f>
        <v>0</v>
      </c>
      <c r="O46" s="82" t="str">
        <f>IF(VLOOKUP($A46,Table2[],15,FALSE)=0,"",VLOOKUP($A46,Table2[],15,FALSE))</f>
        <v/>
      </c>
      <c r="P46" s="82" t="str">
        <f>IF(VLOOKUP($A46,Table2[],16,FALSE)=0,"",VLOOKUP($A46,Table2[],16,FALSE))</f>
        <v/>
      </c>
      <c r="Q46" s="83" t="str">
        <f>IF(ISNA(VLOOKUP($A46,Table3[],6,FALSE)),"None",VLOOKUP($A46,Table3[],6,FALSE))</f>
        <v>None</v>
      </c>
      <c r="R46" s="83" t="str">
        <f>IF(ISNA(VLOOKUP($A46,Table3[],7,FALSE)),"Unknown",VLOOKUP($A46,Table3[],7,FALSE))</f>
        <v>Unknown</v>
      </c>
      <c r="S46" s="83" t="str">
        <f>IF(ISNA(VLOOKUP($A46,Table3[],8,FALSE)),"None",VLOOKUP($A46,Table3[],8,FALSE))</f>
        <v>None</v>
      </c>
      <c r="T46" s="84" t="str">
        <f>IF(ISNA(VLOOKUP($A46,Table3[],13,FALSE)),"Unknown",VLOOKUP($A46,Table3[],13,FALSE))</f>
        <v>Unknown</v>
      </c>
      <c r="U46" s="85" t="str">
        <f>IF(ISNA(VLOOKUP($A46,Table3[],14,FALSE)),"Unknown",VLOOKUP($A46,Table3[],14,FALSE))</f>
        <v>Unknown</v>
      </c>
      <c r="V46" s="84">
        <f>IF(ISNA(VLOOKUP($A46,Table3[],21,FALSE)),0,VLOOKUP($A46,Table3[],21,FALSE))</f>
        <v>0</v>
      </c>
      <c r="W46" s="85">
        <f>IF(ISNA(VLOOKUP($A46,Table3[],22,FALSE)),0,VLOOKUP($A46,Table3[],22,FALSE))</f>
        <v>0</v>
      </c>
    </row>
    <row r="47" spans="1:23" s="73" customFormat="1" x14ac:dyDescent="0.25">
      <c r="A47" s="35">
        <v>148</v>
      </c>
      <c r="B47" s="138" t="str">
        <f>VLOOKUP(A47,Registry!$A$4:$AA$241,2,FALSE)</f>
        <v>Evergreen Manor</v>
      </c>
      <c r="C47" s="138" t="str">
        <f>VLOOKUP(A47,Registry!$A$4:$AA$241,3,FALSE)</f>
        <v>Caledonia</v>
      </c>
      <c r="D47" s="138" t="str">
        <f>VLOOKUP(A47,Registry!$A$4:$AA$241,4,FALSE)</f>
        <v>Hardwick</v>
      </c>
      <c r="E47" s="138">
        <f>IF(VLOOKUP(A47,Registry!$A$4:$AA$241,7,FALSE)=0,"",VLOOKUP(A47,Registry!$A$4:$AA$241,7,FALSE))</f>
        <v>1970</v>
      </c>
      <c r="F47" s="138" t="str">
        <f>IF(VLOOKUP(A47,Registry!$A$4:$AA$241,20,FALSE)=0,"",VLOOKUP(A47,Registry!$A$4:$AA$241,20,FALSE))</f>
        <v>Non-profit</v>
      </c>
      <c r="G47" s="138">
        <f>VLOOKUP(A47,Registry!$A$4:$AA$241,21,FALSE)</f>
        <v>32</v>
      </c>
      <c r="H47" s="81">
        <f>VLOOKUP($A47,Table4[],36,FALSE)</f>
        <v>0.90625</v>
      </c>
      <c r="I47" s="129">
        <f>VLOOKUP($A47,Table4[],41,FALSE)</f>
        <v>0.10666666666666667</v>
      </c>
      <c r="J47" s="81">
        <f>VLOOKUP($A47,Table4[],30,FALSE)</f>
        <v>-6.25E-2</v>
      </c>
      <c r="K47" s="82">
        <f>VLOOKUP($A47,Table4[],17,FALSE)</f>
        <v>2</v>
      </c>
      <c r="L47" s="82">
        <f>VLOOKUP($A47,Table4[],18,FALSE)</f>
        <v>0</v>
      </c>
      <c r="M47" s="82" t="str">
        <f>IF(VLOOKUP($A47,Table2[],8,FALSE)=0,"",VLOOKUP($A47,Table2[],8,FALSE))</f>
        <v>Municipal</v>
      </c>
      <c r="N47" s="82">
        <f>VLOOKUP($A47,Table2[],14,FALSE)</f>
        <v>0</v>
      </c>
      <c r="O47" s="82" t="str">
        <f>IF(VLOOKUP($A47,Table2[],15,FALSE)=0,"",VLOOKUP($A47,Table2[],15,FALSE))</f>
        <v>Municipal</v>
      </c>
      <c r="P47" s="82" t="str">
        <f>IF(VLOOKUP($A47,Table2[],16,FALSE)=0,"",VLOOKUP($A47,Table2[],16,FALSE))</f>
        <v>MH-7-0008</v>
      </c>
      <c r="Q47" s="83" t="str">
        <f>IF(ISNA(VLOOKUP($A47,Table3[],6,FALSE)),"None",VLOOKUP($A47,Table3[],6,FALSE))</f>
        <v>None</v>
      </c>
      <c r="R47" s="83" t="str">
        <f>IF(ISNA(VLOOKUP($A47,Table3[],7,FALSE)),"Unknown",VLOOKUP($A47,Table3[],7,FALSE))</f>
        <v>Unknown</v>
      </c>
      <c r="S47" s="83" t="str">
        <f>IF(ISNA(VLOOKUP($A47,Table3[],8,FALSE)),"None",VLOOKUP($A47,Table3[],8,FALSE))</f>
        <v>None</v>
      </c>
      <c r="T47" s="84" t="str">
        <f>IF(ISNA(VLOOKUP($A47,Table3[],13,FALSE)),"Unknown",VLOOKUP($A47,Table3[],13,FALSE))</f>
        <v>Unknown</v>
      </c>
      <c r="U47" s="85" t="str">
        <f>IF(ISNA(VLOOKUP($A47,Table3[],14,FALSE)),"Unknown",VLOOKUP($A47,Table3[],14,FALSE))</f>
        <v>Unknown</v>
      </c>
      <c r="V47" s="84">
        <f>IF(ISNA(VLOOKUP($A47,Table3[],21,FALSE)),0,VLOOKUP($A47,Table3[],21,FALSE))</f>
        <v>0</v>
      </c>
      <c r="W47" s="85">
        <f>IF(ISNA(VLOOKUP($A47,Table3[],22,FALSE)),0,VLOOKUP($A47,Table3[],22,FALSE))</f>
        <v>0</v>
      </c>
    </row>
    <row r="48" spans="1:23" s="73" customFormat="1" x14ac:dyDescent="0.25">
      <c r="A48" s="35">
        <v>264</v>
      </c>
      <c r="B48" s="138" t="str">
        <f>VLOOKUP(A48,Registry!$A$4:$AA$241,2,FALSE)</f>
        <v>Strong's Mobile Home Park</v>
      </c>
      <c r="C48" s="138" t="str">
        <f>VLOOKUP(A48,Registry!$A$4:$AA$241,3,FALSE)</f>
        <v>Caledonia</v>
      </c>
      <c r="D48" s="138" t="str">
        <f>VLOOKUP(A48,Registry!$A$4:$AA$241,4,FALSE)</f>
        <v>Hardwick</v>
      </c>
      <c r="E48" s="138">
        <f>IF(VLOOKUP(A48,Registry!$A$4:$AA$241,7,FALSE)=0,"",VLOOKUP(A48,Registry!$A$4:$AA$241,7,FALSE))</f>
        <v>1970</v>
      </c>
      <c r="F48" s="138" t="str">
        <f>IF(VLOOKUP(A48,Registry!$A$4:$AA$241,20,FALSE)=0,"",VLOOKUP(A48,Registry!$A$4:$AA$241,20,FALSE))</f>
        <v>For profit</v>
      </c>
      <c r="G48" s="138">
        <f>VLOOKUP(A48,Registry!$A$4:$AA$241,21,FALSE)</f>
        <v>3</v>
      </c>
      <c r="H48" s="81">
        <f>VLOOKUP($A48,Table4[],36,FALSE)</f>
        <v>1</v>
      </c>
      <c r="I48" s="129">
        <f>VLOOKUP($A48,Table4[],41,FALSE)</f>
        <v>0</v>
      </c>
      <c r="J48" s="81">
        <f>VLOOKUP($A48,Table4[],30,FALSE)</f>
        <v>0</v>
      </c>
      <c r="K48" s="82">
        <f>VLOOKUP($A48,Table4[],17,FALSE)</f>
        <v>0</v>
      </c>
      <c r="L48" s="82">
        <f>VLOOKUP($A48,Table4[],18,FALSE)</f>
        <v>0</v>
      </c>
      <c r="M48" s="82" t="str">
        <f>IF(VLOOKUP($A48,Table2[],8,FALSE)=0,"",VLOOKUP($A48,Table2[],8,FALSE))</f>
        <v>Municipal</v>
      </c>
      <c r="N48" s="82">
        <f>VLOOKUP($A48,Table2[],14,FALSE)</f>
        <v>0</v>
      </c>
      <c r="O48" s="82" t="str">
        <f>IF(VLOOKUP($A48,Table2[],15,FALSE)=0,"",VLOOKUP($A48,Table2[],15,FALSE))</f>
        <v>Community On-Site</v>
      </c>
      <c r="P48" s="82" t="str">
        <f>IF(VLOOKUP($A48,Table2[],16,FALSE)=0,"",VLOOKUP($A48,Table2[],16,FALSE))</f>
        <v/>
      </c>
      <c r="Q48" s="83" t="str">
        <f>IF(ISNA(VLOOKUP($A48,Table3[],6,FALSE)),"None",VLOOKUP($A48,Table3[],6,FALSE))</f>
        <v>None</v>
      </c>
      <c r="R48" s="83" t="str">
        <f>IF(ISNA(VLOOKUP($A48,Table3[],7,FALSE)),"Unknown",VLOOKUP($A48,Table3[],7,FALSE))</f>
        <v>Unknown</v>
      </c>
      <c r="S48" s="83" t="str">
        <f>IF(ISNA(VLOOKUP($A48,Table3[],8,FALSE)),"None",VLOOKUP($A48,Table3[],8,FALSE))</f>
        <v>None</v>
      </c>
      <c r="T48" s="84" t="str">
        <f>IF(ISNA(VLOOKUP($A48,Table3[],13,FALSE)),"Unknown",VLOOKUP($A48,Table3[],13,FALSE))</f>
        <v>Unknown</v>
      </c>
      <c r="U48" s="85" t="str">
        <f>IF(ISNA(VLOOKUP($A48,Table3[],14,FALSE)),"Unknown",VLOOKUP($A48,Table3[],14,FALSE))</f>
        <v>Unknown</v>
      </c>
      <c r="V48" s="84">
        <f>IF(ISNA(VLOOKUP($A48,Table3[],21,FALSE)),0,VLOOKUP($A48,Table3[],21,FALSE))</f>
        <v>0</v>
      </c>
      <c r="W48" s="85">
        <f>IF(ISNA(VLOOKUP($A48,Table3[],22,FALSE)),0,VLOOKUP($A48,Table3[],22,FALSE))</f>
        <v>0</v>
      </c>
    </row>
    <row r="49" spans="1:23" s="73" customFormat="1" x14ac:dyDescent="0.25">
      <c r="A49" s="35">
        <v>221</v>
      </c>
      <c r="B49" s="138" t="str">
        <f>VLOOKUP(A49,Registry!$A$4:$AA$241,2,FALSE)</f>
        <v>Maple Ridge Trailer Park</v>
      </c>
      <c r="C49" s="138" t="str">
        <f>VLOOKUP(A49,Registry!$A$4:$AA$241,3,FALSE)</f>
        <v>Caledonia</v>
      </c>
      <c r="D49" s="138" t="str">
        <f>VLOOKUP(A49,Registry!$A$4:$AA$241,4,FALSE)</f>
        <v>Lyndon</v>
      </c>
      <c r="E49" s="138">
        <f>IF(VLOOKUP(A49,Registry!$A$4:$AA$241,7,FALSE)=0,"",VLOOKUP(A49,Registry!$A$4:$AA$241,7,FALSE))</f>
        <v>1974</v>
      </c>
      <c r="F49" s="138" t="str">
        <f>IF(VLOOKUP(A49,Registry!$A$4:$AA$241,20,FALSE)=0,"",VLOOKUP(A49,Registry!$A$4:$AA$241,20,FALSE))</f>
        <v>Non-profit</v>
      </c>
      <c r="G49" s="138">
        <f>VLOOKUP(A49,Registry!$A$4:$AA$241,21,FALSE)</f>
        <v>41</v>
      </c>
      <c r="H49" s="81">
        <f>VLOOKUP($A49,Table4[],36,FALSE)</f>
        <v>0.97560975609756095</v>
      </c>
      <c r="I49" s="129">
        <f>VLOOKUP($A49,Table4[],41,FALSE)</f>
        <v>6.4356435643564358E-2</v>
      </c>
      <c r="J49" s="81">
        <f>VLOOKUP($A49,Table4[],30,FALSE)</f>
        <v>-7.3170731707317069E-2</v>
      </c>
      <c r="K49" s="82">
        <f>VLOOKUP($A49,Table4[],17,FALSE)</f>
        <v>0</v>
      </c>
      <c r="L49" s="82">
        <f>VLOOKUP($A49,Table4[],18,FALSE)</f>
        <v>0</v>
      </c>
      <c r="M49" s="82" t="str">
        <f>IF(VLOOKUP($A49,Table2[],8,FALSE)=0,"",VLOOKUP($A49,Table2[],8,FALSE))</f>
        <v>Municipal</v>
      </c>
      <c r="N49" s="82">
        <f>VLOOKUP($A49,Table2[],14,FALSE)</f>
        <v>0</v>
      </c>
      <c r="O49" s="82" t="str">
        <f>IF(VLOOKUP($A49,Table2[],15,FALSE)=0,"",VLOOKUP($A49,Table2[],15,FALSE))</f>
        <v>Individual On-Site</v>
      </c>
      <c r="P49" s="82" t="str">
        <f>IF(VLOOKUP($A49,Table2[],16,FALSE)=0,"",VLOOKUP($A49,Table2[],16,FALSE))</f>
        <v>WW-7-2018-1</v>
      </c>
      <c r="Q49" s="83" t="str">
        <f>IF(ISNA(VLOOKUP($A49,Table3[],6,FALSE)),"None",VLOOKUP($A49,Table3[],6,FALSE))</f>
        <v>None</v>
      </c>
      <c r="R49" s="83" t="str">
        <f>IF(ISNA(VLOOKUP($A49,Table3[],7,FALSE)),"Unknown",VLOOKUP($A49,Table3[],7,FALSE))</f>
        <v>Unknown</v>
      </c>
      <c r="S49" s="83" t="str">
        <f>IF(ISNA(VLOOKUP($A49,Table3[],8,FALSE)),"None",VLOOKUP($A49,Table3[],8,FALSE))</f>
        <v>None</v>
      </c>
      <c r="T49" s="84" t="str">
        <f>IF(ISNA(VLOOKUP($A49,Table3[],13,FALSE)),"Unknown",VLOOKUP($A49,Table3[],13,FALSE))</f>
        <v>Unknown</v>
      </c>
      <c r="U49" s="85" t="str">
        <f>IF(ISNA(VLOOKUP($A49,Table3[],14,FALSE)),"Unknown",VLOOKUP($A49,Table3[],14,FALSE))</f>
        <v>Unknown</v>
      </c>
      <c r="V49" s="84">
        <f>IF(ISNA(VLOOKUP($A49,Table3[],21,FALSE)),0,VLOOKUP($A49,Table3[],21,FALSE))</f>
        <v>0</v>
      </c>
      <c r="W49" s="85">
        <f>IF(ISNA(VLOOKUP($A49,Table3[],22,FALSE)),0,VLOOKUP($A49,Table3[],22,FALSE))</f>
        <v>0</v>
      </c>
    </row>
    <row r="50" spans="1:23" s="73" customFormat="1" x14ac:dyDescent="0.25">
      <c r="A50" s="35">
        <v>262</v>
      </c>
      <c r="B50" s="138" t="str">
        <f>VLOOKUP(A50,Registry!$A$4:$AA$241,2,FALSE)</f>
        <v>Northern Hill Estates</v>
      </c>
      <c r="C50" s="138" t="str">
        <f>VLOOKUP(A50,Registry!$A$4:$AA$241,3,FALSE)</f>
        <v>Caledonia</v>
      </c>
      <c r="D50" s="138" t="str">
        <f>VLOOKUP(A50,Registry!$A$4:$AA$241,4,FALSE)</f>
        <v>Lyndon</v>
      </c>
      <c r="E50" s="138">
        <f>IF(VLOOKUP(A50,Registry!$A$4:$AA$241,7,FALSE)=0,"",VLOOKUP(A50,Registry!$A$4:$AA$241,7,FALSE))</f>
        <v>1982</v>
      </c>
      <c r="F50" s="138" t="str">
        <f>IF(VLOOKUP(A50,Registry!$A$4:$AA$241,20,FALSE)=0,"",VLOOKUP(A50,Registry!$A$4:$AA$241,20,FALSE))</f>
        <v>For profit</v>
      </c>
      <c r="G50" s="138">
        <f>VLOOKUP(A50,Registry!$A$4:$AA$241,21,FALSE)</f>
        <v>29</v>
      </c>
      <c r="H50" s="81">
        <f>VLOOKUP($A50,Table4[],36,FALSE)</f>
        <v>1</v>
      </c>
      <c r="I50" s="129">
        <f>VLOOKUP($A50,Table4[],41,FALSE)</f>
        <v>0.16554054054054054</v>
      </c>
      <c r="J50" s="81">
        <f>VLOOKUP($A50,Table4[],30,FALSE)</f>
        <v>3.4482758620689655E-2</v>
      </c>
      <c r="K50" s="82">
        <f>VLOOKUP($A50,Table4[],17,FALSE)</f>
        <v>1</v>
      </c>
      <c r="L50" s="82">
        <f>VLOOKUP($A50,Table4[],18,FALSE)</f>
        <v>0</v>
      </c>
      <c r="M50" s="82" t="str">
        <f>IF(VLOOKUP($A50,Table2[],8,FALSE)=0,"",VLOOKUP($A50,Table2[],8,FALSE))</f>
        <v>Municipal</v>
      </c>
      <c r="N50" s="82">
        <f>VLOOKUP($A50,Table2[],14,FALSE)</f>
        <v>0</v>
      </c>
      <c r="O50" s="82" t="str">
        <f>IF(VLOOKUP($A50,Table2[],15,FALSE)=0,"",VLOOKUP($A50,Table2[],15,FALSE))</f>
        <v>Municipal</v>
      </c>
      <c r="P50" s="82" t="str">
        <f>IF(VLOOKUP($A50,Table2[],16,FALSE)=0,"",VLOOKUP($A50,Table2[],16,FALSE))</f>
        <v/>
      </c>
      <c r="Q50" s="83" t="str">
        <f>IF(ISNA(VLOOKUP($A50,Table3[],6,FALSE)),"None",VLOOKUP($A50,Table3[],6,FALSE))</f>
        <v>None</v>
      </c>
      <c r="R50" s="83" t="str">
        <f>IF(ISNA(VLOOKUP($A50,Table3[],7,FALSE)),"Unknown",VLOOKUP($A50,Table3[],7,FALSE))</f>
        <v>Unknown</v>
      </c>
      <c r="S50" s="83" t="str">
        <f>IF(ISNA(VLOOKUP($A50,Table3[],8,FALSE)),"None",VLOOKUP($A50,Table3[],8,FALSE))</f>
        <v>None</v>
      </c>
      <c r="T50" s="84" t="str">
        <f>IF(ISNA(VLOOKUP($A50,Table3[],13,FALSE)),"Unknown",VLOOKUP($A50,Table3[],13,FALSE))</f>
        <v>Unknown</v>
      </c>
      <c r="U50" s="85" t="str">
        <f>IF(ISNA(VLOOKUP($A50,Table3[],14,FALSE)),"Unknown",VLOOKUP($A50,Table3[],14,FALSE))</f>
        <v>Unknown</v>
      </c>
      <c r="V50" s="84">
        <f>IF(ISNA(VLOOKUP($A50,Table3[],21,FALSE)),0,VLOOKUP($A50,Table3[],21,FALSE))</f>
        <v>0</v>
      </c>
      <c r="W50" s="85">
        <f>IF(ISNA(VLOOKUP($A50,Table3[],22,FALSE)),0,VLOOKUP($A50,Table3[],22,FALSE))</f>
        <v>0</v>
      </c>
    </row>
    <row r="51" spans="1:23" s="73" customFormat="1" x14ac:dyDescent="0.25">
      <c r="A51" s="35">
        <v>196</v>
      </c>
      <c r="B51" s="138" t="str">
        <f>VLOOKUP(A51,Registry!$A$4:$AA$241,2,FALSE)</f>
        <v>Riverview Estates</v>
      </c>
      <c r="C51" s="138" t="str">
        <f>VLOOKUP(A51,Registry!$A$4:$AA$241,3,FALSE)</f>
        <v>Caledonia</v>
      </c>
      <c r="D51" s="138" t="str">
        <f>VLOOKUP(A51,Registry!$A$4:$AA$241,4,FALSE)</f>
        <v>Lyndon</v>
      </c>
      <c r="E51" s="138">
        <f>IF(VLOOKUP(A51,Registry!$A$4:$AA$241,7,FALSE)=0,"",VLOOKUP(A51,Registry!$A$4:$AA$241,7,FALSE))</f>
        <v>1957</v>
      </c>
      <c r="F51" s="138" t="str">
        <f>IF(VLOOKUP(A51,Registry!$A$4:$AA$241,20,FALSE)=0,"",VLOOKUP(A51,Registry!$A$4:$AA$241,20,FALSE))</f>
        <v>For profit</v>
      </c>
      <c r="G51" s="138">
        <f>VLOOKUP(A51,Registry!$A$4:$AA$241,21,FALSE)</f>
        <v>34</v>
      </c>
      <c r="H51" s="81">
        <f>VLOOKUP($A51,Table4[],36,FALSE)</f>
        <v>0.8529411764705882</v>
      </c>
      <c r="I51" s="129">
        <f>VLOOKUP($A51,Table4[],41,FALSE)</f>
        <v>0.10759493670886076</v>
      </c>
      <c r="J51" s="81">
        <f>VLOOKUP($A51,Table4[],30,FALSE)</f>
        <v>0</v>
      </c>
      <c r="K51" s="82">
        <f>VLOOKUP($A51,Table4[],17,FALSE)</f>
        <v>2</v>
      </c>
      <c r="L51" s="82">
        <f>VLOOKUP($A51,Table4[],18,FALSE)</f>
        <v>0</v>
      </c>
      <c r="M51" s="82" t="str">
        <f>IF(VLOOKUP($A51,Table2[],8,FALSE)=0,"",VLOOKUP($A51,Table2[],8,FALSE))</f>
        <v>Municipal</v>
      </c>
      <c r="N51" s="82">
        <f>VLOOKUP($A51,Table2[],14,FALSE)</f>
        <v>1</v>
      </c>
      <c r="O51" s="82" t="str">
        <f>IF(VLOOKUP($A51,Table2[],15,FALSE)=0,"",VLOOKUP($A51,Table2[],15,FALSE))</f>
        <v>Municipal</v>
      </c>
      <c r="P51" s="82" t="str">
        <f>IF(VLOOKUP($A51,Table2[],16,FALSE)=0,"",VLOOKUP($A51,Table2[],16,FALSE))</f>
        <v>WW-7-1640</v>
      </c>
      <c r="Q51" s="83" t="str">
        <f>IF(ISNA(VLOOKUP($A51,Table3[],6,FALSE)),"None",VLOOKUP($A51,Table3[],6,FALSE))</f>
        <v>Floodway</v>
      </c>
      <c r="R51" s="83" t="str">
        <f>IF(ISNA(VLOOKUP($A51,Table3[],7,FALSE)),"Unknown",VLOOKUP($A51,Table3[],7,FALSE))</f>
        <v>Unknown</v>
      </c>
      <c r="S51" s="83" t="str">
        <f>IF(ISNA(VLOOKUP($A51,Table3[],8,FALSE)),"None",VLOOKUP($A51,Table3[],8,FALSE))</f>
        <v>Not Available</v>
      </c>
      <c r="T51" s="84">
        <f>IF(ISNA(VLOOKUP($A51,Table3[],13,FALSE)),"Unknown",VLOOKUP($A51,Table3[],13,FALSE))</f>
        <v>8</v>
      </c>
      <c r="U51" s="85">
        <f>IF(ISNA(VLOOKUP($A51,Table3[],14,FALSE)),"Unknown",VLOOKUP($A51,Table3[],14,FALSE))</f>
        <v>0.23529411764705882</v>
      </c>
      <c r="V51" s="84">
        <f>IF(ISNA(VLOOKUP($A51,Table3[],21,FALSE)),0,VLOOKUP($A51,Table3[],21,FALSE))</f>
        <v>19</v>
      </c>
      <c r="W51" s="85">
        <f>IF(ISNA(VLOOKUP($A51,Table3[],22,FALSE)),0,VLOOKUP($A51,Table3[],22,FALSE))</f>
        <v>0.55882352941176472</v>
      </c>
    </row>
    <row r="52" spans="1:23" s="73" customFormat="1" x14ac:dyDescent="0.25">
      <c r="A52" s="35">
        <v>260</v>
      </c>
      <c r="B52" s="138" t="str">
        <f>VLOOKUP(A52,Registry!$A$4:$AA$241,2,FALSE)</f>
        <v>Woodland Heights Mobile Home Park</v>
      </c>
      <c r="C52" s="138" t="str">
        <f>VLOOKUP(A52,Registry!$A$4:$AA$241,3,FALSE)</f>
        <v>Caledonia</v>
      </c>
      <c r="D52" s="138" t="str">
        <f>VLOOKUP(A52,Registry!$A$4:$AA$241,4,FALSE)</f>
        <v>Lyndon</v>
      </c>
      <c r="E52" s="138">
        <f>IF(VLOOKUP(A52,Registry!$A$4:$AA$241,7,FALSE)=0,"",VLOOKUP(A52,Registry!$A$4:$AA$241,7,FALSE))</f>
        <v>1989</v>
      </c>
      <c r="F52" s="138" t="str">
        <f>IF(VLOOKUP(A52,Registry!$A$4:$AA$241,20,FALSE)=0,"",VLOOKUP(A52,Registry!$A$4:$AA$241,20,FALSE))</f>
        <v>For profit</v>
      </c>
      <c r="G52" s="138">
        <f>VLOOKUP(A52,Registry!$A$4:$AA$241,21,FALSE)</f>
        <v>34</v>
      </c>
      <c r="H52" s="81">
        <f>VLOOKUP($A52,Table4[],36,FALSE)</f>
        <v>1</v>
      </c>
      <c r="I52" s="129">
        <f>VLOOKUP($A52,Table4[],41,FALSE)</f>
        <v>0.15</v>
      </c>
      <c r="J52" s="81">
        <f>VLOOKUP($A52,Table4[],30,FALSE)</f>
        <v>0</v>
      </c>
      <c r="K52" s="82">
        <f>VLOOKUP($A52,Table4[],17,FALSE)</f>
        <v>4</v>
      </c>
      <c r="L52" s="82">
        <f>VLOOKUP($A52,Table4[],18,FALSE)</f>
        <v>0</v>
      </c>
      <c r="M52" s="82" t="str">
        <f>IF(VLOOKUP($A52,Table2[],8,FALSE)=0,"",VLOOKUP($A52,Table2[],8,FALSE))</f>
        <v>Municipal</v>
      </c>
      <c r="N52" s="82">
        <f>VLOOKUP($A52,Table2[],14,FALSE)</f>
        <v>0</v>
      </c>
      <c r="O52" s="82" t="str">
        <f>IF(VLOOKUP($A52,Table2[],15,FALSE)=0,"",VLOOKUP($A52,Table2[],15,FALSE))</f>
        <v>Municipal</v>
      </c>
      <c r="P52" s="82" t="str">
        <f>IF(VLOOKUP($A52,Table2[],16,FALSE)=0,"",VLOOKUP($A52,Table2[],16,FALSE))</f>
        <v>MH-7-0004, WW-7-1562</v>
      </c>
      <c r="Q52" s="83" t="str">
        <f>IF(ISNA(VLOOKUP($A52,Table3[],6,FALSE)),"None",VLOOKUP($A52,Table3[],6,FALSE))</f>
        <v>None</v>
      </c>
      <c r="R52" s="83" t="str">
        <f>IF(ISNA(VLOOKUP($A52,Table3[],7,FALSE)),"Unknown",VLOOKUP($A52,Table3[],7,FALSE))</f>
        <v>Unknown</v>
      </c>
      <c r="S52" s="83" t="str">
        <f>IF(ISNA(VLOOKUP($A52,Table3[],8,FALSE)),"None",VLOOKUP($A52,Table3[],8,FALSE))</f>
        <v>None</v>
      </c>
      <c r="T52" s="84" t="str">
        <f>IF(ISNA(VLOOKUP($A52,Table3[],13,FALSE)),"Unknown",VLOOKUP($A52,Table3[],13,FALSE))</f>
        <v>Unknown</v>
      </c>
      <c r="U52" s="85" t="str">
        <f>IF(ISNA(VLOOKUP($A52,Table3[],14,FALSE)),"Unknown",VLOOKUP($A52,Table3[],14,FALSE))</f>
        <v>Unknown</v>
      </c>
      <c r="V52" s="84">
        <f>IF(ISNA(VLOOKUP($A52,Table3[],21,FALSE)),0,VLOOKUP($A52,Table3[],21,FALSE))</f>
        <v>0</v>
      </c>
      <c r="W52" s="85">
        <f>IF(ISNA(VLOOKUP($A52,Table3[],22,FALSE)),0,VLOOKUP($A52,Table3[],22,FALSE))</f>
        <v>0</v>
      </c>
    </row>
    <row r="53" spans="1:23" s="73" customFormat="1" x14ac:dyDescent="0.25">
      <c r="A53" s="35">
        <v>123</v>
      </c>
      <c r="B53" s="138" t="str">
        <f>VLOOKUP(A53,Registry!$A$4:$AA$241,2,FALSE)</f>
        <v>Green Lantern Mobile Home Park</v>
      </c>
      <c r="C53" s="138" t="str">
        <f>VLOOKUP(A53,Registry!$A$4:$AA$241,3,FALSE)</f>
        <v>Caledonia</v>
      </c>
      <c r="D53" s="138" t="str">
        <f>VLOOKUP(A53,Registry!$A$4:$AA$241,4,FALSE)</f>
        <v>St. Johnsbury</v>
      </c>
      <c r="E53" s="138">
        <f>IF(VLOOKUP(A53,Registry!$A$4:$AA$241,7,FALSE)=0,"",VLOOKUP(A53,Registry!$A$4:$AA$241,7,FALSE))</f>
        <v>1955</v>
      </c>
      <c r="F53" s="138" t="str">
        <f>IF(VLOOKUP(A53,Registry!$A$4:$AA$241,20,FALSE)=0,"",VLOOKUP(A53,Registry!$A$4:$AA$241,20,FALSE))</f>
        <v>For profit</v>
      </c>
      <c r="G53" s="138">
        <f>VLOOKUP(A53,Registry!$A$4:$AA$241,21,FALSE)</f>
        <v>54</v>
      </c>
      <c r="H53" s="81">
        <f>VLOOKUP($A53,Table4[],36,FALSE)</f>
        <v>0.62962962962962965</v>
      </c>
      <c r="I53" s="129">
        <f>VLOOKUP($A53,Table4[],41,FALSE)</f>
        <v>2.9801324503311258E-2</v>
      </c>
      <c r="J53" s="81">
        <f>VLOOKUP($A53,Table4[],30,FALSE)</f>
        <v>1.8518518518518517E-2</v>
      </c>
      <c r="K53" s="82">
        <f>VLOOKUP($A53,Table4[],17,FALSE)</f>
        <v>0</v>
      </c>
      <c r="L53" s="82">
        <f>VLOOKUP($A53,Table4[],18,FALSE)</f>
        <v>-1</v>
      </c>
      <c r="M53" s="82" t="str">
        <f>IF(VLOOKUP($A53,Table2[],8,FALSE)=0,"",VLOOKUP($A53,Table2[],8,FALSE))</f>
        <v>Consecutive Community</v>
      </c>
      <c r="N53" s="82">
        <f>VLOOKUP($A53,Table2[],14,FALSE)</f>
        <v>0</v>
      </c>
      <c r="O53" s="82" t="str">
        <f>IF(VLOOKUP($A53,Table2[],15,FALSE)=0,"",VLOOKUP($A53,Table2[],15,FALSE))</f>
        <v>Individual On-Site</v>
      </c>
      <c r="P53" s="82" t="str">
        <f>IF(VLOOKUP($A53,Table2[],16,FALSE)=0,"",VLOOKUP($A53,Table2[],16,FALSE))</f>
        <v/>
      </c>
      <c r="Q53" s="83" t="str">
        <f>IF(ISNA(VLOOKUP($A53,Table3[],6,FALSE)),"None",VLOOKUP($A53,Table3[],6,FALSE))</f>
        <v>None</v>
      </c>
      <c r="R53" s="83" t="str">
        <f>IF(ISNA(VLOOKUP($A53,Table3[],7,FALSE)),"Unknown",VLOOKUP($A53,Table3[],7,FALSE))</f>
        <v>Unknown</v>
      </c>
      <c r="S53" s="83" t="str">
        <f>IF(ISNA(VLOOKUP($A53,Table3[],8,FALSE)),"None",VLOOKUP($A53,Table3[],8,FALSE))</f>
        <v>None</v>
      </c>
      <c r="T53" s="84" t="str">
        <f>IF(ISNA(VLOOKUP($A53,Table3[],13,FALSE)),"Unknown",VLOOKUP($A53,Table3[],13,FALSE))</f>
        <v>Unknown</v>
      </c>
      <c r="U53" s="85" t="str">
        <f>IF(ISNA(VLOOKUP($A53,Table3[],14,FALSE)),"Unknown",VLOOKUP($A53,Table3[],14,FALSE))</f>
        <v>Unknown</v>
      </c>
      <c r="V53" s="84">
        <f>IF(ISNA(VLOOKUP($A53,Table3[],21,FALSE)),0,VLOOKUP($A53,Table3[],21,FALSE))</f>
        <v>0</v>
      </c>
      <c r="W53" s="85">
        <f>IF(ISNA(VLOOKUP($A53,Table3[],22,FALSE)),0,VLOOKUP($A53,Table3[],22,FALSE))</f>
        <v>0</v>
      </c>
    </row>
    <row r="54" spans="1:23" s="73" customFormat="1" x14ac:dyDescent="0.25">
      <c r="A54" s="35">
        <v>189</v>
      </c>
      <c r="B54" s="138" t="str">
        <f>VLOOKUP(A54,Registry!$A$4:$AA$241,2,FALSE)</f>
        <v>McGill Avenue MHP</v>
      </c>
      <c r="C54" s="138" t="str">
        <f>VLOOKUP(A54,Registry!$A$4:$AA$241,3,FALSE)</f>
        <v>Caledonia</v>
      </c>
      <c r="D54" s="138" t="str">
        <f>VLOOKUP(A54,Registry!$A$4:$AA$241,4,FALSE)</f>
        <v>St. Johnsbury</v>
      </c>
      <c r="E54" s="138">
        <f>IF(VLOOKUP(A54,Registry!$A$4:$AA$241,7,FALSE)=0,"",VLOOKUP(A54,Registry!$A$4:$AA$241,7,FALSE))</f>
        <v>1955</v>
      </c>
      <c r="F54" s="138" t="str">
        <f>IF(VLOOKUP(A54,Registry!$A$4:$AA$241,20,FALSE)=0,"",VLOOKUP(A54,Registry!$A$4:$AA$241,20,FALSE))</f>
        <v>For profit</v>
      </c>
      <c r="G54" s="138">
        <f>VLOOKUP(A54,Registry!$A$4:$AA$241,21,FALSE)</f>
        <v>10</v>
      </c>
      <c r="H54" s="81">
        <f>VLOOKUP($A54,Table4[],36,FALSE)</f>
        <v>0.9</v>
      </c>
      <c r="I54" s="129">
        <f>VLOOKUP($A54,Table4[],41,FALSE)</f>
        <v>7.8474284821009793E-2</v>
      </c>
      <c r="J54" s="81">
        <f>VLOOKUP($A54,Table4[],30,FALSE)</f>
        <v>0</v>
      </c>
      <c r="K54" s="82">
        <f>VLOOKUP($A54,Table4[],17,FALSE)</f>
        <v>1</v>
      </c>
      <c r="L54" s="82">
        <f>VLOOKUP($A54,Table4[],18,FALSE)</f>
        <v>0</v>
      </c>
      <c r="M54" s="82" t="str">
        <f>IF(VLOOKUP($A54,Table2[],8,FALSE)=0,"",VLOOKUP($A54,Table2[],8,FALSE))</f>
        <v>Municipal</v>
      </c>
      <c r="N54" s="82">
        <f>VLOOKUP($A54,Table2[],14,FALSE)</f>
        <v>0</v>
      </c>
      <c r="O54" s="82" t="str">
        <f>IF(VLOOKUP($A54,Table2[],15,FALSE)=0,"",VLOOKUP($A54,Table2[],15,FALSE))</f>
        <v>Municipal</v>
      </c>
      <c r="P54" s="82" t="str">
        <f>IF(VLOOKUP($A54,Table2[],16,FALSE)=0,"",VLOOKUP($A54,Table2[],16,FALSE))</f>
        <v/>
      </c>
      <c r="Q54" s="83" t="str">
        <f>IF(ISNA(VLOOKUP($A54,Table3[],6,FALSE)),"None",VLOOKUP($A54,Table3[],6,FALSE))</f>
        <v>None</v>
      </c>
      <c r="R54" s="83" t="str">
        <f>IF(ISNA(VLOOKUP($A54,Table3[],7,FALSE)),"Unknown",VLOOKUP($A54,Table3[],7,FALSE))</f>
        <v>Unknown</v>
      </c>
      <c r="S54" s="83" t="str">
        <f>IF(ISNA(VLOOKUP($A54,Table3[],8,FALSE)),"None",VLOOKUP($A54,Table3[],8,FALSE))</f>
        <v>None</v>
      </c>
      <c r="T54" s="84" t="str">
        <f>IF(ISNA(VLOOKUP($A54,Table3[],13,FALSE)),"Unknown",VLOOKUP($A54,Table3[],13,FALSE))</f>
        <v>Unknown</v>
      </c>
      <c r="U54" s="85" t="str">
        <f>IF(ISNA(VLOOKUP($A54,Table3[],14,FALSE)),"Unknown",VLOOKUP($A54,Table3[],14,FALSE))</f>
        <v>Unknown</v>
      </c>
      <c r="V54" s="84">
        <f>IF(ISNA(VLOOKUP($A54,Table3[],21,FALSE)),0,VLOOKUP($A54,Table3[],21,FALSE))</f>
        <v>0</v>
      </c>
      <c r="W54" s="85">
        <f>IF(ISNA(VLOOKUP($A54,Table3[],22,FALSE)),0,VLOOKUP($A54,Table3[],22,FALSE))</f>
        <v>0</v>
      </c>
    </row>
    <row r="55" spans="1:23" s="73" customFormat="1" x14ac:dyDescent="0.25">
      <c r="A55" s="35">
        <v>198</v>
      </c>
      <c r="B55" s="138" t="str">
        <f>VLOOKUP(A55,Registry!$A$4:$AA$241,2,FALSE)</f>
        <v>MT Pleasant MHP, LLC</v>
      </c>
      <c r="C55" s="138" t="str">
        <f>VLOOKUP(A55,Registry!$A$4:$AA$241,3,FALSE)</f>
        <v>Caledonia</v>
      </c>
      <c r="D55" s="138" t="str">
        <f>VLOOKUP(A55,Registry!$A$4:$AA$241,4,FALSE)</f>
        <v>St. Johnsbury</v>
      </c>
      <c r="E55" s="138">
        <f>IF(VLOOKUP(A55,Registry!$A$4:$AA$241,7,FALSE)=0,"",VLOOKUP(A55,Registry!$A$4:$AA$241,7,FALSE))</f>
        <v>1982</v>
      </c>
      <c r="F55" s="138" t="str">
        <f>IF(VLOOKUP(A55,Registry!$A$4:$AA$241,20,FALSE)=0,"",VLOOKUP(A55,Registry!$A$4:$AA$241,20,FALSE))</f>
        <v>For profit</v>
      </c>
      <c r="G55" s="138">
        <f>VLOOKUP(A55,Registry!$A$4:$AA$241,21,FALSE)</f>
        <v>91</v>
      </c>
      <c r="H55" s="81">
        <f>VLOOKUP($A55,Table4[],36,FALSE)</f>
        <v>0.91208791208791207</v>
      </c>
      <c r="I55" s="129">
        <f>VLOOKUP($A55,Table4[],41,FALSE)</f>
        <v>0.10130718954248366</v>
      </c>
      <c r="J55" s="81">
        <f>VLOOKUP($A55,Table4[],30,FALSE)</f>
        <v>0</v>
      </c>
      <c r="K55" s="82">
        <f>VLOOKUP($A55,Table4[],17,FALSE)</f>
        <v>-3</v>
      </c>
      <c r="L55" s="82">
        <f>VLOOKUP($A55,Table4[],18,FALSE)</f>
        <v>-1</v>
      </c>
      <c r="M55" s="82" t="str">
        <f>IF(VLOOKUP($A55,Table2[],8,FALSE)=0,"",VLOOKUP($A55,Table2[],8,FALSE))</f>
        <v>Municipal</v>
      </c>
      <c r="N55" s="82">
        <f>VLOOKUP($A55,Table2[],14,FALSE)</f>
        <v>0</v>
      </c>
      <c r="O55" s="82" t="str">
        <f>IF(VLOOKUP($A55,Table2[],15,FALSE)=0,"",VLOOKUP($A55,Table2[],15,FALSE))</f>
        <v>Municipal</v>
      </c>
      <c r="P55" s="82" t="str">
        <f>IF(VLOOKUP($A55,Table2[],16,FALSE)=0,"",VLOOKUP($A55,Table2[],16,FALSE))</f>
        <v>MH-7-0003 to 0003-2a</v>
      </c>
      <c r="Q55" s="83" t="str">
        <f>IF(ISNA(VLOOKUP($A55,Table3[],6,FALSE)),"None",VLOOKUP($A55,Table3[],6,FALSE))</f>
        <v>None</v>
      </c>
      <c r="R55" s="83" t="str">
        <f>IF(ISNA(VLOOKUP($A55,Table3[],7,FALSE)),"Unknown",VLOOKUP($A55,Table3[],7,FALSE))</f>
        <v>Unknown</v>
      </c>
      <c r="S55" s="83" t="str">
        <f>IF(ISNA(VLOOKUP($A55,Table3[],8,FALSE)),"None",VLOOKUP($A55,Table3[],8,FALSE))</f>
        <v>None</v>
      </c>
      <c r="T55" s="84" t="str">
        <f>IF(ISNA(VLOOKUP($A55,Table3[],13,FALSE)),"Unknown",VLOOKUP($A55,Table3[],13,FALSE))</f>
        <v>Unknown</v>
      </c>
      <c r="U55" s="85" t="str">
        <f>IF(ISNA(VLOOKUP($A55,Table3[],14,FALSE)),"Unknown",VLOOKUP($A55,Table3[],14,FALSE))</f>
        <v>Unknown</v>
      </c>
      <c r="V55" s="84">
        <f>IF(ISNA(VLOOKUP($A55,Table3[],21,FALSE)),0,VLOOKUP($A55,Table3[],21,FALSE))</f>
        <v>0</v>
      </c>
      <c r="W55" s="85">
        <f>IF(ISNA(VLOOKUP($A55,Table3[],22,FALSE)),0,VLOOKUP($A55,Table3[],22,FALSE))</f>
        <v>0</v>
      </c>
    </row>
    <row r="56" spans="1:23" s="73" customFormat="1" x14ac:dyDescent="0.25">
      <c r="A56" s="35">
        <v>125</v>
      </c>
      <c r="B56" s="138" t="str">
        <f>VLOOKUP(A56,Registry!$A$4:$AA$241,2,FALSE)</f>
        <v>Oak Street Mobile Home Park</v>
      </c>
      <c r="C56" s="138" t="str">
        <f>VLOOKUP(A56,Registry!$A$4:$AA$241,3,FALSE)</f>
        <v>Caledonia</v>
      </c>
      <c r="D56" s="138" t="str">
        <f>VLOOKUP(A56,Registry!$A$4:$AA$241,4,FALSE)</f>
        <v>St. Johnsbury</v>
      </c>
      <c r="E56" s="138">
        <f>IF(VLOOKUP(A56,Registry!$A$4:$AA$241,7,FALSE)=0,"",VLOOKUP(A56,Registry!$A$4:$AA$241,7,FALSE))</f>
        <v>1956</v>
      </c>
      <c r="F56" s="138" t="str">
        <f>IF(VLOOKUP(A56,Registry!$A$4:$AA$241,20,FALSE)=0,"",VLOOKUP(A56,Registry!$A$4:$AA$241,20,FALSE))</f>
        <v>For profit</v>
      </c>
      <c r="G56" s="138">
        <f>VLOOKUP(A56,Registry!$A$4:$AA$241,21,FALSE)</f>
        <v>8</v>
      </c>
      <c r="H56" s="81">
        <f>VLOOKUP($A56,Table4[],36,FALSE)</f>
        <v>0.5</v>
      </c>
      <c r="I56" s="129">
        <f>VLOOKUP($A56,Table4[],41,FALSE)</f>
        <v>8.0385852090032156E-2</v>
      </c>
      <c r="J56" s="81">
        <f>VLOOKUP($A56,Table4[],30,FALSE)</f>
        <v>0</v>
      </c>
      <c r="K56" s="82">
        <f>VLOOKUP($A56,Table4[],17,FALSE)</f>
        <v>0</v>
      </c>
      <c r="L56" s="82">
        <f>VLOOKUP($A56,Table4[],18,FALSE)</f>
        <v>0</v>
      </c>
      <c r="M56" s="82" t="str">
        <f>IF(VLOOKUP($A56,Table2[],8,FALSE)=0,"",VLOOKUP($A56,Table2[],8,FALSE))</f>
        <v>Municipal</v>
      </c>
      <c r="N56" s="82">
        <f>VLOOKUP($A56,Table2[],14,FALSE)</f>
        <v>0</v>
      </c>
      <c r="O56" s="82" t="str">
        <f>IF(VLOOKUP($A56,Table2[],15,FALSE)=0,"",VLOOKUP($A56,Table2[],15,FALSE))</f>
        <v>Municipal</v>
      </c>
      <c r="P56" s="82" t="str">
        <f>IF(VLOOKUP($A56,Table2[],16,FALSE)=0,"",VLOOKUP($A56,Table2[],16,FALSE))</f>
        <v/>
      </c>
      <c r="Q56" s="83" t="str">
        <f>IF(ISNA(VLOOKUP($A56,Table3[],6,FALSE)),"None",VLOOKUP($A56,Table3[],6,FALSE))</f>
        <v>None</v>
      </c>
      <c r="R56" s="83" t="str">
        <f>IF(ISNA(VLOOKUP($A56,Table3[],7,FALSE)),"Unknown",VLOOKUP($A56,Table3[],7,FALSE))</f>
        <v>Unknown</v>
      </c>
      <c r="S56" s="83" t="str">
        <f>IF(ISNA(VLOOKUP($A56,Table3[],8,FALSE)),"None",VLOOKUP($A56,Table3[],8,FALSE))</f>
        <v>None</v>
      </c>
      <c r="T56" s="84" t="str">
        <f>IF(ISNA(VLOOKUP($A56,Table3[],13,FALSE)),"Unknown",VLOOKUP($A56,Table3[],13,FALSE))</f>
        <v>Unknown</v>
      </c>
      <c r="U56" s="85" t="str">
        <f>IF(ISNA(VLOOKUP($A56,Table3[],14,FALSE)),"Unknown",VLOOKUP($A56,Table3[],14,FALSE))</f>
        <v>Unknown</v>
      </c>
      <c r="V56" s="84">
        <f>IF(ISNA(VLOOKUP($A56,Table3[],21,FALSE)),0,VLOOKUP($A56,Table3[],21,FALSE))</f>
        <v>0</v>
      </c>
      <c r="W56" s="85">
        <f>IF(ISNA(VLOOKUP($A56,Table3[],22,FALSE)),0,VLOOKUP($A56,Table3[],22,FALSE))</f>
        <v>0</v>
      </c>
    </row>
    <row r="57" spans="1:23" s="73" customFormat="1" x14ac:dyDescent="0.25">
      <c r="A57" s="35">
        <v>138</v>
      </c>
      <c r="B57" s="138" t="str">
        <f>VLOOKUP(A57,Registry!$A$4:$AA$241,2,FALSE)</f>
        <v>Fernwood Manor</v>
      </c>
      <c r="C57" s="138" t="str">
        <f>VLOOKUP(A57,Registry!$A$4:$AA$241,3,FALSE)</f>
        <v>Chittenden</v>
      </c>
      <c r="D57" s="138" t="str">
        <f>VLOOKUP(A57,Registry!$A$4:$AA$241,4,FALSE)</f>
        <v>Bolton</v>
      </c>
      <c r="E57" s="138">
        <f>IF(VLOOKUP(A57,Registry!$A$4:$AA$241,7,FALSE)=0,"",VLOOKUP(A57,Registry!$A$4:$AA$241,7,FALSE))</f>
        <v>1978</v>
      </c>
      <c r="F57" s="138" t="str">
        <f>IF(VLOOKUP(A57,Registry!$A$4:$AA$241,20,FALSE)=0,"",VLOOKUP(A57,Registry!$A$4:$AA$241,20,FALSE))</f>
        <v>Non-profit</v>
      </c>
      <c r="G57" s="138">
        <f>VLOOKUP(A57,Registry!$A$4:$AA$241,21,FALSE)</f>
        <v>78</v>
      </c>
      <c r="H57" s="81">
        <f>VLOOKUP($A57,Table4[],36,FALSE)</f>
        <v>1</v>
      </c>
      <c r="I57" s="129">
        <f>VLOOKUP($A57,Table4[],41,FALSE)</f>
        <v>6.1363636363636363E-2</v>
      </c>
      <c r="J57" s="81">
        <f>VLOOKUP($A57,Table4[],30,FALSE)</f>
        <v>0</v>
      </c>
      <c r="K57" s="82">
        <f>VLOOKUP($A57,Table4[],17,FALSE)</f>
        <v>0</v>
      </c>
      <c r="L57" s="82">
        <f>VLOOKUP($A57,Table4[],18,FALSE)</f>
        <v>0</v>
      </c>
      <c r="M57" s="82" t="str">
        <f>IF(VLOOKUP($A57,Table2[],8,FALSE)=0,"",VLOOKUP($A57,Table2[],8,FALSE))</f>
        <v xml:space="preserve">Community </v>
      </c>
      <c r="N57" s="82">
        <f>VLOOKUP($A57,Table2[],14,FALSE)</f>
        <v>0</v>
      </c>
      <c r="O57" s="82" t="str">
        <f>IF(VLOOKUP($A57,Table2[],15,FALSE)=0,"",VLOOKUP($A57,Table2[],15,FALSE))</f>
        <v>Community On-Site</v>
      </c>
      <c r="P57" s="82" t="str">
        <f>IF(VLOOKUP($A57,Table2[],16,FALSE)=0,"",VLOOKUP($A57,Table2[],16,FALSE))</f>
        <v>ID-9-0131</v>
      </c>
      <c r="Q57" s="83" t="str">
        <f>IF(ISNA(VLOOKUP($A57,Table3[],6,FALSE)),"None",VLOOKUP($A57,Table3[],6,FALSE))</f>
        <v>None</v>
      </c>
      <c r="R57" s="83" t="str">
        <f>IF(ISNA(VLOOKUP($A57,Table3[],7,FALSE)),"Unknown",VLOOKUP($A57,Table3[],7,FALSE))</f>
        <v>Unknown</v>
      </c>
      <c r="S57" s="83" t="str">
        <f>IF(ISNA(VLOOKUP($A57,Table3[],8,FALSE)),"None",VLOOKUP($A57,Table3[],8,FALSE))</f>
        <v>None</v>
      </c>
      <c r="T57" s="84" t="str">
        <f>IF(ISNA(VLOOKUP($A57,Table3[],13,FALSE)),"Unknown",VLOOKUP($A57,Table3[],13,FALSE))</f>
        <v>Unknown</v>
      </c>
      <c r="U57" s="85" t="str">
        <f>IF(ISNA(VLOOKUP($A57,Table3[],14,FALSE)),"Unknown",VLOOKUP($A57,Table3[],14,FALSE))</f>
        <v>Unknown</v>
      </c>
      <c r="V57" s="84">
        <f>IF(ISNA(VLOOKUP($A57,Table3[],21,FALSE)),0,VLOOKUP($A57,Table3[],21,FALSE))</f>
        <v>0</v>
      </c>
      <c r="W57" s="85">
        <f>IF(ISNA(VLOOKUP($A57,Table3[],22,FALSE)),0,VLOOKUP($A57,Table3[],22,FALSE))</f>
        <v>0</v>
      </c>
    </row>
    <row r="58" spans="1:23" s="73" customFormat="1" x14ac:dyDescent="0.25">
      <c r="A58" s="35">
        <v>68</v>
      </c>
      <c r="B58" s="138" t="str">
        <f>VLOOKUP(A58,Registry!$A$4:$AA$241,2,FALSE)</f>
        <v>North Avenue Co-op</v>
      </c>
      <c r="C58" s="138" t="str">
        <f>VLOOKUP(A58,Registry!$A$4:$AA$241,3,FALSE)</f>
        <v>Chittenden</v>
      </c>
      <c r="D58" s="138" t="str">
        <f>VLOOKUP(A58,Registry!$A$4:$AA$241,4,FALSE)</f>
        <v>Burlington</v>
      </c>
      <c r="E58" s="138">
        <f>IF(VLOOKUP(A58,Registry!$A$4:$AA$241,7,FALSE)=0,"",VLOOKUP(A58,Registry!$A$4:$AA$241,7,FALSE))</f>
        <v>1923</v>
      </c>
      <c r="F58" s="138" t="str">
        <f>IF(VLOOKUP(A58,Registry!$A$4:$AA$241,20,FALSE)=0,"",VLOOKUP(A58,Registry!$A$4:$AA$241,20,FALSE))</f>
        <v>Cooperative</v>
      </c>
      <c r="G58" s="138">
        <f>VLOOKUP(A58,Registry!$A$4:$AA$241,21,FALSE)</f>
        <v>119</v>
      </c>
      <c r="H58" s="81">
        <f>VLOOKUP($A58,Table4[],36,FALSE)</f>
        <v>0.94957983193277307</v>
      </c>
      <c r="I58" s="129">
        <f>VLOOKUP($A58,Table4[],41,FALSE)</f>
        <v>2.6506024096385541E-2</v>
      </c>
      <c r="J58" s="81">
        <f>VLOOKUP($A58,Table4[],30,FALSE)</f>
        <v>-1.680672268907563E-2</v>
      </c>
      <c r="K58" s="82">
        <f>VLOOKUP($A58,Table4[],17,FALSE)</f>
        <v>0</v>
      </c>
      <c r="L58" s="82">
        <f>VLOOKUP($A58,Table4[],18,FALSE)</f>
        <v>-4</v>
      </c>
      <c r="M58" s="82" t="str">
        <f>IF(VLOOKUP($A58,Table2[],8,FALSE)=0,"",VLOOKUP($A58,Table2[],8,FALSE))</f>
        <v>Consecutive Community</v>
      </c>
      <c r="N58" s="82">
        <f>VLOOKUP($A58,Table2[],14,FALSE)</f>
        <v>0</v>
      </c>
      <c r="O58" s="82" t="str">
        <f>IF(VLOOKUP($A58,Table2[],15,FALSE)=0,"",VLOOKUP($A58,Table2[],15,FALSE))</f>
        <v>Municipal</v>
      </c>
      <c r="P58" s="82" t="str">
        <f>IF(VLOOKUP($A58,Table2[],16,FALSE)=0,"",VLOOKUP($A58,Table2[],16,FALSE))</f>
        <v/>
      </c>
      <c r="Q58" s="83" t="str">
        <f>IF(ISNA(VLOOKUP($A58,Table3[],6,FALSE)),"None",VLOOKUP($A58,Table3[],6,FALSE))</f>
        <v>None</v>
      </c>
      <c r="R58" s="83" t="str">
        <f>IF(ISNA(VLOOKUP($A58,Table3[],7,FALSE)),"Unknown",VLOOKUP($A58,Table3[],7,FALSE))</f>
        <v>Unknown</v>
      </c>
      <c r="S58" s="83" t="str">
        <f>IF(ISNA(VLOOKUP($A58,Table3[],8,FALSE)),"None",VLOOKUP($A58,Table3[],8,FALSE))</f>
        <v>None</v>
      </c>
      <c r="T58" s="84" t="str">
        <f>IF(ISNA(VLOOKUP($A58,Table3[],13,FALSE)),"Unknown",VLOOKUP($A58,Table3[],13,FALSE))</f>
        <v>Unknown</v>
      </c>
      <c r="U58" s="85" t="str">
        <f>IF(ISNA(VLOOKUP($A58,Table3[],14,FALSE)),"Unknown",VLOOKUP($A58,Table3[],14,FALSE))</f>
        <v>Unknown</v>
      </c>
      <c r="V58" s="84">
        <f>IF(ISNA(VLOOKUP($A58,Table3[],21,FALSE)),0,VLOOKUP($A58,Table3[],21,FALSE))</f>
        <v>0</v>
      </c>
      <c r="W58" s="85">
        <f>IF(ISNA(VLOOKUP($A58,Table3[],22,FALSE)),0,VLOOKUP($A58,Table3[],22,FALSE))</f>
        <v>0</v>
      </c>
    </row>
    <row r="59" spans="1:23" s="73" customFormat="1" x14ac:dyDescent="0.25">
      <c r="A59" s="35">
        <v>89</v>
      </c>
      <c r="B59" s="138" t="str">
        <f>VLOOKUP(A59,Registry!$A$4:$AA$241,2,FALSE)</f>
        <v>Tenney Mobile Home Park</v>
      </c>
      <c r="C59" s="138" t="str">
        <f>VLOOKUP(A59,Registry!$A$4:$AA$241,3,FALSE)</f>
        <v>Chittenden</v>
      </c>
      <c r="D59" s="138" t="str">
        <f>VLOOKUP(A59,Registry!$A$4:$AA$241,4,FALSE)</f>
        <v>Charlotte</v>
      </c>
      <c r="E59" s="138">
        <f>IF(VLOOKUP(A59,Registry!$A$4:$AA$241,7,FALSE)=0,"",VLOOKUP(A59,Registry!$A$4:$AA$241,7,FALSE))</f>
        <v>1966</v>
      </c>
      <c r="F59" s="138" t="str">
        <f>IF(VLOOKUP(A59,Registry!$A$4:$AA$241,20,FALSE)=0,"",VLOOKUP(A59,Registry!$A$4:$AA$241,20,FALSE))</f>
        <v>For profit</v>
      </c>
      <c r="G59" s="138">
        <f>VLOOKUP(A59,Registry!$A$4:$AA$241,21,FALSE)</f>
        <v>7</v>
      </c>
      <c r="H59" s="81">
        <f>VLOOKUP($A59,Table4[],36,FALSE)</f>
        <v>1</v>
      </c>
      <c r="I59" s="129">
        <f>VLOOKUP($A59,Table4[],41,FALSE)</f>
        <v>0.11155180961824492</v>
      </c>
      <c r="J59" s="81">
        <f>VLOOKUP($A59,Table4[],30,FALSE)</f>
        <v>0</v>
      </c>
      <c r="K59" s="82">
        <f>VLOOKUP($A59,Table4[],17,FALSE)</f>
        <v>0</v>
      </c>
      <c r="L59" s="82">
        <f>VLOOKUP($A59,Table4[],18,FALSE)</f>
        <v>0</v>
      </c>
      <c r="M59" s="82" t="str">
        <f>IF(VLOOKUP($A59,Table2[],8,FALSE)=0,"",VLOOKUP($A59,Table2[],8,FALSE))</f>
        <v>Small-Scale (potable, &lt;25 users)</v>
      </c>
      <c r="N59" s="82">
        <f>VLOOKUP($A59,Table2[],14,FALSE)</f>
        <v>0</v>
      </c>
      <c r="O59" s="82" t="str">
        <f>IF(VLOOKUP($A59,Table2[],15,FALSE)=0,"",VLOOKUP($A59,Table2[],15,FALSE))</f>
        <v>On-Site</v>
      </c>
      <c r="P59" s="82" t="str">
        <f>IF(VLOOKUP($A59,Table2[],16,FALSE)=0,"",VLOOKUP($A59,Table2[],16,FALSE))</f>
        <v/>
      </c>
      <c r="Q59" s="83" t="str">
        <f>IF(ISNA(VLOOKUP($A59,Table3[],6,FALSE)),"None",VLOOKUP($A59,Table3[],6,FALSE))</f>
        <v>None</v>
      </c>
      <c r="R59" s="83" t="str">
        <f>IF(ISNA(VLOOKUP($A59,Table3[],7,FALSE)),"Unknown",VLOOKUP($A59,Table3[],7,FALSE))</f>
        <v>Unknown</v>
      </c>
      <c r="S59" s="83" t="str">
        <f>IF(ISNA(VLOOKUP($A59,Table3[],8,FALSE)),"None",VLOOKUP($A59,Table3[],8,FALSE))</f>
        <v>None</v>
      </c>
      <c r="T59" s="84" t="str">
        <f>IF(ISNA(VLOOKUP($A59,Table3[],13,FALSE)),"Unknown",VLOOKUP($A59,Table3[],13,FALSE))</f>
        <v>Unknown</v>
      </c>
      <c r="U59" s="85" t="str">
        <f>IF(ISNA(VLOOKUP($A59,Table3[],14,FALSE)),"Unknown",VLOOKUP($A59,Table3[],14,FALSE))</f>
        <v>Unknown</v>
      </c>
      <c r="V59" s="84">
        <f>IF(ISNA(VLOOKUP($A59,Table3[],21,FALSE)),0,VLOOKUP($A59,Table3[],21,FALSE))</f>
        <v>0</v>
      </c>
      <c r="W59" s="85">
        <f>IF(ISNA(VLOOKUP($A59,Table3[],22,FALSE)),0,VLOOKUP($A59,Table3[],22,FALSE))</f>
        <v>0</v>
      </c>
    </row>
    <row r="60" spans="1:23" s="73" customFormat="1" x14ac:dyDescent="0.25">
      <c r="A60" s="35">
        <v>256</v>
      </c>
      <c r="B60" s="138" t="str">
        <f>VLOOKUP(A60,Registry!$A$4:$AA$241,2,FALSE)</f>
        <v>Breezy Acres Cooperative</v>
      </c>
      <c r="C60" s="138" t="str">
        <f>VLOOKUP(A60,Registry!$A$4:$AA$241,3,FALSE)</f>
        <v>Chittenden</v>
      </c>
      <c r="D60" s="138" t="str">
        <f>VLOOKUP(A60,Registry!$A$4:$AA$241,4,FALSE)</f>
        <v>Colchester</v>
      </c>
      <c r="E60" s="138">
        <f>IF(VLOOKUP(A60,Registry!$A$4:$AA$241,7,FALSE)=0,"",VLOOKUP(A60,Registry!$A$4:$AA$241,7,FALSE))</f>
        <v>1962</v>
      </c>
      <c r="F60" s="138" t="str">
        <f>IF(VLOOKUP(A60,Registry!$A$4:$AA$241,20,FALSE)=0,"",VLOOKUP(A60,Registry!$A$4:$AA$241,20,FALSE))</f>
        <v>Cooperative</v>
      </c>
      <c r="G60" s="138">
        <f>VLOOKUP(A60,Registry!$A$4:$AA$241,21,FALSE)</f>
        <v>196</v>
      </c>
      <c r="H60" s="81">
        <f>VLOOKUP($A60,Table4[],36,FALSE)</f>
        <v>0.94387755102040816</v>
      </c>
      <c r="I60" s="129">
        <f>VLOOKUP($A60,Table4[],41,FALSE)</f>
        <v>6.3180827886710242E-2</v>
      </c>
      <c r="J60" s="81">
        <f>VLOOKUP($A60,Table4[],30,FALSE)</f>
        <v>-1.020408163265306E-2</v>
      </c>
      <c r="K60" s="82">
        <f>VLOOKUP($A60,Table4[],17,FALSE)</f>
        <v>-16</v>
      </c>
      <c r="L60" s="82">
        <f>VLOOKUP($A60,Table4[],18,FALSE)</f>
        <v>0</v>
      </c>
      <c r="M60" s="82" t="str">
        <f>IF(VLOOKUP($A60,Table2[],8,FALSE)=0,"",VLOOKUP($A60,Table2[],8,FALSE))</f>
        <v>Municipal</v>
      </c>
      <c r="N60" s="82">
        <f>VLOOKUP($A60,Table2[],14,FALSE)</f>
        <v>0</v>
      </c>
      <c r="O60" s="82" t="str">
        <f>IF(VLOOKUP($A60,Table2[],15,FALSE)=0,"",VLOOKUP($A60,Table2[],15,FALSE))</f>
        <v/>
      </c>
      <c r="P60" s="82" t="str">
        <f>IF(VLOOKUP($A60,Table2[],16,FALSE)=0,"",VLOOKUP($A60,Table2[],16,FALSE))</f>
        <v/>
      </c>
      <c r="Q60" s="83" t="str">
        <f>IF(ISNA(VLOOKUP($A60,Table3[],6,FALSE)),"None",VLOOKUP($A60,Table3[],6,FALSE))</f>
        <v>None</v>
      </c>
      <c r="R60" s="83" t="str">
        <f>IF(ISNA(VLOOKUP($A60,Table3[],7,FALSE)),"Unknown",VLOOKUP($A60,Table3[],7,FALSE))</f>
        <v>Unknown</v>
      </c>
      <c r="S60" s="83" t="str">
        <f>IF(ISNA(VLOOKUP($A60,Table3[],8,FALSE)),"None",VLOOKUP($A60,Table3[],8,FALSE))</f>
        <v>None</v>
      </c>
      <c r="T60" s="84" t="str">
        <f>IF(ISNA(VLOOKUP($A60,Table3[],13,FALSE)),"Unknown",VLOOKUP($A60,Table3[],13,FALSE))</f>
        <v>Unknown</v>
      </c>
      <c r="U60" s="85" t="str">
        <f>IF(ISNA(VLOOKUP($A60,Table3[],14,FALSE)),"Unknown",VLOOKUP($A60,Table3[],14,FALSE))</f>
        <v>Unknown</v>
      </c>
      <c r="V60" s="84">
        <f>IF(ISNA(VLOOKUP($A60,Table3[],21,FALSE)),0,VLOOKUP($A60,Table3[],21,FALSE))</f>
        <v>0</v>
      </c>
      <c r="W60" s="85">
        <f>IF(ISNA(VLOOKUP($A60,Table3[],22,FALSE)),0,VLOOKUP($A60,Table3[],22,FALSE))</f>
        <v>0</v>
      </c>
    </row>
    <row r="61" spans="1:23" s="73" customFormat="1" x14ac:dyDescent="0.25">
      <c r="A61" s="35">
        <v>253</v>
      </c>
      <c r="B61" s="138" t="str">
        <f>VLOOKUP(A61,Registry!$A$4:$AA$241,2,FALSE)</f>
        <v>Hillcrest Resident Owned Community</v>
      </c>
      <c r="C61" s="138" t="str">
        <f>VLOOKUP(A61,Registry!$A$4:$AA$241,3,FALSE)</f>
        <v>Chittenden</v>
      </c>
      <c r="D61" s="138" t="str">
        <f>VLOOKUP(A61,Registry!$A$4:$AA$241,4,FALSE)</f>
        <v>Colchester</v>
      </c>
      <c r="E61" s="138">
        <f>IF(VLOOKUP(A61,Registry!$A$4:$AA$241,7,FALSE)=0,"",VLOOKUP(A61,Registry!$A$4:$AA$241,7,FALSE))</f>
        <v>1965</v>
      </c>
      <c r="F61" s="138" t="str">
        <f>IF(VLOOKUP(A61,Registry!$A$4:$AA$241,20,FALSE)=0,"",VLOOKUP(A61,Registry!$A$4:$AA$241,20,FALSE))</f>
        <v>Cooperative</v>
      </c>
      <c r="G61" s="138">
        <f>VLOOKUP(A61,Registry!$A$4:$AA$241,21,FALSE)</f>
        <v>44</v>
      </c>
      <c r="H61" s="81">
        <f>VLOOKUP($A61,Table4[],36,FALSE)</f>
        <v>1</v>
      </c>
      <c r="I61" s="129">
        <f>VLOOKUP($A61,Table4[],41,FALSE)</f>
        <v>4.9040511727078892E-2</v>
      </c>
      <c r="J61" s="81">
        <f>VLOOKUP($A61,Table4[],30,FALSE)</f>
        <v>0</v>
      </c>
      <c r="K61" s="82">
        <f>VLOOKUP($A61,Table4[],17,FALSE)</f>
        <v>-1</v>
      </c>
      <c r="L61" s="82">
        <f>VLOOKUP($A61,Table4[],18,FALSE)</f>
        <v>0</v>
      </c>
      <c r="M61" s="82" t="str">
        <f>IF(VLOOKUP($A61,Table2[],8,FALSE)=0,"",VLOOKUP($A61,Table2[],8,FALSE))</f>
        <v>Consecutive Community</v>
      </c>
      <c r="N61" s="82">
        <f>VLOOKUP($A61,Table2[],14,FALSE)</f>
        <v>0</v>
      </c>
      <c r="O61" s="82" t="str">
        <f>IF(VLOOKUP($A61,Table2[],15,FALSE)=0,"",VLOOKUP($A61,Table2[],15,FALSE))</f>
        <v>On-Site</v>
      </c>
      <c r="P61" s="82" t="str">
        <f>IF(VLOOKUP($A61,Table2[],16,FALSE)=0,"",VLOOKUP($A61,Table2[],16,FALSE))</f>
        <v>ID-9-0234</v>
      </c>
      <c r="Q61" s="83" t="str">
        <f>IF(ISNA(VLOOKUP($A61,Table3[],6,FALSE)),"None",VLOOKUP($A61,Table3[],6,FALSE))</f>
        <v>None</v>
      </c>
      <c r="R61" s="83" t="str">
        <f>IF(ISNA(VLOOKUP($A61,Table3[],7,FALSE)),"Unknown",VLOOKUP($A61,Table3[],7,FALSE))</f>
        <v>Unknown</v>
      </c>
      <c r="S61" s="83" t="str">
        <f>IF(ISNA(VLOOKUP($A61,Table3[],8,FALSE)),"None",VLOOKUP($A61,Table3[],8,FALSE))</f>
        <v>None</v>
      </c>
      <c r="T61" s="84" t="str">
        <f>IF(ISNA(VLOOKUP($A61,Table3[],13,FALSE)),"Unknown",VLOOKUP($A61,Table3[],13,FALSE))</f>
        <v>Unknown</v>
      </c>
      <c r="U61" s="85" t="str">
        <f>IF(ISNA(VLOOKUP($A61,Table3[],14,FALSE)),"Unknown",VLOOKUP($A61,Table3[],14,FALSE))</f>
        <v>Unknown</v>
      </c>
      <c r="V61" s="84">
        <f>IF(ISNA(VLOOKUP($A61,Table3[],21,FALSE)),0,VLOOKUP($A61,Table3[],21,FALSE))</f>
        <v>0</v>
      </c>
      <c r="W61" s="85">
        <f>IF(ISNA(VLOOKUP($A61,Table3[],22,FALSE)),0,VLOOKUP($A61,Table3[],22,FALSE))</f>
        <v>0</v>
      </c>
    </row>
    <row r="62" spans="1:23" s="73" customFormat="1" x14ac:dyDescent="0.25">
      <c r="A62" s="35">
        <v>27</v>
      </c>
      <c r="B62" s="138" t="str">
        <f>VLOOKUP(A62,Registry!$A$4:$AA$241,2,FALSE)</f>
        <v>Westbury Park</v>
      </c>
      <c r="C62" s="138" t="str">
        <f>VLOOKUP(A62,Registry!$A$4:$AA$241,3,FALSE)</f>
        <v>Chittenden</v>
      </c>
      <c r="D62" s="138" t="str">
        <f>VLOOKUP(A62,Registry!$A$4:$AA$241,4,FALSE)</f>
        <v>Colchester</v>
      </c>
      <c r="E62" s="138">
        <f>IF(VLOOKUP(A62,Registry!$A$4:$AA$241,7,FALSE)=0,"",VLOOKUP(A62,Registry!$A$4:$AA$241,7,FALSE))</f>
        <v>1972</v>
      </c>
      <c r="F62" s="138" t="str">
        <f>IF(VLOOKUP(A62,Registry!$A$4:$AA$241,20,FALSE)=0,"",VLOOKUP(A62,Registry!$A$4:$AA$241,20,FALSE))</f>
        <v>Cooperative</v>
      </c>
      <c r="G62" s="138">
        <f>VLOOKUP(A62,Registry!$A$4:$AA$241,21,FALSE)</f>
        <v>250</v>
      </c>
      <c r="H62" s="81">
        <f>VLOOKUP($A62,Table4[],36,FALSE)</f>
        <v>1</v>
      </c>
      <c r="I62" s="129">
        <f>VLOOKUP($A62,Table4[],41,FALSE)</f>
        <v>2.8688524590163935E-2</v>
      </c>
      <c r="J62" s="81">
        <f>VLOOKUP($A62,Table4[],30,FALSE)</f>
        <v>0</v>
      </c>
      <c r="K62" s="82">
        <f>VLOOKUP($A62,Table4[],17,FALSE)</f>
        <v>0</v>
      </c>
      <c r="L62" s="82">
        <f>VLOOKUP($A62,Table4[],18,FALSE)</f>
        <v>0</v>
      </c>
      <c r="M62" s="82" t="str">
        <f>IF(VLOOKUP($A62,Table2[],8,FALSE)=0,"",VLOOKUP($A62,Table2[],8,FALSE))</f>
        <v>Consecutive Community</v>
      </c>
      <c r="N62" s="82">
        <f>VLOOKUP($A62,Table2[],14,FALSE)</f>
        <v>3</v>
      </c>
      <c r="O62" s="82" t="str">
        <f>IF(VLOOKUP($A62,Table2[],15,FALSE)=0,"",VLOOKUP($A62,Table2[],15,FALSE))</f>
        <v>On-Site</v>
      </c>
      <c r="P62" s="82" t="str">
        <f>IF(VLOOKUP($A62,Table2[],16,FALSE)=0,"",VLOOKUP($A62,Table2[],16,FALSE))</f>
        <v>MH-4-0004</v>
      </c>
      <c r="Q62" s="83" t="str">
        <f>IF(ISNA(VLOOKUP($A62,Table3[],6,FALSE)),"None",VLOOKUP($A62,Table3[],6,FALSE))</f>
        <v>None</v>
      </c>
      <c r="R62" s="83" t="str">
        <f>IF(ISNA(VLOOKUP($A62,Table3[],7,FALSE)),"Unknown",VLOOKUP($A62,Table3[],7,FALSE))</f>
        <v>Unknown</v>
      </c>
      <c r="S62" s="83" t="str">
        <f>IF(ISNA(VLOOKUP($A62,Table3[],8,FALSE)),"None",VLOOKUP($A62,Table3[],8,FALSE))</f>
        <v>None</v>
      </c>
      <c r="T62" s="84" t="str">
        <f>IF(ISNA(VLOOKUP($A62,Table3[],13,FALSE)),"Unknown",VLOOKUP($A62,Table3[],13,FALSE))</f>
        <v>Unknown</v>
      </c>
      <c r="U62" s="85" t="str">
        <f>IF(ISNA(VLOOKUP($A62,Table3[],14,FALSE)),"Unknown",VLOOKUP($A62,Table3[],14,FALSE))</f>
        <v>Unknown</v>
      </c>
      <c r="V62" s="84">
        <f>IF(ISNA(VLOOKUP($A62,Table3[],21,FALSE)),0,VLOOKUP($A62,Table3[],21,FALSE))</f>
        <v>0</v>
      </c>
      <c r="W62" s="85">
        <f>IF(ISNA(VLOOKUP($A62,Table3[],22,FALSE)),0,VLOOKUP($A62,Table3[],22,FALSE))</f>
        <v>0</v>
      </c>
    </row>
    <row r="63" spans="1:23" s="73" customFormat="1" x14ac:dyDescent="0.25">
      <c r="A63" s="35">
        <v>144</v>
      </c>
      <c r="B63" s="138" t="str">
        <f>VLOOKUP(A63,Registry!$A$4:$AA$241,2,FALSE)</f>
        <v>Windemere Estates</v>
      </c>
      <c r="C63" s="138" t="str">
        <f>VLOOKUP(A63,Registry!$A$4:$AA$241,3,FALSE)</f>
        <v>Chittenden</v>
      </c>
      <c r="D63" s="138" t="str">
        <f>VLOOKUP(A63,Registry!$A$4:$AA$241,4,FALSE)</f>
        <v>Colchester</v>
      </c>
      <c r="E63" s="138" t="str">
        <f>IF(VLOOKUP(A63,Registry!$A$4:$AA$241,7,FALSE)=0,"",VLOOKUP(A63,Registry!$A$4:$AA$241,7,FALSE))</f>
        <v/>
      </c>
      <c r="F63" s="138" t="str">
        <f>IF(VLOOKUP(A63,Registry!$A$4:$AA$241,20,FALSE)=0,"",VLOOKUP(A63,Registry!$A$4:$AA$241,20,FALSE))</f>
        <v>Non-profit</v>
      </c>
      <c r="G63" s="138">
        <f>VLOOKUP(A63,Registry!$A$4:$AA$241,21,FALSE)</f>
        <v>83</v>
      </c>
      <c r="H63" s="81">
        <f>VLOOKUP($A63,Table4[],36,FALSE)</f>
        <v>0.86746987951807231</v>
      </c>
      <c r="I63" s="129">
        <f>VLOOKUP($A63,Table4[],41,FALSE)</f>
        <v>9.9537037037037035E-2</v>
      </c>
      <c r="J63" s="81">
        <f>VLOOKUP($A63,Table4[],30,FALSE)</f>
        <v>1.2048192771084338E-2</v>
      </c>
      <c r="K63" s="82">
        <f>VLOOKUP($A63,Table4[],17,FALSE)</f>
        <v>-1</v>
      </c>
      <c r="L63" s="82">
        <f>VLOOKUP($A63,Table4[],18,FALSE)</f>
        <v>0</v>
      </c>
      <c r="M63" s="82" t="str">
        <f>IF(VLOOKUP($A63,Table2[],8,FALSE)=0,"",VLOOKUP($A63,Table2[],8,FALSE))</f>
        <v>Consecutive Community</v>
      </c>
      <c r="N63" s="82">
        <f>VLOOKUP($A63,Table2[],14,FALSE)</f>
        <v>0</v>
      </c>
      <c r="O63" s="82" t="str">
        <f>IF(VLOOKUP($A63,Table2[],15,FALSE)=0,"",VLOOKUP($A63,Table2[],15,FALSE))</f>
        <v>Municipal</v>
      </c>
      <c r="P63" s="82" t="str">
        <f>IF(VLOOKUP($A63,Table2[],16,FALSE)=0,"",VLOOKUP($A63,Table2[],16,FALSE))</f>
        <v/>
      </c>
      <c r="Q63" s="83" t="str">
        <f>IF(ISNA(VLOOKUP($A63,Table3[],6,FALSE)),"None",VLOOKUP($A63,Table3[],6,FALSE))</f>
        <v>None</v>
      </c>
      <c r="R63" s="83" t="str">
        <f>IF(ISNA(VLOOKUP($A63,Table3[],7,FALSE)),"Unknown",VLOOKUP($A63,Table3[],7,FALSE))</f>
        <v>Unknown</v>
      </c>
      <c r="S63" s="83" t="str">
        <f>IF(ISNA(VLOOKUP($A63,Table3[],8,FALSE)),"None",VLOOKUP($A63,Table3[],8,FALSE))</f>
        <v>None</v>
      </c>
      <c r="T63" s="84" t="str">
        <f>IF(ISNA(VLOOKUP($A63,Table3[],13,FALSE)),"Unknown",VLOOKUP($A63,Table3[],13,FALSE))</f>
        <v>Unknown</v>
      </c>
      <c r="U63" s="85" t="str">
        <f>IF(ISNA(VLOOKUP($A63,Table3[],14,FALSE)),"Unknown",VLOOKUP($A63,Table3[],14,FALSE))</f>
        <v>Unknown</v>
      </c>
      <c r="V63" s="84">
        <f>IF(ISNA(VLOOKUP($A63,Table3[],21,FALSE)),0,VLOOKUP($A63,Table3[],21,FALSE))</f>
        <v>0</v>
      </c>
      <c r="W63" s="85">
        <f>IF(ISNA(VLOOKUP($A63,Table3[],22,FALSE)),0,VLOOKUP($A63,Table3[],22,FALSE))</f>
        <v>0</v>
      </c>
    </row>
    <row r="64" spans="1:23" s="73" customFormat="1" x14ac:dyDescent="0.25">
      <c r="A64" s="35">
        <v>81</v>
      </c>
      <c r="B64" s="138" t="str">
        <f>VLOOKUP(A64,Registry!$A$4:$AA$241,2,FALSE)</f>
        <v>Woodland Shores Park RLLP</v>
      </c>
      <c r="C64" s="138" t="str">
        <f>VLOOKUP(A64,Registry!$A$4:$AA$241,3,FALSE)</f>
        <v>Chittenden</v>
      </c>
      <c r="D64" s="138" t="str">
        <f>VLOOKUP(A64,Registry!$A$4:$AA$241,4,FALSE)</f>
        <v>Colchester</v>
      </c>
      <c r="E64" s="138">
        <f>IF(VLOOKUP(A64,Registry!$A$4:$AA$241,7,FALSE)=0,"",VLOOKUP(A64,Registry!$A$4:$AA$241,7,FALSE))</f>
        <v>1952</v>
      </c>
      <c r="F64" s="138" t="str">
        <f>IF(VLOOKUP(A64,Registry!$A$4:$AA$241,20,FALSE)=0,"",VLOOKUP(A64,Registry!$A$4:$AA$241,20,FALSE))</f>
        <v>For profit</v>
      </c>
      <c r="G64" s="138">
        <f>VLOOKUP(A64,Registry!$A$4:$AA$241,21,FALSE)</f>
        <v>56</v>
      </c>
      <c r="H64" s="81">
        <f>VLOOKUP($A64,Table4[],36,FALSE)</f>
        <v>0.8214285714285714</v>
      </c>
      <c r="I64" s="129">
        <f>VLOOKUP($A64,Table4[],41,FALSE)</f>
        <v>8.3333333333333329E-2</v>
      </c>
      <c r="J64" s="81">
        <f>VLOOKUP($A64,Table4[],30,FALSE)</f>
        <v>0</v>
      </c>
      <c r="K64" s="82">
        <f>VLOOKUP($A64,Table4[],17,FALSE)</f>
        <v>0</v>
      </c>
      <c r="L64" s="82">
        <f>VLOOKUP($A64,Table4[],18,FALSE)</f>
        <v>2</v>
      </c>
      <c r="M64" s="82" t="str">
        <f>IF(VLOOKUP($A64,Table2[],8,FALSE)=0,"",VLOOKUP($A64,Table2[],8,FALSE))</f>
        <v>Municipal</v>
      </c>
      <c r="N64" s="82">
        <f>VLOOKUP($A64,Table2[],14,FALSE)</f>
        <v>0</v>
      </c>
      <c r="O64" s="82" t="str">
        <f>IF(VLOOKUP($A64,Table2[],15,FALSE)=0,"",VLOOKUP($A64,Table2[],15,FALSE))</f>
        <v>On-Site</v>
      </c>
      <c r="P64" s="82" t="str">
        <f>IF(VLOOKUP($A64,Table2[],16,FALSE)=0,"",VLOOKUP($A64,Table2[],16,FALSE))</f>
        <v/>
      </c>
      <c r="Q64" s="83" t="str">
        <f>IF(ISNA(VLOOKUP($A64,Table3[],6,FALSE)),"None",VLOOKUP($A64,Table3[],6,FALSE))</f>
        <v>None</v>
      </c>
      <c r="R64" s="83" t="str">
        <f>IF(ISNA(VLOOKUP($A64,Table3[],7,FALSE)),"Unknown",VLOOKUP($A64,Table3[],7,FALSE))</f>
        <v>None</v>
      </c>
      <c r="S64" s="83" t="str">
        <f>IF(ISNA(VLOOKUP($A64,Table3[],8,FALSE)),"None",VLOOKUP($A64,Table3[],8,FALSE))</f>
        <v>100 Year Flood Plain</v>
      </c>
      <c r="T64" s="84">
        <f>IF(ISNA(VLOOKUP($A64,Table3[],13,FALSE)),"Unknown",VLOOKUP($A64,Table3[],13,FALSE))</f>
        <v>0</v>
      </c>
      <c r="U64" s="85">
        <f>IF(ISNA(VLOOKUP($A64,Table3[],14,FALSE)),"Unknown",VLOOKUP($A64,Table3[],14,FALSE))</f>
        <v>0</v>
      </c>
      <c r="V64" s="84">
        <f>IF(ISNA(VLOOKUP($A64,Table3[],21,FALSE)),0,VLOOKUP($A64,Table3[],21,FALSE))</f>
        <v>0</v>
      </c>
      <c r="W64" s="85">
        <f>IF(ISNA(VLOOKUP($A64,Table3[],22,FALSE)),0,VLOOKUP($A64,Table3[],22,FALSE))</f>
        <v>0</v>
      </c>
    </row>
    <row r="65" spans="1:23" s="73" customFormat="1" x14ac:dyDescent="0.25">
      <c r="A65" s="35">
        <v>79</v>
      </c>
      <c r="B65" s="138" t="str">
        <f>VLOOKUP(A65,Registry!$A$4:$AA$241,2,FALSE)</f>
        <v>River Hill Mobile Home Park</v>
      </c>
      <c r="C65" s="138" t="str">
        <f>VLOOKUP(A65,Registry!$A$4:$AA$241,3,FALSE)</f>
        <v>Chittenden</v>
      </c>
      <c r="D65" s="138" t="str">
        <f>VLOOKUP(A65,Registry!$A$4:$AA$241,4,FALSE)</f>
        <v>Essex</v>
      </c>
      <c r="E65" s="138">
        <f>IF(VLOOKUP(A65,Registry!$A$4:$AA$241,7,FALSE)=0,"",VLOOKUP(A65,Registry!$A$4:$AA$241,7,FALSE))</f>
        <v>1965</v>
      </c>
      <c r="F65" s="138" t="str">
        <f>IF(VLOOKUP(A65,Registry!$A$4:$AA$241,20,FALSE)=0,"",VLOOKUP(A65,Registry!$A$4:$AA$241,20,FALSE))</f>
        <v>For profit</v>
      </c>
      <c r="G65" s="138">
        <f>VLOOKUP(A65,Registry!$A$4:$AA$241,21,FALSE)</f>
        <v>15</v>
      </c>
      <c r="H65" s="81">
        <f>VLOOKUP($A65,Table4[],36,FALSE)</f>
        <v>1</v>
      </c>
      <c r="I65" s="129">
        <f>VLOOKUP($A65,Table4[],41,FALSE)</f>
        <v>6.637168141592921E-2</v>
      </c>
      <c r="J65" s="81">
        <f>VLOOKUP($A65,Table4[],30,FALSE)</f>
        <v>0</v>
      </c>
      <c r="K65" s="82">
        <f>VLOOKUP($A65,Table4[],17,FALSE)</f>
        <v>0</v>
      </c>
      <c r="L65" s="82">
        <f>VLOOKUP($A65,Table4[],18,FALSE)</f>
        <v>0</v>
      </c>
      <c r="M65" s="82" t="str">
        <f>IF(VLOOKUP($A65,Table2[],8,FALSE)=0,"",VLOOKUP($A65,Table2[],8,FALSE))</f>
        <v>Municipal</v>
      </c>
      <c r="N65" s="82">
        <f>VLOOKUP($A65,Table2[],14,FALSE)</f>
        <v>0</v>
      </c>
      <c r="O65" s="82" t="str">
        <f>IF(VLOOKUP($A65,Table2[],15,FALSE)=0,"",VLOOKUP($A65,Table2[],15,FALSE))</f>
        <v>Municipal</v>
      </c>
      <c r="P65" s="82" t="str">
        <f>IF(VLOOKUP($A65,Table2[],16,FALSE)=0,"",VLOOKUP($A65,Table2[],16,FALSE))</f>
        <v/>
      </c>
      <c r="Q65" s="83" t="str">
        <f>IF(ISNA(VLOOKUP($A65,Table3[],6,FALSE)),"None",VLOOKUP($A65,Table3[],6,FALSE))</f>
        <v>None</v>
      </c>
      <c r="R65" s="83" t="str">
        <f>IF(ISNA(VLOOKUP($A65,Table3[],7,FALSE)),"Unknown",VLOOKUP($A65,Table3[],7,FALSE))</f>
        <v>Unknown</v>
      </c>
      <c r="S65" s="83" t="str">
        <f>IF(ISNA(VLOOKUP($A65,Table3[],8,FALSE)),"None",VLOOKUP($A65,Table3[],8,FALSE))</f>
        <v>None</v>
      </c>
      <c r="T65" s="84" t="str">
        <f>IF(ISNA(VLOOKUP($A65,Table3[],13,FALSE)),"Unknown",VLOOKUP($A65,Table3[],13,FALSE))</f>
        <v>Unknown</v>
      </c>
      <c r="U65" s="85" t="str">
        <f>IF(ISNA(VLOOKUP($A65,Table3[],14,FALSE)),"Unknown",VLOOKUP($A65,Table3[],14,FALSE))</f>
        <v>Unknown</v>
      </c>
      <c r="V65" s="84">
        <f>IF(ISNA(VLOOKUP($A65,Table3[],21,FALSE)),0,VLOOKUP($A65,Table3[],21,FALSE))</f>
        <v>0</v>
      </c>
      <c r="W65" s="85">
        <f>IF(ISNA(VLOOKUP($A65,Table3[],22,FALSE)),0,VLOOKUP($A65,Table3[],22,FALSE))</f>
        <v>0</v>
      </c>
    </row>
    <row r="66" spans="1:23" s="73" customFormat="1" x14ac:dyDescent="0.25">
      <c r="A66" s="35">
        <v>139</v>
      </c>
      <c r="B66" s="138" t="str">
        <f>VLOOKUP(A66,Registry!$A$4:$AA$241,2,FALSE)</f>
        <v>Mountain View Mobile Home Park</v>
      </c>
      <c r="C66" s="138" t="str">
        <f>VLOOKUP(A66,Registry!$A$4:$AA$241,3,FALSE)</f>
        <v>Chittenden</v>
      </c>
      <c r="D66" s="138" t="str">
        <f>VLOOKUP(A66,Registry!$A$4:$AA$241,4,FALSE)</f>
        <v>Hinesburg</v>
      </c>
      <c r="E66" s="138">
        <f>IF(VLOOKUP(A66,Registry!$A$4:$AA$241,7,FALSE)=0,"",VLOOKUP(A66,Registry!$A$4:$AA$241,7,FALSE))</f>
        <v>1968</v>
      </c>
      <c r="F66" s="138" t="str">
        <f>IF(VLOOKUP(A66,Registry!$A$4:$AA$241,20,FALSE)=0,"",VLOOKUP(A66,Registry!$A$4:$AA$241,20,FALSE))</f>
        <v>Non-profit</v>
      </c>
      <c r="G66" s="138">
        <f>VLOOKUP(A66,Registry!$A$4:$AA$241,21,FALSE)</f>
        <v>52</v>
      </c>
      <c r="H66" s="81">
        <f>VLOOKUP($A66,Table4[],36,FALSE)</f>
        <v>0.88461538461538458</v>
      </c>
      <c r="I66" s="129">
        <f>VLOOKUP($A66,Table4[],41,FALSE)</f>
        <v>5.7208237986270026E-2</v>
      </c>
      <c r="J66" s="81">
        <f>VLOOKUP($A66,Table4[],30,FALSE)</f>
        <v>-1.9230769230769232E-2</v>
      </c>
      <c r="K66" s="82">
        <f>VLOOKUP($A66,Table4[],17,FALSE)</f>
        <v>-1</v>
      </c>
      <c r="L66" s="82">
        <f>VLOOKUP($A66,Table4[],18,FALSE)</f>
        <v>0</v>
      </c>
      <c r="M66" s="82" t="str">
        <f>IF(VLOOKUP($A66,Table2[],8,FALSE)=0,"",VLOOKUP($A66,Table2[],8,FALSE))</f>
        <v>Municipal</v>
      </c>
      <c r="N66" s="82">
        <f>VLOOKUP($A66,Table2[],14,FALSE)</f>
        <v>0</v>
      </c>
      <c r="O66" s="82" t="str">
        <f>IF(VLOOKUP($A66,Table2[],15,FALSE)=0,"",VLOOKUP($A66,Table2[],15,FALSE))</f>
        <v>Community On-Site</v>
      </c>
      <c r="P66" s="82" t="str">
        <f>IF(VLOOKUP($A66,Table2[],16,FALSE)=0,"",VLOOKUP($A66,Table2[],16,FALSE))</f>
        <v/>
      </c>
      <c r="Q66" s="83" t="str">
        <f>IF(ISNA(VLOOKUP($A66,Table3[],6,FALSE)),"None",VLOOKUP($A66,Table3[],6,FALSE))</f>
        <v>None</v>
      </c>
      <c r="R66" s="83" t="str">
        <f>IF(ISNA(VLOOKUP($A66,Table3[],7,FALSE)),"Unknown",VLOOKUP($A66,Table3[],7,FALSE))</f>
        <v>Unknown</v>
      </c>
      <c r="S66" s="83" t="str">
        <f>IF(ISNA(VLOOKUP($A66,Table3[],8,FALSE)),"None",VLOOKUP($A66,Table3[],8,FALSE))</f>
        <v>None</v>
      </c>
      <c r="T66" s="84" t="str">
        <f>IF(ISNA(VLOOKUP($A66,Table3[],13,FALSE)),"Unknown",VLOOKUP($A66,Table3[],13,FALSE))</f>
        <v>Unknown</v>
      </c>
      <c r="U66" s="85" t="str">
        <f>IF(ISNA(VLOOKUP($A66,Table3[],14,FALSE)),"Unknown",VLOOKUP($A66,Table3[],14,FALSE))</f>
        <v>Unknown</v>
      </c>
      <c r="V66" s="84">
        <f>IF(ISNA(VLOOKUP($A66,Table3[],21,FALSE)),0,VLOOKUP($A66,Table3[],21,FALSE))</f>
        <v>0</v>
      </c>
      <c r="W66" s="85">
        <f>IF(ISNA(VLOOKUP($A66,Table3[],22,FALSE)),0,VLOOKUP($A66,Table3[],22,FALSE))</f>
        <v>0</v>
      </c>
    </row>
    <row r="67" spans="1:23" s="73" customFormat="1" x14ac:dyDescent="0.25">
      <c r="A67" s="35">
        <v>101</v>
      </c>
      <c r="B67" s="138" t="str">
        <f>VLOOKUP(A67,Registry!$A$4:$AA$241,2,FALSE)</f>
        <v>Sunset Lake Cooperative</v>
      </c>
      <c r="C67" s="138" t="str">
        <f>VLOOKUP(A67,Registry!$A$4:$AA$241,3,FALSE)</f>
        <v>Chittenden</v>
      </c>
      <c r="D67" s="138" t="str">
        <f>VLOOKUP(A67,Registry!$A$4:$AA$241,4,FALSE)</f>
        <v>Hinesburg</v>
      </c>
      <c r="E67" s="138">
        <f>IF(VLOOKUP(A67,Registry!$A$4:$AA$241,7,FALSE)=0,"",VLOOKUP(A67,Registry!$A$4:$AA$241,7,FALSE))</f>
        <v>1962</v>
      </c>
      <c r="F67" s="138" t="str">
        <f>IF(VLOOKUP(A67,Registry!$A$4:$AA$241,20,FALSE)=0,"",VLOOKUP(A67,Registry!$A$4:$AA$241,20,FALSE))</f>
        <v>Cooperative</v>
      </c>
      <c r="G67" s="138">
        <f>VLOOKUP(A67,Registry!$A$4:$AA$241,21,FALSE)</f>
        <v>55</v>
      </c>
      <c r="H67" s="81">
        <f>VLOOKUP($A67,Table4[],36,FALSE)</f>
        <v>0.98181818181818181</v>
      </c>
      <c r="I67" s="129">
        <f>VLOOKUP($A67,Table4[],41,FALSE)</f>
        <v>0</v>
      </c>
      <c r="J67" s="81">
        <f>VLOOKUP($A67,Table4[],30,FALSE)</f>
        <v>-1.8181818181818181E-2</v>
      </c>
      <c r="K67" s="82">
        <f>VLOOKUP($A67,Table4[],17,FALSE)</f>
        <v>0</v>
      </c>
      <c r="L67" s="82">
        <f>VLOOKUP($A67,Table4[],18,FALSE)</f>
        <v>0</v>
      </c>
      <c r="M67" s="82" t="str">
        <f>IF(VLOOKUP($A67,Table2[],8,FALSE)=0,"",VLOOKUP($A67,Table2[],8,FALSE))</f>
        <v>Consecutive Community</v>
      </c>
      <c r="N67" s="82">
        <f>VLOOKUP($A67,Table2[],14,FALSE)</f>
        <v>0</v>
      </c>
      <c r="O67" s="82" t="str">
        <f>IF(VLOOKUP($A67,Table2[],15,FALSE)=0,"",VLOOKUP($A67,Table2[],15,FALSE))</f>
        <v>Community On-Site</v>
      </c>
      <c r="P67" s="82" t="str">
        <f>IF(VLOOKUP($A67,Table2[],16,FALSE)=0,"",VLOOKUP($A67,Table2[],16,FALSE))</f>
        <v/>
      </c>
      <c r="Q67" s="83" t="str">
        <f>IF(ISNA(VLOOKUP($A67,Table3[],6,FALSE)),"None",VLOOKUP($A67,Table3[],6,FALSE))</f>
        <v>None</v>
      </c>
      <c r="R67" s="83" t="str">
        <f>IF(ISNA(VLOOKUP($A67,Table3[],7,FALSE)),"Unknown",VLOOKUP($A67,Table3[],7,FALSE))</f>
        <v>Unknown</v>
      </c>
      <c r="S67" s="83" t="str">
        <f>IF(ISNA(VLOOKUP($A67,Table3[],8,FALSE)),"None",VLOOKUP($A67,Table3[],8,FALSE))</f>
        <v>None</v>
      </c>
      <c r="T67" s="84" t="str">
        <f>IF(ISNA(VLOOKUP($A67,Table3[],13,FALSE)),"Unknown",VLOOKUP($A67,Table3[],13,FALSE))</f>
        <v>Unknown</v>
      </c>
      <c r="U67" s="85" t="str">
        <f>IF(ISNA(VLOOKUP($A67,Table3[],14,FALSE)),"Unknown",VLOOKUP($A67,Table3[],14,FALSE))</f>
        <v>Unknown</v>
      </c>
      <c r="V67" s="84">
        <f>IF(ISNA(VLOOKUP($A67,Table3[],21,FALSE)),0,VLOOKUP($A67,Table3[],21,FALSE))</f>
        <v>0</v>
      </c>
      <c r="W67" s="85">
        <f>IF(ISNA(VLOOKUP($A67,Table3[],22,FALSE)),0,VLOOKUP($A67,Table3[],22,FALSE))</f>
        <v>0</v>
      </c>
    </row>
    <row r="68" spans="1:23" s="73" customFormat="1" x14ac:dyDescent="0.25">
      <c r="A68" s="35">
        <v>85</v>
      </c>
      <c r="B68" s="138" t="str">
        <f>VLOOKUP(A68,Registry!$A$4:$AA$241,2,FALSE)</f>
        <v>Triple L Mobile Home Park</v>
      </c>
      <c r="C68" s="138" t="str">
        <f>VLOOKUP(A68,Registry!$A$4:$AA$241,3,FALSE)</f>
        <v>Chittenden</v>
      </c>
      <c r="D68" s="138" t="str">
        <f>VLOOKUP(A68,Registry!$A$4:$AA$241,4,FALSE)</f>
        <v>Hinesburg</v>
      </c>
      <c r="E68" s="138">
        <f>IF(VLOOKUP(A68,Registry!$A$4:$AA$241,7,FALSE)=0,"",VLOOKUP(A68,Registry!$A$4:$AA$241,7,FALSE))</f>
        <v>1966</v>
      </c>
      <c r="F68" s="138" t="str">
        <f>IF(VLOOKUP(A68,Registry!$A$4:$AA$241,20,FALSE)=0,"",VLOOKUP(A68,Registry!$A$4:$AA$241,20,FALSE))</f>
        <v>For profit</v>
      </c>
      <c r="G68" s="138">
        <f>VLOOKUP(A68,Registry!$A$4:$AA$241,21,FALSE)</f>
        <v>65</v>
      </c>
      <c r="H68" s="81">
        <f>VLOOKUP($A68,Table4[],36,FALSE)</f>
        <v>1</v>
      </c>
      <c r="I68" s="129">
        <f>VLOOKUP($A68,Table4[],41,FALSE)</f>
        <v>8.8471849865951746E-2</v>
      </c>
      <c r="J68" s="81">
        <f>VLOOKUP($A68,Table4[],30,FALSE)</f>
        <v>0</v>
      </c>
      <c r="K68" s="82">
        <f>VLOOKUP($A68,Table4[],17,FALSE)</f>
        <v>0</v>
      </c>
      <c r="L68" s="82">
        <f>VLOOKUP($A68,Table4[],18,FALSE)</f>
        <v>0</v>
      </c>
      <c r="M68" s="82" t="str">
        <f>IF(VLOOKUP($A68,Table2[],8,FALSE)=0,"",VLOOKUP($A68,Table2[],8,FALSE))</f>
        <v>Consecutive Community</v>
      </c>
      <c r="N68" s="82">
        <f>VLOOKUP($A68,Table2[],14,FALSE)</f>
        <v>0</v>
      </c>
      <c r="O68" s="82" t="str">
        <f>IF(VLOOKUP($A68,Table2[],15,FALSE)=0,"",VLOOKUP($A68,Table2[],15,FALSE))</f>
        <v>On-Site</v>
      </c>
      <c r="P68" s="82" t="str">
        <f>IF(VLOOKUP($A68,Table2[],16,FALSE)=0,"",VLOOKUP($A68,Table2[],16,FALSE))</f>
        <v/>
      </c>
      <c r="Q68" s="83" t="str">
        <f>IF(ISNA(VLOOKUP($A68,Table3[],6,FALSE)),"None",VLOOKUP($A68,Table3[],6,FALSE))</f>
        <v>None</v>
      </c>
      <c r="R68" s="83" t="str">
        <f>IF(ISNA(VLOOKUP($A68,Table3[],7,FALSE)),"Unknown",VLOOKUP($A68,Table3[],7,FALSE))</f>
        <v>Unknown</v>
      </c>
      <c r="S68" s="83" t="str">
        <f>IF(ISNA(VLOOKUP($A68,Table3[],8,FALSE)),"None",VLOOKUP($A68,Table3[],8,FALSE))</f>
        <v>None</v>
      </c>
      <c r="T68" s="84" t="str">
        <f>IF(ISNA(VLOOKUP($A68,Table3[],13,FALSE)),"Unknown",VLOOKUP($A68,Table3[],13,FALSE))</f>
        <v>Unknown</v>
      </c>
      <c r="U68" s="85" t="str">
        <f>IF(ISNA(VLOOKUP($A68,Table3[],14,FALSE)),"Unknown",VLOOKUP($A68,Table3[],14,FALSE))</f>
        <v>Unknown</v>
      </c>
      <c r="V68" s="84">
        <f>IF(ISNA(VLOOKUP($A68,Table3[],21,FALSE)),0,VLOOKUP($A68,Table3[],21,FALSE))</f>
        <v>0</v>
      </c>
      <c r="W68" s="85">
        <f>IF(ISNA(VLOOKUP($A68,Table3[],22,FALSE)),0,VLOOKUP($A68,Table3[],22,FALSE))</f>
        <v>0</v>
      </c>
    </row>
    <row r="69" spans="1:23" s="73" customFormat="1" x14ac:dyDescent="0.25">
      <c r="A69" s="35">
        <v>83</v>
      </c>
      <c r="B69" s="138" t="str">
        <f>VLOOKUP(A69,Registry!$A$4:$AA$241,2,FALSE)</f>
        <v>Birchwood Manor</v>
      </c>
      <c r="C69" s="138" t="str">
        <f>VLOOKUP(A69,Registry!$A$4:$AA$241,3,FALSE)</f>
        <v>Chittenden</v>
      </c>
      <c r="D69" s="138" t="str">
        <f>VLOOKUP(A69,Registry!$A$4:$AA$241,4,FALSE)</f>
        <v>Milton</v>
      </c>
      <c r="E69" s="138">
        <f>IF(VLOOKUP(A69,Registry!$A$4:$AA$241,7,FALSE)=0,"",VLOOKUP(A69,Registry!$A$4:$AA$241,7,FALSE))</f>
        <v>1966</v>
      </c>
      <c r="F69" s="138" t="str">
        <f>IF(VLOOKUP(A69,Registry!$A$4:$AA$241,20,FALSE)=0,"",VLOOKUP(A69,Registry!$A$4:$AA$241,20,FALSE))</f>
        <v>Non-profit</v>
      </c>
      <c r="G69" s="138">
        <f>VLOOKUP(A69,Registry!$A$4:$AA$241,21,FALSE)</f>
        <v>172</v>
      </c>
      <c r="H69" s="81">
        <f>VLOOKUP($A69,Table4[],36,FALSE)</f>
        <v>0.95930232558139539</v>
      </c>
      <c r="I69" s="129">
        <f>VLOOKUP($A69,Table4[],41,FALSE)</f>
        <v>0.11562500000000001</v>
      </c>
      <c r="J69" s="81">
        <f>VLOOKUP($A69,Table4[],30,FALSE)</f>
        <v>-5.8139534883720929E-3</v>
      </c>
      <c r="K69" s="82">
        <f>VLOOKUP($A69,Table4[],17,FALSE)</f>
        <v>0</v>
      </c>
      <c r="L69" s="82">
        <f>VLOOKUP($A69,Table4[],18,FALSE)</f>
        <v>-1</v>
      </c>
      <c r="M69" s="82" t="str">
        <f>IF(VLOOKUP($A69,Table2[],8,FALSE)=0,"",VLOOKUP($A69,Table2[],8,FALSE))</f>
        <v>Consecutive Community</v>
      </c>
      <c r="N69" s="82">
        <f>VLOOKUP($A69,Table2[],14,FALSE)</f>
        <v>0</v>
      </c>
      <c r="O69" s="82" t="str">
        <f>IF(VLOOKUP($A69,Table2[],15,FALSE)=0,"",VLOOKUP($A69,Table2[],15,FALSE))</f>
        <v>Municipal</v>
      </c>
      <c r="P69" s="82" t="str">
        <f>IF(VLOOKUP($A69,Table2[],16,FALSE)=0,"",VLOOKUP($A69,Table2[],16,FALSE))</f>
        <v>WW-4-0035, ID-9-0065</v>
      </c>
      <c r="Q69" s="83" t="str">
        <f>IF(ISNA(VLOOKUP($A69,Table3[],6,FALSE)),"None",VLOOKUP($A69,Table3[],6,FALSE))</f>
        <v>None</v>
      </c>
      <c r="R69" s="83" t="str">
        <f>IF(ISNA(VLOOKUP($A69,Table3[],7,FALSE)),"Unknown",VLOOKUP($A69,Table3[],7,FALSE))</f>
        <v>Unknown</v>
      </c>
      <c r="S69" s="83" t="str">
        <f>IF(ISNA(VLOOKUP($A69,Table3[],8,FALSE)),"None",VLOOKUP($A69,Table3[],8,FALSE))</f>
        <v>None</v>
      </c>
      <c r="T69" s="84" t="str">
        <f>IF(ISNA(VLOOKUP($A69,Table3[],13,FALSE)),"Unknown",VLOOKUP($A69,Table3[],13,FALSE))</f>
        <v>Unknown</v>
      </c>
      <c r="U69" s="85" t="str">
        <f>IF(ISNA(VLOOKUP($A69,Table3[],14,FALSE)),"Unknown",VLOOKUP($A69,Table3[],14,FALSE))</f>
        <v>Unknown</v>
      </c>
      <c r="V69" s="84">
        <f>IF(ISNA(VLOOKUP($A69,Table3[],21,FALSE)),0,VLOOKUP($A69,Table3[],21,FALSE))</f>
        <v>0</v>
      </c>
      <c r="W69" s="85">
        <f>IF(ISNA(VLOOKUP($A69,Table3[],22,FALSE)),0,VLOOKUP($A69,Table3[],22,FALSE))</f>
        <v>0</v>
      </c>
    </row>
    <row r="70" spans="1:23" s="73" customFormat="1" x14ac:dyDescent="0.25">
      <c r="A70" s="35">
        <v>91</v>
      </c>
      <c r="B70" s="138" t="str">
        <f>VLOOKUP(A70,Registry!$A$4:$AA$241,2,FALSE)</f>
        <v>Milton Mobile Home Cooperative, Inc.</v>
      </c>
      <c r="C70" s="138" t="str">
        <f>VLOOKUP(A70,Registry!$A$4:$AA$241,3,FALSE)</f>
        <v>Chittenden</v>
      </c>
      <c r="D70" s="138" t="str">
        <f>VLOOKUP(A70,Registry!$A$4:$AA$241,4,FALSE)</f>
        <v>Milton</v>
      </c>
      <c r="E70" s="138">
        <f>IF(VLOOKUP(A70,Registry!$A$4:$AA$241,7,FALSE)=0,"",VLOOKUP(A70,Registry!$A$4:$AA$241,7,FALSE))</f>
        <v>1968</v>
      </c>
      <c r="F70" s="138" t="str">
        <f>IF(VLOOKUP(A70,Registry!$A$4:$AA$241,20,FALSE)=0,"",VLOOKUP(A70,Registry!$A$4:$AA$241,20,FALSE))</f>
        <v>Cooperative</v>
      </c>
      <c r="G70" s="138">
        <f>VLOOKUP(A70,Registry!$A$4:$AA$241,21,FALSE)</f>
        <v>100</v>
      </c>
      <c r="H70" s="81">
        <f>VLOOKUP($A70,Table4[],36,FALSE)</f>
        <v>1</v>
      </c>
      <c r="I70" s="129">
        <f>VLOOKUP($A70,Table4[],41,FALSE)</f>
        <v>0</v>
      </c>
      <c r="J70" s="81">
        <f>VLOOKUP($A70,Table4[],30,FALSE)</f>
        <v>0</v>
      </c>
      <c r="K70" s="82">
        <f>VLOOKUP($A70,Table4[],17,FALSE)</f>
        <v>0</v>
      </c>
      <c r="L70" s="82">
        <f>VLOOKUP($A70,Table4[],18,FALSE)</f>
        <v>0</v>
      </c>
      <c r="M70" s="82" t="str">
        <f>IF(VLOOKUP($A70,Table2[],8,FALSE)=0,"",VLOOKUP($A70,Table2[],8,FALSE))</f>
        <v>Consecutive Community</v>
      </c>
      <c r="N70" s="82">
        <f>VLOOKUP($A70,Table2[],14,FALSE)</f>
        <v>0</v>
      </c>
      <c r="O70" s="82" t="str">
        <f>IF(VLOOKUP($A70,Table2[],15,FALSE)=0,"",VLOOKUP($A70,Table2[],15,FALSE))</f>
        <v>Community On-Site</v>
      </c>
      <c r="P70" s="82" t="str">
        <f>IF(VLOOKUP($A70,Table2[],16,FALSE)=0,"",VLOOKUP($A70,Table2[],16,FALSE))</f>
        <v>WW-4-1679 (1 -22)</v>
      </c>
      <c r="Q70" s="83" t="str">
        <f>IF(ISNA(VLOOKUP($A70,Table3[],6,FALSE)),"None",VLOOKUP($A70,Table3[],6,FALSE))</f>
        <v>None</v>
      </c>
      <c r="R70" s="83" t="str">
        <f>IF(ISNA(VLOOKUP($A70,Table3[],7,FALSE)),"Unknown",VLOOKUP($A70,Table3[],7,FALSE))</f>
        <v>Unknown</v>
      </c>
      <c r="S70" s="83" t="str">
        <f>IF(ISNA(VLOOKUP($A70,Table3[],8,FALSE)),"None",VLOOKUP($A70,Table3[],8,FALSE))</f>
        <v>None</v>
      </c>
      <c r="T70" s="84" t="str">
        <f>IF(ISNA(VLOOKUP($A70,Table3[],13,FALSE)),"Unknown",VLOOKUP($A70,Table3[],13,FALSE))</f>
        <v>Unknown</v>
      </c>
      <c r="U70" s="85" t="str">
        <f>IF(ISNA(VLOOKUP($A70,Table3[],14,FALSE)),"Unknown",VLOOKUP($A70,Table3[],14,FALSE))</f>
        <v>Unknown</v>
      </c>
      <c r="V70" s="84">
        <f>IF(ISNA(VLOOKUP($A70,Table3[],21,FALSE)),0,VLOOKUP($A70,Table3[],21,FALSE))</f>
        <v>0</v>
      </c>
      <c r="W70" s="85">
        <f>IF(ISNA(VLOOKUP($A70,Table3[],22,FALSE)),0,VLOOKUP($A70,Table3[],22,FALSE))</f>
        <v>0</v>
      </c>
    </row>
    <row r="71" spans="1:23" s="73" customFormat="1" x14ac:dyDescent="0.25">
      <c r="A71" s="35">
        <v>126</v>
      </c>
      <c r="B71" s="138" t="str">
        <f>VLOOKUP(A71,Registry!$A$4:$AA$241,2,FALSE)</f>
        <v>Woodbriar Mobile Home Park</v>
      </c>
      <c r="C71" s="138" t="str">
        <f>VLOOKUP(A71,Registry!$A$4:$AA$241,3,FALSE)</f>
        <v>Chittenden</v>
      </c>
      <c r="D71" s="138" t="str">
        <f>VLOOKUP(A71,Registry!$A$4:$AA$241,4,FALSE)</f>
        <v>Milton</v>
      </c>
      <c r="E71" s="138">
        <f>IF(VLOOKUP(A71,Registry!$A$4:$AA$241,7,FALSE)=0,"",VLOOKUP(A71,Registry!$A$4:$AA$241,7,FALSE))</f>
        <v>1957</v>
      </c>
      <c r="F71" s="138" t="str">
        <f>IF(VLOOKUP(A71,Registry!$A$4:$AA$241,20,FALSE)=0,"",VLOOKUP(A71,Registry!$A$4:$AA$241,20,FALSE))</f>
        <v>For profit</v>
      </c>
      <c r="G71" s="138">
        <f>VLOOKUP(A71,Registry!$A$4:$AA$241,21,FALSE)</f>
        <v>51</v>
      </c>
      <c r="H71" s="81">
        <f>VLOOKUP($A71,Table4[],36,FALSE)</f>
        <v>1</v>
      </c>
      <c r="I71" s="129">
        <f>VLOOKUP($A71,Table4[],41,FALSE)</f>
        <v>2.932551319648094E-2</v>
      </c>
      <c r="J71" s="81">
        <f>VLOOKUP($A71,Table4[],30,FALSE)</f>
        <v>-1.9607843137254902E-2</v>
      </c>
      <c r="K71" s="82">
        <f>VLOOKUP($A71,Table4[],17,FALSE)</f>
        <v>0</v>
      </c>
      <c r="L71" s="82">
        <f>VLOOKUP($A71,Table4[],18,FALSE)</f>
        <v>0</v>
      </c>
      <c r="M71" s="82" t="str">
        <f>IF(VLOOKUP($A71,Table2[],8,FALSE)=0,"",VLOOKUP($A71,Table2[],8,FALSE))</f>
        <v>Municipal</v>
      </c>
      <c r="N71" s="82">
        <f>VLOOKUP($A71,Table2[],14,FALSE)</f>
        <v>0</v>
      </c>
      <c r="O71" s="82" t="str">
        <f>IF(VLOOKUP($A71,Table2[],15,FALSE)=0,"",VLOOKUP($A71,Table2[],15,FALSE))</f>
        <v>Community On-Site</v>
      </c>
      <c r="P71" s="82" t="str">
        <f>IF(VLOOKUP($A71,Table2[],16,FALSE)=0,"",VLOOKUP($A71,Table2[],16,FALSE))</f>
        <v>ID-9-0143</v>
      </c>
      <c r="Q71" s="83" t="str">
        <f>IF(ISNA(VLOOKUP($A71,Table3[],6,FALSE)),"None",VLOOKUP($A71,Table3[],6,FALSE))</f>
        <v>None</v>
      </c>
      <c r="R71" s="83" t="str">
        <f>IF(ISNA(VLOOKUP($A71,Table3[],7,FALSE)),"Unknown",VLOOKUP($A71,Table3[],7,FALSE))</f>
        <v>Unknown</v>
      </c>
      <c r="S71" s="83" t="str">
        <f>IF(ISNA(VLOOKUP($A71,Table3[],8,FALSE)),"None",VLOOKUP($A71,Table3[],8,FALSE))</f>
        <v>None</v>
      </c>
      <c r="T71" s="84" t="str">
        <f>IF(ISNA(VLOOKUP($A71,Table3[],13,FALSE)),"Unknown",VLOOKUP($A71,Table3[],13,FALSE))</f>
        <v>Unknown</v>
      </c>
      <c r="U71" s="85" t="str">
        <f>IF(ISNA(VLOOKUP($A71,Table3[],14,FALSE)),"Unknown",VLOOKUP($A71,Table3[],14,FALSE))</f>
        <v>Unknown</v>
      </c>
      <c r="V71" s="84">
        <f>IF(ISNA(VLOOKUP($A71,Table3[],21,FALSE)),0,VLOOKUP($A71,Table3[],21,FALSE))</f>
        <v>0</v>
      </c>
      <c r="W71" s="85">
        <f>IF(ISNA(VLOOKUP($A71,Table3[],22,FALSE)),0,VLOOKUP($A71,Table3[],22,FALSE))</f>
        <v>0</v>
      </c>
    </row>
    <row r="72" spans="1:23" s="73" customFormat="1" x14ac:dyDescent="0.25">
      <c r="A72" s="35">
        <v>238</v>
      </c>
      <c r="B72" s="138" t="str">
        <f>VLOOKUP(A72,Registry!$A$4:$AA$241,2,FALSE)</f>
        <v>Riverview Commons</v>
      </c>
      <c r="C72" s="138" t="str">
        <f>VLOOKUP(A72,Registry!$A$4:$AA$241,3,FALSE)</f>
        <v>Chittenden</v>
      </c>
      <c r="D72" s="138" t="str">
        <f>VLOOKUP(A72,Registry!$A$4:$AA$241,4,FALSE)</f>
        <v>Richmond</v>
      </c>
      <c r="E72" s="138">
        <f>IF(VLOOKUP(A72,Registry!$A$4:$AA$241,7,FALSE)=0,"",VLOOKUP(A72,Registry!$A$4:$AA$241,7,FALSE))</f>
        <v>1960</v>
      </c>
      <c r="F72" s="138" t="str">
        <f>IF(VLOOKUP(A72,Registry!$A$4:$AA$241,20,FALSE)=0,"",VLOOKUP(A72,Registry!$A$4:$AA$241,20,FALSE))</f>
        <v>For profit</v>
      </c>
      <c r="G72" s="138">
        <f>VLOOKUP(A72,Registry!$A$4:$AA$241,21,FALSE)</f>
        <v>150</v>
      </c>
      <c r="H72" s="81">
        <f>VLOOKUP($A72,Table4[],36,FALSE)</f>
        <v>0.98666666666666669</v>
      </c>
      <c r="I72" s="129">
        <f>VLOOKUP($A72,Table4[],41,FALSE)</f>
        <v>5.7692307692307696E-2</v>
      </c>
      <c r="J72" s="81">
        <f>VLOOKUP($A72,Table4[],30,FALSE)</f>
        <v>6.6666666666666671E-3</v>
      </c>
      <c r="K72" s="82">
        <f>VLOOKUP($A72,Table4[],17,FALSE)</f>
        <v>0</v>
      </c>
      <c r="L72" s="82">
        <f>VLOOKUP($A72,Table4[],18,FALSE)</f>
        <v>0</v>
      </c>
      <c r="M72" s="82" t="str">
        <f>IF(VLOOKUP($A72,Table2[],8,FALSE)=0,"",VLOOKUP($A72,Table2[],8,FALSE))</f>
        <v xml:space="preserve">Community </v>
      </c>
      <c r="N72" s="82">
        <f>VLOOKUP($A72,Table2[],14,FALSE)</f>
        <v>3</v>
      </c>
      <c r="O72" s="82" t="str">
        <f>IF(VLOOKUP($A72,Table2[],15,FALSE)=0,"",VLOOKUP($A72,Table2[],15,FALSE))</f>
        <v>Community On-Site</v>
      </c>
      <c r="P72" s="82" t="str">
        <f>IF(VLOOKUP($A72,Table2[],16,FALSE)=0,"",VLOOKUP($A72,Table2[],16,FALSE))</f>
        <v>MH-4-0001, ID-9-0035</v>
      </c>
      <c r="Q72" s="83" t="str">
        <f>IF(ISNA(VLOOKUP($A72,Table3[],6,FALSE)),"None",VLOOKUP($A72,Table3[],6,FALSE))</f>
        <v>100 Year Flood Plain</v>
      </c>
      <c r="R72" s="83" t="str">
        <f>IF(ISNA(VLOOKUP($A72,Table3[],7,FALSE)),"Unknown",VLOOKUP($A72,Table3[],7,FALSE))</f>
        <v>None</v>
      </c>
      <c r="S72" s="83" t="str">
        <f>IF(ISNA(VLOOKUP($A72,Table3[],8,FALSE)),"None",VLOOKUP($A72,Table3[],8,FALSE))</f>
        <v>100 Year Flood Plain</v>
      </c>
      <c r="T72" s="84">
        <f>IF(ISNA(VLOOKUP($A72,Table3[],13,FALSE)),"Unknown",VLOOKUP($A72,Table3[],13,FALSE))</f>
        <v>0</v>
      </c>
      <c r="U72" s="85">
        <f>IF(ISNA(VLOOKUP($A72,Table3[],14,FALSE)),"Unknown",VLOOKUP($A72,Table3[],14,FALSE))</f>
        <v>0</v>
      </c>
      <c r="V72" s="84">
        <f>IF(ISNA(VLOOKUP($A72,Table3[],21,FALSE)),0,VLOOKUP($A72,Table3[],21,FALSE))</f>
        <v>50</v>
      </c>
      <c r="W72" s="85">
        <f>IF(ISNA(VLOOKUP($A72,Table3[],22,FALSE)),0,VLOOKUP($A72,Table3[],22,FALSE))</f>
        <v>0.33333333333333331</v>
      </c>
    </row>
    <row r="73" spans="1:23" s="73" customFormat="1" x14ac:dyDescent="0.25">
      <c r="A73" s="35">
        <v>82</v>
      </c>
      <c r="B73" s="138" t="str">
        <f>VLOOKUP(A73,Registry!$A$4:$AA$241,2,FALSE)</f>
        <v>Lakeview Mobile Home Park</v>
      </c>
      <c r="C73" s="138" t="str">
        <f>VLOOKUP(A73,Registry!$A$4:$AA$241,3,FALSE)</f>
        <v>Chittenden</v>
      </c>
      <c r="D73" s="138" t="str">
        <f>VLOOKUP(A73,Registry!$A$4:$AA$241,4,FALSE)</f>
        <v>Shelburne</v>
      </c>
      <c r="E73" s="138">
        <f>IF(VLOOKUP(A73,Registry!$A$4:$AA$241,7,FALSE)=0,"",VLOOKUP(A73,Registry!$A$4:$AA$241,7,FALSE))</f>
        <v>1959</v>
      </c>
      <c r="F73" s="138" t="str">
        <f>IF(VLOOKUP(A73,Registry!$A$4:$AA$241,20,FALSE)=0,"",VLOOKUP(A73,Registry!$A$4:$AA$241,20,FALSE))</f>
        <v>Cooperative</v>
      </c>
      <c r="G73" s="138">
        <f>VLOOKUP(A73,Registry!$A$4:$AA$241,21,FALSE)</f>
        <v>64</v>
      </c>
      <c r="H73" s="81">
        <f>VLOOKUP($A73,Table4[],36,FALSE)</f>
        <v>1</v>
      </c>
      <c r="I73" s="129">
        <f>VLOOKUP($A73,Table4[],41,FALSE)</f>
        <v>0</v>
      </c>
      <c r="J73" s="81">
        <f>VLOOKUP($A73,Table4[],30,FALSE)</f>
        <v>0</v>
      </c>
      <c r="K73" s="82">
        <f>VLOOKUP($A73,Table4[],17,FALSE)</f>
        <v>0</v>
      </c>
      <c r="L73" s="82">
        <f>VLOOKUP($A73,Table4[],18,FALSE)</f>
        <v>0</v>
      </c>
      <c r="M73" s="82" t="str">
        <f>IF(VLOOKUP($A73,Table2[],8,FALSE)=0,"",VLOOKUP($A73,Table2[],8,FALSE))</f>
        <v>Municipal</v>
      </c>
      <c r="N73" s="82">
        <f>VLOOKUP($A73,Table2[],14,FALSE)</f>
        <v>0</v>
      </c>
      <c r="O73" s="82" t="str">
        <f>IF(VLOOKUP($A73,Table2[],15,FALSE)=0,"",VLOOKUP($A73,Table2[],15,FALSE))</f>
        <v>Municipal</v>
      </c>
      <c r="P73" s="82" t="str">
        <f>IF(VLOOKUP($A73,Table2[],16,FALSE)=0,"",VLOOKUP($A73,Table2[],16,FALSE))</f>
        <v/>
      </c>
      <c r="Q73" s="83" t="str">
        <f>IF(ISNA(VLOOKUP($A73,Table3[],6,FALSE)),"None",VLOOKUP($A73,Table3[],6,FALSE))</f>
        <v>None</v>
      </c>
      <c r="R73" s="83" t="str">
        <f>IF(ISNA(VLOOKUP($A73,Table3[],7,FALSE)),"Unknown",VLOOKUP($A73,Table3[],7,FALSE))</f>
        <v>Unknown</v>
      </c>
      <c r="S73" s="83" t="str">
        <f>IF(ISNA(VLOOKUP($A73,Table3[],8,FALSE)),"None",VLOOKUP($A73,Table3[],8,FALSE))</f>
        <v>None</v>
      </c>
      <c r="T73" s="84" t="str">
        <f>IF(ISNA(VLOOKUP($A73,Table3[],13,FALSE)),"Unknown",VLOOKUP($A73,Table3[],13,FALSE))</f>
        <v>Unknown</v>
      </c>
      <c r="U73" s="85" t="str">
        <f>IF(ISNA(VLOOKUP($A73,Table3[],14,FALSE)),"Unknown",VLOOKUP($A73,Table3[],14,FALSE))</f>
        <v>Unknown</v>
      </c>
      <c r="V73" s="84">
        <f>IF(ISNA(VLOOKUP($A73,Table3[],21,FALSE)),0,VLOOKUP($A73,Table3[],21,FALSE))</f>
        <v>0</v>
      </c>
      <c r="W73" s="85">
        <f>IF(ISNA(VLOOKUP($A73,Table3[],22,FALSE)),0,VLOOKUP($A73,Table3[],22,FALSE))</f>
        <v>0</v>
      </c>
    </row>
    <row r="74" spans="1:23" s="73" customFormat="1" x14ac:dyDescent="0.25">
      <c r="A74" s="35">
        <v>96</v>
      </c>
      <c r="B74" s="138" t="str">
        <f>VLOOKUP(A74,Registry!$A$4:$AA$241,2,FALSE)</f>
        <v>Livingston's Trailer Park</v>
      </c>
      <c r="C74" s="138" t="str">
        <f>VLOOKUP(A74,Registry!$A$4:$AA$241,3,FALSE)</f>
        <v>Chittenden</v>
      </c>
      <c r="D74" s="138" t="str">
        <f>VLOOKUP(A74,Registry!$A$4:$AA$241,4,FALSE)</f>
        <v>Shelburne</v>
      </c>
      <c r="E74" s="138">
        <f>IF(VLOOKUP(A74,Registry!$A$4:$AA$241,7,FALSE)=0,"",VLOOKUP(A74,Registry!$A$4:$AA$241,7,FALSE))</f>
        <v>1965</v>
      </c>
      <c r="F74" s="138" t="str">
        <f>IF(VLOOKUP(A74,Registry!$A$4:$AA$241,20,FALSE)=0,"",VLOOKUP(A74,Registry!$A$4:$AA$241,20,FALSE))</f>
        <v>For profit</v>
      </c>
      <c r="G74" s="138">
        <f>VLOOKUP(A74,Registry!$A$4:$AA$241,21,FALSE)</f>
        <v>17</v>
      </c>
      <c r="H74" s="81">
        <f>VLOOKUP($A74,Table4[],36,FALSE)</f>
        <v>1</v>
      </c>
      <c r="I74" s="129">
        <f>VLOOKUP($A74,Table4[],41,FALSE)</f>
        <v>0</v>
      </c>
      <c r="J74" s="81">
        <f>VLOOKUP($A74,Table4[],30,FALSE)</f>
        <v>0</v>
      </c>
      <c r="K74" s="82">
        <f>VLOOKUP($A74,Table4[],17,FALSE)</f>
        <v>1</v>
      </c>
      <c r="L74" s="82">
        <f>VLOOKUP($A74,Table4[],18,FALSE)</f>
        <v>-1</v>
      </c>
      <c r="M74" s="82" t="str">
        <f>IF(VLOOKUP($A74,Table2[],8,FALSE)=0,"",VLOOKUP($A74,Table2[],8,FALSE))</f>
        <v>Consecutive Community</v>
      </c>
      <c r="N74" s="82">
        <f>VLOOKUP($A74,Table2[],14,FALSE)</f>
        <v>5</v>
      </c>
      <c r="O74" s="82" t="str">
        <f>IF(VLOOKUP($A74,Table2[],15,FALSE)=0,"",VLOOKUP($A74,Table2[],15,FALSE))</f>
        <v>Municipal</v>
      </c>
      <c r="P74" s="82" t="str">
        <f>IF(VLOOKUP($A74,Table2[],16,FALSE)=0,"",VLOOKUP($A74,Table2[],16,FALSE))</f>
        <v>MH-4-0005</v>
      </c>
      <c r="Q74" s="83" t="str">
        <f>IF(ISNA(VLOOKUP($A74,Table3[],6,FALSE)),"None",VLOOKUP($A74,Table3[],6,FALSE))</f>
        <v>None</v>
      </c>
      <c r="R74" s="83" t="str">
        <f>IF(ISNA(VLOOKUP($A74,Table3[],7,FALSE)),"Unknown",VLOOKUP($A74,Table3[],7,FALSE))</f>
        <v>Unknown</v>
      </c>
      <c r="S74" s="83" t="str">
        <f>IF(ISNA(VLOOKUP($A74,Table3[],8,FALSE)),"None",VLOOKUP($A74,Table3[],8,FALSE))</f>
        <v>None</v>
      </c>
      <c r="T74" s="84" t="str">
        <f>IF(ISNA(VLOOKUP($A74,Table3[],13,FALSE)),"Unknown",VLOOKUP($A74,Table3[],13,FALSE))</f>
        <v>Unknown</v>
      </c>
      <c r="U74" s="85" t="str">
        <f>IF(ISNA(VLOOKUP($A74,Table3[],14,FALSE)),"Unknown",VLOOKUP($A74,Table3[],14,FALSE))</f>
        <v>Unknown</v>
      </c>
      <c r="V74" s="84">
        <f>IF(ISNA(VLOOKUP($A74,Table3[],21,FALSE)),0,VLOOKUP($A74,Table3[],21,FALSE))</f>
        <v>0</v>
      </c>
      <c r="W74" s="85">
        <f>IF(ISNA(VLOOKUP($A74,Table3[],22,FALSE)),0,VLOOKUP($A74,Table3[],22,FALSE))</f>
        <v>0</v>
      </c>
    </row>
    <row r="75" spans="1:23" s="73" customFormat="1" x14ac:dyDescent="0.25">
      <c r="A75" s="35">
        <v>279</v>
      </c>
      <c r="B75" s="138" t="str">
        <f>VLOOKUP(A75,Registry!$A$4:$AA$241,2,FALSE)</f>
        <v>Shelburnewood Cooperative, Inc.</v>
      </c>
      <c r="C75" s="138" t="str">
        <f>VLOOKUP(A75,Registry!$A$4:$AA$241,3,FALSE)</f>
        <v>Chittenden</v>
      </c>
      <c r="D75" s="138" t="str">
        <f>VLOOKUP(A75,Registry!$A$4:$AA$241,4,FALSE)</f>
        <v>Shelburne</v>
      </c>
      <c r="E75" s="138">
        <f>IF(VLOOKUP(A75,Registry!$A$4:$AA$241,7,FALSE)=0,"",VLOOKUP(A75,Registry!$A$4:$AA$241,7,FALSE))</f>
        <v>1950</v>
      </c>
      <c r="F75" s="138" t="str">
        <f>IF(VLOOKUP(A75,Registry!$A$4:$AA$241,20,FALSE)=0,"",VLOOKUP(A75,Registry!$A$4:$AA$241,20,FALSE))</f>
        <v>Cooperative</v>
      </c>
      <c r="G75" s="138">
        <f>VLOOKUP(A75,Registry!$A$4:$AA$241,21,FALSE)</f>
        <v>28</v>
      </c>
      <c r="H75" s="81">
        <f>VLOOKUP($A75,Table4[],36,FALSE)</f>
        <v>1</v>
      </c>
      <c r="I75" s="129">
        <f>VLOOKUP($A75,Table4[],41,FALSE)</f>
        <v>-5.3571428571428568E-2</v>
      </c>
      <c r="J75" s="81">
        <f>VLOOKUP($A75,Table4[],30,FALSE)</f>
        <v>0</v>
      </c>
      <c r="K75" s="82">
        <f>VLOOKUP($A75,Table4[],17,FALSE)</f>
        <v>0</v>
      </c>
      <c r="L75" s="82">
        <f>VLOOKUP($A75,Table4[],18,FALSE)</f>
        <v>0</v>
      </c>
      <c r="M75" s="82" t="str">
        <f>IF(VLOOKUP($A75,Table2[],8,FALSE)=0,"",VLOOKUP($A75,Table2[],8,FALSE))</f>
        <v>Municipal</v>
      </c>
      <c r="N75" s="82">
        <f>VLOOKUP($A75,Table2[],14,FALSE)</f>
        <v>0</v>
      </c>
      <c r="O75" s="82" t="str">
        <f>IF(VLOOKUP($A75,Table2[],15,FALSE)=0,"",VLOOKUP($A75,Table2[],15,FALSE))</f>
        <v>Municipal</v>
      </c>
      <c r="P75" s="82" t="str">
        <f>IF(VLOOKUP($A75,Table2[],16,FALSE)=0,"",VLOOKUP($A75,Table2[],16,FALSE))</f>
        <v>WW-4-3966-1</v>
      </c>
      <c r="Q75" s="83" t="str">
        <f>IF(ISNA(VLOOKUP($A75,Table3[],6,FALSE)),"None",VLOOKUP($A75,Table3[],6,FALSE))</f>
        <v>None</v>
      </c>
      <c r="R75" s="83" t="str">
        <f>IF(ISNA(VLOOKUP($A75,Table3[],7,FALSE)),"Unknown",VLOOKUP($A75,Table3[],7,FALSE))</f>
        <v>Unknown</v>
      </c>
      <c r="S75" s="83" t="str">
        <f>IF(ISNA(VLOOKUP($A75,Table3[],8,FALSE)),"None",VLOOKUP($A75,Table3[],8,FALSE))</f>
        <v>None</v>
      </c>
      <c r="T75" s="84" t="str">
        <f>IF(ISNA(VLOOKUP($A75,Table3[],13,FALSE)),"Unknown",VLOOKUP($A75,Table3[],13,FALSE))</f>
        <v>Unknown</v>
      </c>
      <c r="U75" s="85" t="str">
        <f>IF(ISNA(VLOOKUP($A75,Table3[],14,FALSE)),"Unknown",VLOOKUP($A75,Table3[],14,FALSE))</f>
        <v>Unknown</v>
      </c>
      <c r="V75" s="84">
        <f>IF(ISNA(VLOOKUP($A75,Table3[],21,FALSE)),0,VLOOKUP($A75,Table3[],21,FALSE))</f>
        <v>0</v>
      </c>
      <c r="W75" s="85">
        <f>IF(ISNA(VLOOKUP($A75,Table3[],22,FALSE)),0,VLOOKUP($A75,Table3[],22,FALSE))</f>
        <v>0</v>
      </c>
    </row>
    <row r="76" spans="1:23" s="73" customFormat="1" x14ac:dyDescent="0.25">
      <c r="A76" s="35">
        <v>28</v>
      </c>
      <c r="B76" s="138" t="str">
        <f>VLOOKUP(A76,Registry!$A$4:$AA$241,2,FALSE)</f>
        <v>Chambers MHP</v>
      </c>
      <c r="C76" s="138" t="str">
        <f>VLOOKUP(A76,Registry!$A$4:$AA$241,3,FALSE)</f>
        <v>Chittenden</v>
      </c>
      <c r="D76" s="138" t="str">
        <f>VLOOKUP(A76,Registry!$A$4:$AA$241,4,FALSE)</f>
        <v>St. George</v>
      </c>
      <c r="E76" s="138">
        <f>IF(VLOOKUP(A76,Registry!$A$4:$AA$241,7,FALSE)=0,"",VLOOKUP(A76,Registry!$A$4:$AA$241,7,FALSE))</f>
        <v>1967</v>
      </c>
      <c r="F76" s="138" t="str">
        <f>IF(VLOOKUP(A76,Registry!$A$4:$AA$241,20,FALSE)=0,"",VLOOKUP(A76,Registry!$A$4:$AA$241,20,FALSE))</f>
        <v>For profit</v>
      </c>
      <c r="G76" s="138">
        <f>VLOOKUP(A76,Registry!$A$4:$AA$241,21,FALSE)</f>
        <v>8</v>
      </c>
      <c r="H76" s="81">
        <f>VLOOKUP($A76,Table4[],36,FALSE)</f>
        <v>0.5</v>
      </c>
      <c r="I76" s="129">
        <f>VLOOKUP($A76,Table4[],41,FALSE)</f>
        <v>0.50190114068441061</v>
      </c>
      <c r="J76" s="81">
        <f>VLOOKUP($A76,Table4[],30,FALSE)</f>
        <v>0.25</v>
      </c>
      <c r="K76" s="82">
        <f>VLOOKUP($A76,Table4[],17,FALSE)</f>
        <v>-3</v>
      </c>
      <c r="L76" s="82">
        <f>VLOOKUP($A76,Table4[],18,FALSE)</f>
        <v>-1</v>
      </c>
      <c r="M76" s="82" t="str">
        <f>IF(VLOOKUP($A76,Table2[],8,FALSE)=0,"",VLOOKUP($A76,Table2[],8,FALSE))</f>
        <v>Small-Scale (potable, &lt;25 users)</v>
      </c>
      <c r="N76" s="82">
        <f>VLOOKUP($A76,Table2[],14,FALSE)</f>
        <v>0</v>
      </c>
      <c r="O76" s="82" t="str">
        <f>IF(VLOOKUP($A76,Table2[],15,FALSE)=0,"",VLOOKUP($A76,Table2[],15,FALSE))</f>
        <v>Community On-Site</v>
      </c>
      <c r="P76" s="82" t="str">
        <f>IF(VLOOKUP($A76,Table2[],16,FALSE)=0,"",VLOOKUP($A76,Table2[],16,FALSE))</f>
        <v>WW-4-3200</v>
      </c>
      <c r="Q76" s="83" t="str">
        <f>IF(ISNA(VLOOKUP($A76,Table3[],6,FALSE)),"None",VLOOKUP($A76,Table3[],6,FALSE))</f>
        <v>None</v>
      </c>
      <c r="R76" s="83" t="str">
        <f>IF(ISNA(VLOOKUP($A76,Table3[],7,FALSE)),"Unknown",VLOOKUP($A76,Table3[],7,FALSE))</f>
        <v>Unknown</v>
      </c>
      <c r="S76" s="83" t="str">
        <f>IF(ISNA(VLOOKUP($A76,Table3[],8,FALSE)),"None",VLOOKUP($A76,Table3[],8,FALSE))</f>
        <v>None</v>
      </c>
      <c r="T76" s="84" t="str">
        <f>IF(ISNA(VLOOKUP($A76,Table3[],13,FALSE)),"Unknown",VLOOKUP($A76,Table3[],13,FALSE))</f>
        <v>Unknown</v>
      </c>
      <c r="U76" s="85" t="str">
        <f>IF(ISNA(VLOOKUP($A76,Table3[],14,FALSE)),"Unknown",VLOOKUP($A76,Table3[],14,FALSE))</f>
        <v>Unknown</v>
      </c>
      <c r="V76" s="84">
        <f>IF(ISNA(VLOOKUP($A76,Table3[],21,FALSE)),0,VLOOKUP($A76,Table3[],21,FALSE))</f>
        <v>0</v>
      </c>
      <c r="W76" s="85">
        <f>IF(ISNA(VLOOKUP($A76,Table3[],22,FALSE)),0,VLOOKUP($A76,Table3[],22,FALSE))</f>
        <v>0</v>
      </c>
    </row>
    <row r="77" spans="1:23" s="73" customFormat="1" x14ac:dyDescent="0.25">
      <c r="A77" s="35">
        <v>130</v>
      </c>
      <c r="B77" s="138" t="str">
        <f>VLOOKUP(A77,Registry!$A$4:$AA$241,2,FALSE)</f>
        <v>St. George Villa</v>
      </c>
      <c r="C77" s="138" t="str">
        <f>VLOOKUP(A77,Registry!$A$4:$AA$241,3,FALSE)</f>
        <v>Chittenden</v>
      </c>
      <c r="D77" s="138" t="str">
        <f>VLOOKUP(A77,Registry!$A$4:$AA$241,4,FALSE)</f>
        <v>St. George</v>
      </c>
      <c r="E77" s="138">
        <f>IF(VLOOKUP(A77,Registry!$A$4:$AA$241,7,FALSE)=0,"",VLOOKUP(A77,Registry!$A$4:$AA$241,7,FALSE))</f>
        <v>1966</v>
      </c>
      <c r="F77" s="138" t="str">
        <f>IF(VLOOKUP(A77,Registry!$A$4:$AA$241,20,FALSE)=0,"",VLOOKUP(A77,Registry!$A$4:$AA$241,20,FALSE))</f>
        <v>Cooperative</v>
      </c>
      <c r="G77" s="138">
        <f>VLOOKUP(A77,Registry!$A$4:$AA$241,21,FALSE)</f>
        <v>120</v>
      </c>
      <c r="H77" s="81">
        <f>VLOOKUP($A77,Table4[],36,FALSE)</f>
        <v>0.98333333333333328</v>
      </c>
      <c r="I77" s="129">
        <f>VLOOKUP($A77,Table4[],41,FALSE)</f>
        <v>-5.054945054945055E-2</v>
      </c>
      <c r="J77" s="81">
        <f>VLOOKUP($A77,Table4[],30,FALSE)</f>
        <v>-8.3333333333333332E-3</v>
      </c>
      <c r="K77" s="82">
        <f>VLOOKUP($A77,Table4[],17,FALSE)</f>
        <v>0</v>
      </c>
      <c r="L77" s="82">
        <f>VLOOKUP($A77,Table4[],18,FALSE)</f>
        <v>-1</v>
      </c>
      <c r="M77" s="82" t="str">
        <f>IF(VLOOKUP($A77,Table2[],8,FALSE)=0,"",VLOOKUP($A77,Table2[],8,FALSE))</f>
        <v xml:space="preserve">Community </v>
      </c>
      <c r="N77" s="82">
        <f>VLOOKUP($A77,Table2[],14,FALSE)</f>
        <v>0</v>
      </c>
      <c r="O77" s="82" t="str">
        <f>IF(VLOOKUP($A77,Table2[],15,FALSE)=0,"",VLOOKUP($A77,Table2[],15,FALSE))</f>
        <v>Community On-Site</v>
      </c>
      <c r="P77" s="82" t="str">
        <f>IF(VLOOKUP($A77,Table2[],16,FALSE)=0,"",VLOOKUP($A77,Table2[],16,FALSE))</f>
        <v>MH-4-0000, WW-4-3008</v>
      </c>
      <c r="Q77" s="83" t="str">
        <f>IF(ISNA(VLOOKUP($A77,Table3[],6,FALSE)),"None",VLOOKUP($A77,Table3[],6,FALSE))</f>
        <v>None</v>
      </c>
      <c r="R77" s="83" t="str">
        <f>IF(ISNA(VLOOKUP($A77,Table3[],7,FALSE)),"Unknown",VLOOKUP($A77,Table3[],7,FALSE))</f>
        <v>Unknown</v>
      </c>
      <c r="S77" s="83" t="str">
        <f>IF(ISNA(VLOOKUP($A77,Table3[],8,FALSE)),"None",VLOOKUP($A77,Table3[],8,FALSE))</f>
        <v>None</v>
      </c>
      <c r="T77" s="84" t="str">
        <f>IF(ISNA(VLOOKUP($A77,Table3[],13,FALSE)),"Unknown",VLOOKUP($A77,Table3[],13,FALSE))</f>
        <v>Unknown</v>
      </c>
      <c r="U77" s="85" t="str">
        <f>IF(ISNA(VLOOKUP($A77,Table3[],14,FALSE)),"Unknown",VLOOKUP($A77,Table3[],14,FALSE))</f>
        <v>Unknown</v>
      </c>
      <c r="V77" s="84">
        <f>IF(ISNA(VLOOKUP($A77,Table3[],21,FALSE)),0,VLOOKUP($A77,Table3[],21,FALSE))</f>
        <v>0</v>
      </c>
      <c r="W77" s="85">
        <f>IF(ISNA(VLOOKUP($A77,Table3[],22,FALSE)),0,VLOOKUP($A77,Table3[],22,FALSE))</f>
        <v>0</v>
      </c>
    </row>
    <row r="78" spans="1:23" s="73" customFormat="1" x14ac:dyDescent="0.25">
      <c r="A78" s="35">
        <v>75</v>
      </c>
      <c r="B78" s="138" t="str">
        <f>VLOOKUP(A78,Registry!$A$4:$AA$241,2,FALSE)</f>
        <v>French Hill Manor</v>
      </c>
      <c r="C78" s="138" t="str">
        <f>VLOOKUP(A78,Registry!$A$4:$AA$241,3,FALSE)</f>
        <v>Chittenden</v>
      </c>
      <c r="D78" s="138" t="str">
        <f>VLOOKUP(A78,Registry!$A$4:$AA$241,4,FALSE)</f>
        <v>Williston</v>
      </c>
      <c r="E78" s="138">
        <f>IF(VLOOKUP(A78,Registry!$A$4:$AA$241,7,FALSE)=0,"",VLOOKUP(A78,Registry!$A$4:$AA$241,7,FALSE))</f>
        <v>1970</v>
      </c>
      <c r="F78" s="138" t="str">
        <f>IF(VLOOKUP(A78,Registry!$A$4:$AA$241,20,FALSE)=0,"",VLOOKUP(A78,Registry!$A$4:$AA$241,20,FALSE))</f>
        <v>Non-profit</v>
      </c>
      <c r="G78" s="138">
        <f>VLOOKUP(A78,Registry!$A$4:$AA$241,21,FALSE)</f>
        <v>8</v>
      </c>
      <c r="H78" s="81">
        <f>VLOOKUP($A78,Table4[],36,FALSE)</f>
        <v>1</v>
      </c>
      <c r="I78" s="129">
        <f>VLOOKUP($A78,Table4[],41,FALSE)</f>
        <v>0.1122715404699739</v>
      </c>
      <c r="J78" s="81">
        <f>VLOOKUP($A78,Table4[],30,FALSE)</f>
        <v>-0.125</v>
      </c>
      <c r="K78" s="82">
        <f>VLOOKUP($A78,Table4[],17,FALSE)</f>
        <v>0</v>
      </c>
      <c r="L78" s="82">
        <f>VLOOKUP($A78,Table4[],18,FALSE)</f>
        <v>0</v>
      </c>
      <c r="M78" s="82" t="str">
        <f>IF(VLOOKUP($A78,Table2[],8,FALSE)=0,"",VLOOKUP($A78,Table2[],8,FALSE))</f>
        <v>Municipal</v>
      </c>
      <c r="N78" s="82">
        <f>VLOOKUP($A78,Table2[],14,FALSE)</f>
        <v>0</v>
      </c>
      <c r="O78" s="82" t="str">
        <f>IF(VLOOKUP($A78,Table2[],15,FALSE)=0,"",VLOOKUP($A78,Table2[],15,FALSE))</f>
        <v>Community On-Site</v>
      </c>
      <c r="P78" s="82" t="str">
        <f>IF(VLOOKUP($A78,Table2[],16,FALSE)=0,"",VLOOKUP($A78,Table2[],16,FALSE))</f>
        <v>WW-4-2535</v>
      </c>
      <c r="Q78" s="83" t="str">
        <f>IF(ISNA(VLOOKUP($A78,Table3[],6,FALSE)),"None",VLOOKUP($A78,Table3[],6,FALSE))</f>
        <v>None</v>
      </c>
      <c r="R78" s="83" t="str">
        <f>IF(ISNA(VLOOKUP($A78,Table3[],7,FALSE)),"Unknown",VLOOKUP($A78,Table3[],7,FALSE))</f>
        <v>Unknown</v>
      </c>
      <c r="S78" s="83" t="str">
        <f>IF(ISNA(VLOOKUP($A78,Table3[],8,FALSE)),"None",VLOOKUP($A78,Table3[],8,FALSE))</f>
        <v>None</v>
      </c>
      <c r="T78" s="84" t="str">
        <f>IF(ISNA(VLOOKUP($A78,Table3[],13,FALSE)),"Unknown",VLOOKUP($A78,Table3[],13,FALSE))</f>
        <v>Unknown</v>
      </c>
      <c r="U78" s="85" t="str">
        <f>IF(ISNA(VLOOKUP($A78,Table3[],14,FALSE)),"Unknown",VLOOKUP($A78,Table3[],14,FALSE))</f>
        <v>Unknown</v>
      </c>
      <c r="V78" s="84">
        <f>IF(ISNA(VLOOKUP($A78,Table3[],21,FALSE)),0,VLOOKUP($A78,Table3[],21,FALSE))</f>
        <v>0</v>
      </c>
      <c r="W78" s="85">
        <f>IF(ISNA(VLOOKUP($A78,Table3[],22,FALSE)),0,VLOOKUP($A78,Table3[],22,FALSE))</f>
        <v>0</v>
      </c>
    </row>
    <row r="79" spans="1:23" s="73" customFormat="1" x14ac:dyDescent="0.25">
      <c r="A79" s="35">
        <v>281</v>
      </c>
      <c r="B79" s="138" t="str">
        <f>VLOOKUP(A79,Registry!$A$4:$AA$241,2,FALSE)</f>
        <v>Oak Hill Trailer Park</v>
      </c>
      <c r="C79" s="138" t="str">
        <f>VLOOKUP(A79,Registry!$A$4:$AA$241,3,FALSE)</f>
        <v>Chittenden</v>
      </c>
      <c r="D79" s="138" t="str">
        <f>VLOOKUP(A79,Registry!$A$4:$AA$241,4,FALSE)</f>
        <v>Williston</v>
      </c>
      <c r="E79" s="138">
        <f>IF(VLOOKUP(A79,Registry!$A$4:$AA$241,7,FALSE)=0,"",VLOOKUP(A79,Registry!$A$4:$AA$241,7,FALSE))</f>
        <v>1987</v>
      </c>
      <c r="F79" s="138" t="str">
        <f>IF(VLOOKUP(A79,Registry!$A$4:$AA$241,20,FALSE)=0,"",VLOOKUP(A79,Registry!$A$4:$AA$241,20,FALSE))</f>
        <v>For profit</v>
      </c>
      <c r="G79" s="138">
        <f>VLOOKUP(A79,Registry!$A$4:$AA$241,21,FALSE)</f>
        <v>6</v>
      </c>
      <c r="H79" s="81">
        <f>VLOOKUP($A79,Table4[],36,FALSE)</f>
        <v>1</v>
      </c>
      <c r="I79" s="129">
        <f>VLOOKUP($A79,Table4[],41,FALSE)</f>
        <v>0.11833631292136054</v>
      </c>
      <c r="J79" s="81">
        <f>VLOOKUP($A79,Table4[],30,FALSE)</f>
        <v>0</v>
      </c>
      <c r="K79" s="82">
        <f>VLOOKUP($A79,Table4[],17,FALSE)</f>
        <v>0</v>
      </c>
      <c r="L79" s="82">
        <f>VLOOKUP($A79,Table4[],18,FALSE)</f>
        <v>0</v>
      </c>
      <c r="M79" s="82" t="str">
        <f>IF(VLOOKUP($A79,Table2[],8,FALSE)=0,"",VLOOKUP($A79,Table2[],8,FALSE))</f>
        <v>Consecutive Community</v>
      </c>
      <c r="N79" s="82">
        <f>VLOOKUP($A79,Table2[],14,FALSE)</f>
        <v>0</v>
      </c>
      <c r="O79" s="82" t="str">
        <f>IF(VLOOKUP($A79,Table2[],15,FALSE)=0,"",VLOOKUP($A79,Table2[],15,FALSE))</f>
        <v/>
      </c>
      <c r="P79" s="82" t="str">
        <f>IF(VLOOKUP($A79,Table2[],16,FALSE)=0,"",VLOOKUP($A79,Table2[],16,FALSE))</f>
        <v/>
      </c>
      <c r="Q79" s="83" t="str">
        <f>IF(ISNA(VLOOKUP($A79,Table3[],6,FALSE)),"None",VLOOKUP($A79,Table3[],6,FALSE))</f>
        <v>None</v>
      </c>
      <c r="R79" s="83" t="str">
        <f>IF(ISNA(VLOOKUP($A79,Table3[],7,FALSE)),"Unknown",VLOOKUP($A79,Table3[],7,FALSE))</f>
        <v>Unknown</v>
      </c>
      <c r="S79" s="83" t="str">
        <f>IF(ISNA(VLOOKUP($A79,Table3[],8,FALSE)),"None",VLOOKUP($A79,Table3[],8,FALSE))</f>
        <v>None</v>
      </c>
      <c r="T79" s="84" t="str">
        <f>IF(ISNA(VLOOKUP($A79,Table3[],13,FALSE)),"Unknown",VLOOKUP($A79,Table3[],13,FALSE))</f>
        <v>Unknown</v>
      </c>
      <c r="U79" s="85" t="str">
        <f>IF(ISNA(VLOOKUP($A79,Table3[],14,FALSE)),"Unknown",VLOOKUP($A79,Table3[],14,FALSE))</f>
        <v>Unknown</v>
      </c>
      <c r="V79" s="84">
        <f>IF(ISNA(VLOOKUP($A79,Table3[],21,FALSE)),0,VLOOKUP($A79,Table3[],21,FALSE))</f>
        <v>0</v>
      </c>
      <c r="W79" s="85">
        <f>IF(ISNA(VLOOKUP($A79,Table3[],22,FALSE)),0,VLOOKUP($A79,Table3[],22,FALSE))</f>
        <v>0</v>
      </c>
    </row>
    <row r="80" spans="1:23" s="73" customFormat="1" x14ac:dyDescent="0.25">
      <c r="A80" s="35">
        <v>129</v>
      </c>
      <c r="B80" s="138" t="str">
        <f>VLOOKUP(A80,Registry!$A$4:$AA$241,2,FALSE)</f>
        <v>Williston Woods Cooperative Housing Corp</v>
      </c>
      <c r="C80" s="138" t="str">
        <f>VLOOKUP(A80,Registry!$A$4:$AA$241,3,FALSE)</f>
        <v>Chittenden</v>
      </c>
      <c r="D80" s="138" t="str">
        <f>VLOOKUP(A80,Registry!$A$4:$AA$241,4,FALSE)</f>
        <v>Williston</v>
      </c>
      <c r="E80" s="138">
        <f>IF(VLOOKUP(A80,Registry!$A$4:$AA$241,7,FALSE)=0,"",VLOOKUP(A80,Registry!$A$4:$AA$241,7,FALSE))</f>
        <v>1983</v>
      </c>
      <c r="F80" s="138" t="str">
        <f>IF(VLOOKUP(A80,Registry!$A$4:$AA$241,20,FALSE)=0,"",VLOOKUP(A80,Registry!$A$4:$AA$241,20,FALSE))</f>
        <v>Cooperative</v>
      </c>
      <c r="G80" s="138">
        <f>VLOOKUP(A80,Registry!$A$4:$AA$241,21,FALSE)</f>
        <v>112</v>
      </c>
      <c r="H80" s="81">
        <f>VLOOKUP($A80,Table4[],36,FALSE)</f>
        <v>1</v>
      </c>
      <c r="I80" s="129">
        <f>VLOOKUP($A80,Table4[],41,FALSE)</f>
        <v>0.10544217687074831</v>
      </c>
      <c r="J80" s="81">
        <f>VLOOKUP($A80,Table4[],30,FALSE)</f>
        <v>0</v>
      </c>
      <c r="K80" s="82">
        <f>VLOOKUP($A80,Table4[],17,FALSE)</f>
        <v>0</v>
      </c>
      <c r="L80" s="82">
        <f>VLOOKUP($A80,Table4[],18,FALSE)</f>
        <v>0</v>
      </c>
      <c r="M80" s="82" t="str">
        <f>IF(VLOOKUP($A80,Table2[],8,FALSE)=0,"",VLOOKUP($A80,Table2[],8,FALSE))</f>
        <v>Municipal</v>
      </c>
      <c r="N80" s="82">
        <f>VLOOKUP($A80,Table2[],14,FALSE)</f>
        <v>0</v>
      </c>
      <c r="O80" s="82" t="str">
        <f>IF(VLOOKUP($A80,Table2[],15,FALSE)=0,"",VLOOKUP($A80,Table2[],15,FALSE))</f>
        <v>Community On-Site</v>
      </c>
      <c r="P80" s="82" t="str">
        <f>IF(VLOOKUP($A80,Table2[],16,FALSE)=0,"",VLOOKUP($A80,Table2[],16,FALSE))</f>
        <v>MH-4-0006, ID-9-0222</v>
      </c>
      <c r="Q80" s="83" t="str">
        <f>IF(ISNA(VLOOKUP($A80,Table3[],6,FALSE)),"None",VLOOKUP($A80,Table3[],6,FALSE))</f>
        <v>None</v>
      </c>
      <c r="R80" s="83" t="str">
        <f>IF(ISNA(VLOOKUP($A80,Table3[],7,FALSE)),"Unknown",VLOOKUP($A80,Table3[],7,FALSE))</f>
        <v>Unknown</v>
      </c>
      <c r="S80" s="83" t="str">
        <f>IF(ISNA(VLOOKUP($A80,Table3[],8,FALSE)),"None",VLOOKUP($A80,Table3[],8,FALSE))</f>
        <v>None</v>
      </c>
      <c r="T80" s="84" t="str">
        <f>IF(ISNA(VLOOKUP($A80,Table3[],13,FALSE)),"Unknown",VLOOKUP($A80,Table3[],13,FALSE))</f>
        <v>Unknown</v>
      </c>
      <c r="U80" s="85" t="str">
        <f>IF(ISNA(VLOOKUP($A80,Table3[],14,FALSE)),"Unknown",VLOOKUP($A80,Table3[],14,FALSE))</f>
        <v>Unknown</v>
      </c>
      <c r="V80" s="84">
        <f>IF(ISNA(VLOOKUP($A80,Table3[],21,FALSE)),0,VLOOKUP($A80,Table3[],21,FALSE))</f>
        <v>0</v>
      </c>
      <c r="W80" s="85">
        <f>IF(ISNA(VLOOKUP($A80,Table3[],22,FALSE)),0,VLOOKUP($A80,Table3[],22,FALSE))</f>
        <v>0</v>
      </c>
    </row>
    <row r="81" spans="1:23" s="73" customFormat="1" x14ac:dyDescent="0.25">
      <c r="A81" s="35">
        <v>199</v>
      </c>
      <c r="B81" s="138" t="str">
        <f>VLOOKUP(A81,Registry!$A$4:$AA$241,2,FALSE)</f>
        <v>Begin Riverside Park</v>
      </c>
      <c r="C81" s="138" t="str">
        <f>VLOOKUP(A81,Registry!$A$4:$AA$241,3,FALSE)</f>
        <v>Essex</v>
      </c>
      <c r="D81" s="138" t="str">
        <f>VLOOKUP(A81,Registry!$A$4:$AA$241,4,FALSE)</f>
        <v>Canaan</v>
      </c>
      <c r="E81" s="138">
        <f>IF(VLOOKUP(A81,Registry!$A$4:$AA$241,7,FALSE)=0,"",VLOOKUP(A81,Registry!$A$4:$AA$241,7,FALSE))</f>
        <v>1970</v>
      </c>
      <c r="F81" s="138" t="str">
        <f>IF(VLOOKUP(A81,Registry!$A$4:$AA$241,20,FALSE)=0,"",VLOOKUP(A81,Registry!$A$4:$AA$241,20,FALSE))</f>
        <v>For profit</v>
      </c>
      <c r="G81" s="138">
        <f>VLOOKUP(A81,Registry!$A$4:$AA$241,21,FALSE)</f>
        <v>18</v>
      </c>
      <c r="H81" s="81">
        <f>VLOOKUP($A81,Table4[],36,FALSE)</f>
        <v>1</v>
      </c>
      <c r="I81" s="129">
        <f>VLOOKUP($A81,Table4[],41,FALSE)</f>
        <v>0.24509803921568626</v>
      </c>
      <c r="J81" s="81">
        <f>VLOOKUP($A81,Table4[],30,FALSE)</f>
        <v>0</v>
      </c>
      <c r="K81" s="82">
        <f>VLOOKUP($A81,Table4[],17,FALSE)</f>
        <v>0</v>
      </c>
      <c r="L81" s="82">
        <f>VLOOKUP($A81,Table4[],18,FALSE)</f>
        <v>0</v>
      </c>
      <c r="M81" s="82" t="str">
        <f>IF(VLOOKUP($A81,Table2[],8,FALSE)=0,"",VLOOKUP($A81,Table2[],8,FALSE))</f>
        <v>Municipal</v>
      </c>
      <c r="N81" s="82">
        <f>VLOOKUP($A81,Table2[],14,FALSE)</f>
        <v>0</v>
      </c>
      <c r="O81" s="82" t="str">
        <f>IF(VLOOKUP($A81,Table2[],15,FALSE)=0,"",VLOOKUP($A81,Table2[],15,FALSE))</f>
        <v>Municipal/On-site</v>
      </c>
      <c r="P81" s="82" t="str">
        <f>IF(VLOOKUP($A81,Table2[],16,FALSE)=0,"",VLOOKUP($A81,Table2[],16,FALSE))</f>
        <v/>
      </c>
      <c r="Q81" s="83" t="str">
        <f>IF(ISNA(VLOOKUP($A81,Table3[],6,FALSE)),"None",VLOOKUP($A81,Table3[],6,FALSE))</f>
        <v>100 Year Flood Plain</v>
      </c>
      <c r="R81" s="83" t="str">
        <f>IF(ISNA(VLOOKUP($A81,Table3[],7,FALSE)),"Unknown",VLOOKUP($A81,Table3[],7,FALSE))</f>
        <v>Unknown</v>
      </c>
      <c r="S81" s="83" t="str">
        <f>IF(ISNA(VLOOKUP($A81,Table3[],8,FALSE)),"None",VLOOKUP($A81,Table3[],8,FALSE))</f>
        <v>100 Year Flood Plain</v>
      </c>
      <c r="T81" s="84">
        <f>IF(ISNA(VLOOKUP($A81,Table3[],13,FALSE)),"Unknown",VLOOKUP($A81,Table3[],13,FALSE))</f>
        <v>2</v>
      </c>
      <c r="U81" s="85">
        <f>IF(ISNA(VLOOKUP($A81,Table3[],14,FALSE)),"Unknown",VLOOKUP($A81,Table3[],14,FALSE))</f>
        <v>0.1111111111111111</v>
      </c>
      <c r="V81" s="84">
        <f>IF(ISNA(VLOOKUP($A81,Table3[],21,FALSE)),0,VLOOKUP($A81,Table3[],21,FALSE))</f>
        <v>2</v>
      </c>
      <c r="W81" s="85">
        <f>IF(ISNA(VLOOKUP($A81,Table3[],22,FALSE)),0,VLOOKUP($A81,Table3[],22,FALSE))</f>
        <v>0.1111111111111111</v>
      </c>
    </row>
    <row r="82" spans="1:23" s="73" customFormat="1" x14ac:dyDescent="0.25">
      <c r="A82" s="35">
        <v>74</v>
      </c>
      <c r="B82" s="138" t="str">
        <f>VLOOKUP(A82,Registry!$A$4:$AA$241,2,FALSE)</f>
        <v>Concord Estates MHP</v>
      </c>
      <c r="C82" s="138" t="str">
        <f>VLOOKUP(A82,Registry!$A$4:$AA$241,3,FALSE)</f>
        <v>Essex</v>
      </c>
      <c r="D82" s="138" t="str">
        <f>VLOOKUP(A82,Registry!$A$4:$AA$241,4,FALSE)</f>
        <v>Concord</v>
      </c>
      <c r="E82" s="138">
        <f>IF(VLOOKUP(A82,Registry!$A$4:$AA$241,7,FALSE)=0,"",VLOOKUP(A82,Registry!$A$4:$AA$241,7,FALSE))</f>
        <v>1967</v>
      </c>
      <c r="F82" s="138" t="str">
        <f>IF(VLOOKUP(A82,Registry!$A$4:$AA$241,20,FALSE)=0,"",VLOOKUP(A82,Registry!$A$4:$AA$241,20,FALSE))</f>
        <v>For profit</v>
      </c>
      <c r="G82" s="138">
        <f>VLOOKUP(A82,Registry!$A$4:$AA$241,21,FALSE)</f>
        <v>24</v>
      </c>
      <c r="H82" s="81">
        <f>VLOOKUP($A82,Table4[],36,FALSE)</f>
        <v>0.875</v>
      </c>
      <c r="I82" s="129">
        <f>VLOOKUP($A82,Table4[],41,FALSE)</f>
        <v>0.28888888888888886</v>
      </c>
      <c r="J82" s="81">
        <f>VLOOKUP($A82,Table4[],30,FALSE)</f>
        <v>0</v>
      </c>
      <c r="K82" s="82">
        <f>VLOOKUP($A82,Table4[],17,FALSE)</f>
        <v>-1</v>
      </c>
      <c r="L82" s="82">
        <f>VLOOKUP($A82,Table4[],18,FALSE)</f>
        <v>0</v>
      </c>
      <c r="M82" s="82" t="str">
        <f>IF(VLOOKUP($A82,Table2[],8,FALSE)=0,"",VLOOKUP($A82,Table2[],8,FALSE))</f>
        <v xml:space="preserve">Community </v>
      </c>
      <c r="N82" s="82">
        <f>VLOOKUP($A82,Table2[],14,FALSE)</f>
        <v>1</v>
      </c>
      <c r="O82" s="82" t="str">
        <f>IF(VLOOKUP($A82,Table2[],15,FALSE)=0,"",VLOOKUP($A82,Table2[],15,FALSE))</f>
        <v>On-Site</v>
      </c>
      <c r="P82" s="82" t="str">
        <f>IF(VLOOKUP($A82,Table2[],16,FALSE)=0,"",VLOOKUP($A82,Table2[],16,FALSE))</f>
        <v/>
      </c>
      <c r="Q82" s="83" t="str">
        <f>IF(ISNA(VLOOKUP($A82,Table3[],6,FALSE)),"None",VLOOKUP($A82,Table3[],6,FALSE))</f>
        <v>Within 50' or 100' of River</v>
      </c>
      <c r="R82" s="83" t="str">
        <f>IF(ISNA(VLOOKUP($A82,Table3[],7,FALSE)),"Unknown",VLOOKUP($A82,Table3[],7,FALSE))</f>
        <v>Unknown</v>
      </c>
      <c r="S82" s="83" t="str">
        <f>IF(ISNA(VLOOKUP($A82,Table3[],8,FALSE)),"None",VLOOKUP($A82,Table3[],8,FALSE))</f>
        <v>Not Available</v>
      </c>
      <c r="T82" s="84">
        <f>IF(ISNA(VLOOKUP($A82,Table3[],13,FALSE)),"Unknown",VLOOKUP($A82,Table3[],13,FALSE))</f>
        <v>3</v>
      </c>
      <c r="U82" s="85">
        <f>IF(ISNA(VLOOKUP($A82,Table3[],14,FALSE)),"Unknown",VLOOKUP($A82,Table3[],14,FALSE))</f>
        <v>0.125</v>
      </c>
      <c r="V82" s="84">
        <f>IF(ISNA(VLOOKUP($A82,Table3[],21,FALSE)),0,VLOOKUP($A82,Table3[],21,FALSE))</f>
        <v>2</v>
      </c>
      <c r="W82" s="85">
        <f>IF(ISNA(VLOOKUP($A82,Table3[],22,FALSE)),0,VLOOKUP($A82,Table3[],22,FALSE))</f>
        <v>8.3333333333333329E-2</v>
      </c>
    </row>
    <row r="83" spans="1:23" s="73" customFormat="1" x14ac:dyDescent="0.25">
      <c r="A83" s="35">
        <v>314</v>
      </c>
      <c r="B83" s="138" t="str">
        <f>VLOOKUP(A83,Registry!$A$4:$AA$241,2,FALSE)</f>
        <v>Pleasant View Drive MHP</v>
      </c>
      <c r="C83" s="138" t="str">
        <f>VLOOKUP(A83,Registry!$A$4:$AA$241,3,FALSE)</f>
        <v>Franklin</v>
      </c>
      <c r="D83" s="138" t="str">
        <f>VLOOKUP(A83,Registry!$A$4:$AA$241,4,FALSE)</f>
        <v>Enosburg</v>
      </c>
      <c r="E83" s="138">
        <f>IF(VLOOKUP(A83,Registry!$A$4:$AA$241,7,FALSE)=0,"",VLOOKUP(A83,Registry!$A$4:$AA$241,7,FALSE))</f>
        <v>2005</v>
      </c>
      <c r="F83" s="138" t="str">
        <f>IF(VLOOKUP(A83,Registry!$A$4:$AA$241,20,FALSE)=0,"",VLOOKUP(A83,Registry!$A$4:$AA$241,20,FALSE))</f>
        <v>For profit</v>
      </c>
      <c r="G83" s="138">
        <f>VLOOKUP(A83,Registry!$A$4:$AA$241,21,FALSE)</f>
        <v>5</v>
      </c>
      <c r="H83" s="81">
        <f>VLOOKUP($A83,Table4[],36,FALSE)</f>
        <v>1</v>
      </c>
      <c r="I83" s="129">
        <f>VLOOKUP($A83,Table4[],41,FALSE)</f>
        <v>0</v>
      </c>
      <c r="J83" s="81">
        <f>VLOOKUP($A83,Table4[],30,FALSE)</f>
        <v>0</v>
      </c>
      <c r="K83" s="82">
        <f>VLOOKUP($A83,Table4[],17,FALSE)</f>
        <v>0</v>
      </c>
      <c r="L83" s="82">
        <f>VLOOKUP($A83,Table4[],18,FALSE)</f>
        <v>0</v>
      </c>
      <c r="M83" s="82" t="str">
        <f>IF(VLOOKUP($A83,Table2[],8,FALSE)=0,"",VLOOKUP($A83,Table2[],8,FALSE))</f>
        <v>Small-Scale (potable, &lt;25 users)</v>
      </c>
      <c r="N83" s="82">
        <f>VLOOKUP($A83,Table2[],14,FALSE)</f>
        <v>0</v>
      </c>
      <c r="O83" s="82" t="str">
        <f>IF(VLOOKUP($A83,Table2[],15,FALSE)=0,"",VLOOKUP($A83,Table2[],15,FALSE))</f>
        <v>Community On-Site</v>
      </c>
      <c r="P83" s="82" t="str">
        <f>IF(VLOOKUP($A83,Table2[],16,FALSE)=0,"",VLOOKUP($A83,Table2[],16,FALSE))</f>
        <v>WW-6-0586</v>
      </c>
      <c r="Q83" s="83" t="str">
        <f>IF(ISNA(VLOOKUP($A83,Table3[],6,FALSE)),"None",VLOOKUP($A83,Table3[],6,FALSE))</f>
        <v>None</v>
      </c>
      <c r="R83" s="83" t="str">
        <f>IF(ISNA(VLOOKUP($A83,Table3[],7,FALSE)),"Unknown",VLOOKUP($A83,Table3[],7,FALSE))</f>
        <v>Unknown</v>
      </c>
      <c r="S83" s="83" t="str">
        <f>IF(ISNA(VLOOKUP($A83,Table3[],8,FALSE)),"None",VLOOKUP($A83,Table3[],8,FALSE))</f>
        <v>None</v>
      </c>
      <c r="T83" s="84" t="str">
        <f>IF(ISNA(VLOOKUP($A83,Table3[],13,FALSE)),"Unknown",VLOOKUP($A83,Table3[],13,FALSE))</f>
        <v>Unknown</v>
      </c>
      <c r="U83" s="85" t="str">
        <f>IF(ISNA(VLOOKUP($A83,Table3[],14,FALSE)),"Unknown",VLOOKUP($A83,Table3[],14,FALSE))</f>
        <v>Unknown</v>
      </c>
      <c r="V83" s="84">
        <f>IF(ISNA(VLOOKUP($A83,Table3[],21,FALSE)),0,VLOOKUP($A83,Table3[],21,FALSE))</f>
        <v>0</v>
      </c>
      <c r="W83" s="85">
        <f>IF(ISNA(VLOOKUP($A83,Table3[],22,FALSE)),0,VLOOKUP($A83,Table3[],22,FALSE))</f>
        <v>0</v>
      </c>
    </row>
    <row r="84" spans="1:23" s="73" customFormat="1" x14ac:dyDescent="0.25">
      <c r="A84" s="35">
        <v>88</v>
      </c>
      <c r="B84" s="138" t="str">
        <f>VLOOKUP(A84,Registry!$A$4:$AA$241,2,FALSE)</f>
        <v>Vals Mobile Home Park, LLC.</v>
      </c>
      <c r="C84" s="138" t="str">
        <f>VLOOKUP(A84,Registry!$A$4:$AA$241,3,FALSE)</f>
        <v>Franklin</v>
      </c>
      <c r="D84" s="138" t="str">
        <f>VLOOKUP(A84,Registry!$A$4:$AA$241,4,FALSE)</f>
        <v>Enosburg</v>
      </c>
      <c r="E84" s="138">
        <f>IF(VLOOKUP(A84,Registry!$A$4:$AA$241,7,FALSE)=0,"",VLOOKUP(A84,Registry!$A$4:$AA$241,7,FALSE))</f>
        <v>1963</v>
      </c>
      <c r="F84" s="138" t="str">
        <f>IF(VLOOKUP(A84,Registry!$A$4:$AA$241,20,FALSE)=0,"",VLOOKUP(A84,Registry!$A$4:$AA$241,20,FALSE))</f>
        <v>For profit</v>
      </c>
      <c r="G84" s="138">
        <f>VLOOKUP(A84,Registry!$A$4:$AA$241,21,FALSE)</f>
        <v>38</v>
      </c>
      <c r="H84" s="81">
        <f>VLOOKUP($A84,Table4[],36,FALSE)</f>
        <v>0.97368421052631582</v>
      </c>
      <c r="I84" s="129">
        <f>VLOOKUP($A84,Table4[],41,FALSE)</f>
        <v>0.109375</v>
      </c>
      <c r="J84" s="81">
        <f>VLOOKUP($A84,Table4[],30,FALSE)</f>
        <v>0</v>
      </c>
      <c r="K84" s="82">
        <f>VLOOKUP($A84,Table4[],17,FALSE)</f>
        <v>0</v>
      </c>
      <c r="L84" s="82">
        <f>VLOOKUP($A84,Table4[],18,FALSE)</f>
        <v>0</v>
      </c>
      <c r="M84" s="82" t="str">
        <f>IF(VLOOKUP($A84,Table2[],8,FALSE)=0,"",VLOOKUP($A84,Table2[],8,FALSE))</f>
        <v>Municipal</v>
      </c>
      <c r="N84" s="82">
        <f>VLOOKUP($A84,Table2[],14,FALSE)</f>
        <v>0</v>
      </c>
      <c r="O84" s="82" t="str">
        <f>IF(VLOOKUP($A84,Table2[],15,FALSE)=0,"",VLOOKUP($A84,Table2[],15,FALSE))</f>
        <v>Municipal</v>
      </c>
      <c r="P84" s="82" t="str">
        <f>IF(VLOOKUP($A84,Table2[],16,FALSE)=0,"",VLOOKUP($A84,Table2[],16,FALSE))</f>
        <v/>
      </c>
      <c r="Q84" s="83" t="str">
        <f>IF(ISNA(VLOOKUP($A84,Table3[],6,FALSE)),"None",VLOOKUP($A84,Table3[],6,FALSE))</f>
        <v>None</v>
      </c>
      <c r="R84" s="83" t="str">
        <f>IF(ISNA(VLOOKUP($A84,Table3[],7,FALSE)),"Unknown",VLOOKUP($A84,Table3[],7,FALSE))</f>
        <v>Unknown</v>
      </c>
      <c r="S84" s="83" t="str">
        <f>IF(ISNA(VLOOKUP($A84,Table3[],8,FALSE)),"None",VLOOKUP($A84,Table3[],8,FALSE))</f>
        <v>None</v>
      </c>
      <c r="T84" s="84" t="str">
        <f>IF(ISNA(VLOOKUP($A84,Table3[],13,FALSE)),"Unknown",VLOOKUP($A84,Table3[],13,FALSE))</f>
        <v>Unknown</v>
      </c>
      <c r="U84" s="85" t="str">
        <f>IF(ISNA(VLOOKUP($A84,Table3[],14,FALSE)),"Unknown",VLOOKUP($A84,Table3[],14,FALSE))</f>
        <v>Unknown</v>
      </c>
      <c r="V84" s="84">
        <f>IF(ISNA(VLOOKUP($A84,Table3[],21,FALSE)),0,VLOOKUP($A84,Table3[],21,FALSE))</f>
        <v>0</v>
      </c>
      <c r="W84" s="85">
        <f>IF(ISNA(VLOOKUP($A84,Table3[],22,FALSE)),0,VLOOKUP($A84,Table3[],22,FALSE))</f>
        <v>0</v>
      </c>
    </row>
    <row r="85" spans="1:23" s="73" customFormat="1" x14ac:dyDescent="0.25">
      <c r="A85" s="35">
        <v>104</v>
      </c>
      <c r="B85" s="138" t="str">
        <f>VLOOKUP(A85,Registry!$A$4:$AA$241,2,FALSE)</f>
        <v>Rhodeside Acres</v>
      </c>
      <c r="C85" s="138" t="str">
        <f>VLOOKUP(A85,Registry!$A$4:$AA$241,3,FALSE)</f>
        <v>Franklin</v>
      </c>
      <c r="D85" s="138" t="str">
        <f>VLOOKUP(A85,Registry!$A$4:$AA$241,4,FALSE)</f>
        <v>Georgia</v>
      </c>
      <c r="E85" s="138">
        <f>IF(VLOOKUP(A85,Registry!$A$4:$AA$241,7,FALSE)=0,"",VLOOKUP(A85,Registry!$A$4:$AA$241,7,FALSE))</f>
        <v>1967</v>
      </c>
      <c r="F85" s="138" t="str">
        <f>IF(VLOOKUP(A85,Registry!$A$4:$AA$241,20,FALSE)=0,"",VLOOKUP(A85,Registry!$A$4:$AA$241,20,FALSE))</f>
        <v>For profit</v>
      </c>
      <c r="G85" s="138">
        <f>VLOOKUP(A85,Registry!$A$4:$AA$241,21,FALSE)</f>
        <v>14</v>
      </c>
      <c r="H85" s="81">
        <f>VLOOKUP($A85,Table4[],36,FALSE)</f>
        <v>1</v>
      </c>
      <c r="I85" s="129">
        <f>VLOOKUP($A85,Table4[],41,FALSE)</f>
        <v>0</v>
      </c>
      <c r="J85" s="81">
        <f>VLOOKUP($A85,Table4[],30,FALSE)</f>
        <v>0</v>
      </c>
      <c r="K85" s="82">
        <f>VLOOKUP($A85,Table4[],17,FALSE)</f>
        <v>0</v>
      </c>
      <c r="L85" s="82">
        <f>VLOOKUP($A85,Table4[],18,FALSE)</f>
        <v>0</v>
      </c>
      <c r="M85" s="82" t="str">
        <f>IF(VLOOKUP($A85,Table2[],8,FALSE)=0,"",VLOOKUP($A85,Table2[],8,FALSE))</f>
        <v xml:space="preserve">Community </v>
      </c>
      <c r="N85" s="82">
        <f>VLOOKUP($A85,Table2[],14,FALSE)</f>
        <v>9</v>
      </c>
      <c r="O85" s="82" t="str">
        <f>IF(VLOOKUP($A85,Table2[],15,FALSE)=0,"",VLOOKUP($A85,Table2[],15,FALSE))</f>
        <v>Individual On-Site</v>
      </c>
      <c r="P85" s="82" t="str">
        <f>IF(VLOOKUP($A85,Table2[],16,FALSE)=0,"",VLOOKUP($A85,Table2[],16,FALSE))</f>
        <v/>
      </c>
      <c r="Q85" s="83" t="str">
        <f>IF(ISNA(VLOOKUP($A85,Table3[],6,FALSE)),"None",VLOOKUP($A85,Table3[],6,FALSE))</f>
        <v>None</v>
      </c>
      <c r="R85" s="83" t="str">
        <f>IF(ISNA(VLOOKUP($A85,Table3[],7,FALSE)),"Unknown",VLOOKUP($A85,Table3[],7,FALSE))</f>
        <v>Unknown</v>
      </c>
      <c r="S85" s="83" t="str">
        <f>IF(ISNA(VLOOKUP($A85,Table3[],8,FALSE)),"None",VLOOKUP($A85,Table3[],8,FALSE))</f>
        <v>None</v>
      </c>
      <c r="T85" s="84" t="str">
        <f>IF(ISNA(VLOOKUP($A85,Table3[],13,FALSE)),"Unknown",VLOOKUP($A85,Table3[],13,FALSE))</f>
        <v>Unknown</v>
      </c>
      <c r="U85" s="85" t="str">
        <f>IF(ISNA(VLOOKUP($A85,Table3[],14,FALSE)),"Unknown",VLOOKUP($A85,Table3[],14,FALSE))</f>
        <v>Unknown</v>
      </c>
      <c r="V85" s="84">
        <f>IF(ISNA(VLOOKUP($A85,Table3[],21,FALSE)),0,VLOOKUP($A85,Table3[],21,FALSE))</f>
        <v>0</v>
      </c>
      <c r="W85" s="85">
        <f>IF(ISNA(VLOOKUP($A85,Table3[],22,FALSE)),0,VLOOKUP($A85,Table3[],22,FALSE))</f>
        <v>0</v>
      </c>
    </row>
    <row r="86" spans="1:23" s="73" customFormat="1" x14ac:dyDescent="0.25">
      <c r="A86" s="35">
        <v>181</v>
      </c>
      <c r="B86" s="138" t="str">
        <f>VLOOKUP(A86,Registry!$A$4:$AA$241,2,FALSE)</f>
        <v>ANDCO Mobile Home Park</v>
      </c>
      <c r="C86" s="138" t="str">
        <f>VLOOKUP(A86,Registry!$A$4:$AA$241,3,FALSE)</f>
        <v>Franklin</v>
      </c>
      <c r="D86" s="138" t="str">
        <f>VLOOKUP(A86,Registry!$A$4:$AA$241,4,FALSE)</f>
        <v>Highgate</v>
      </c>
      <c r="E86" s="138">
        <f>IF(VLOOKUP(A86,Registry!$A$4:$AA$241,7,FALSE)=0,"",VLOOKUP(A86,Registry!$A$4:$AA$241,7,FALSE))</f>
        <v>1966</v>
      </c>
      <c r="F86" s="138" t="str">
        <f>IF(VLOOKUP(A86,Registry!$A$4:$AA$241,20,FALSE)=0,"",VLOOKUP(A86,Registry!$A$4:$AA$241,20,FALSE))</f>
        <v>Cooperative</v>
      </c>
      <c r="G86" s="138">
        <f>VLOOKUP(A86,Registry!$A$4:$AA$241,21,FALSE)</f>
        <v>9</v>
      </c>
      <c r="H86" s="81">
        <f>VLOOKUP($A86,Table4[],36,FALSE)</f>
        <v>0.88888888888888884</v>
      </c>
      <c r="I86" s="129">
        <f>VLOOKUP($A86,Table4[],41,FALSE)</f>
        <v>0.125</v>
      </c>
      <c r="J86" s="81">
        <f>VLOOKUP($A86,Table4[],30,FALSE)</f>
        <v>0.1111111111111111</v>
      </c>
      <c r="K86" s="82">
        <f>VLOOKUP($A86,Table4[],17,FALSE)</f>
        <v>0</v>
      </c>
      <c r="L86" s="82">
        <f>VLOOKUP($A86,Table4[],18,FALSE)</f>
        <v>0</v>
      </c>
      <c r="M86" s="82" t="str">
        <f>IF(VLOOKUP($A86,Table2[],8,FALSE)=0,"",VLOOKUP($A86,Table2[],8,FALSE))</f>
        <v>Small-Scale (potable, &lt;25 users)</v>
      </c>
      <c r="N86" s="82">
        <f>VLOOKUP($A86,Table2[],14,FALSE)</f>
        <v>0</v>
      </c>
      <c r="O86" s="82" t="str">
        <f>IF(VLOOKUP($A86,Table2[],15,FALSE)=0,"",VLOOKUP($A86,Table2[],15,FALSE))</f>
        <v>On-site</v>
      </c>
      <c r="P86" s="82" t="str">
        <f>IF(VLOOKUP($A86,Table2[],16,FALSE)=0,"",VLOOKUP($A86,Table2[],16,FALSE))</f>
        <v/>
      </c>
      <c r="Q86" s="83" t="str">
        <f>IF(ISNA(VLOOKUP($A86,Table3[],6,FALSE)),"None",VLOOKUP($A86,Table3[],6,FALSE))</f>
        <v>None</v>
      </c>
      <c r="R86" s="83" t="str">
        <f>IF(ISNA(VLOOKUP($A86,Table3[],7,FALSE)),"Unknown",VLOOKUP($A86,Table3[],7,FALSE))</f>
        <v>Unknown</v>
      </c>
      <c r="S86" s="83" t="str">
        <f>IF(ISNA(VLOOKUP($A86,Table3[],8,FALSE)),"None",VLOOKUP($A86,Table3[],8,FALSE))</f>
        <v>None</v>
      </c>
      <c r="T86" s="84" t="str">
        <f>IF(ISNA(VLOOKUP($A86,Table3[],13,FALSE)),"Unknown",VLOOKUP($A86,Table3[],13,FALSE))</f>
        <v>Unknown</v>
      </c>
      <c r="U86" s="85" t="str">
        <f>IF(ISNA(VLOOKUP($A86,Table3[],14,FALSE)),"Unknown",VLOOKUP($A86,Table3[],14,FALSE))</f>
        <v>Unknown</v>
      </c>
      <c r="V86" s="84">
        <f>IF(ISNA(VLOOKUP($A86,Table3[],21,FALSE)),0,VLOOKUP($A86,Table3[],21,FALSE))</f>
        <v>0</v>
      </c>
      <c r="W86" s="85">
        <f>IF(ISNA(VLOOKUP($A86,Table3[],22,FALSE)),0,VLOOKUP($A86,Table3[],22,FALSE))</f>
        <v>0</v>
      </c>
    </row>
    <row r="87" spans="1:23" s="73" customFormat="1" x14ac:dyDescent="0.25">
      <c r="A87" s="35">
        <v>113</v>
      </c>
      <c r="B87" s="138" t="str">
        <f>VLOOKUP(A87,Registry!$A$4:$AA$241,2,FALSE)</f>
        <v>Desorcie Mobile Home Park</v>
      </c>
      <c r="C87" s="138" t="str">
        <f>VLOOKUP(A87,Registry!$A$4:$AA$241,3,FALSE)</f>
        <v>Franklin</v>
      </c>
      <c r="D87" s="138" t="str">
        <f>VLOOKUP(A87,Registry!$A$4:$AA$241,4,FALSE)</f>
        <v>Highgate</v>
      </c>
      <c r="E87" s="138">
        <f>IF(VLOOKUP(A87,Registry!$A$4:$AA$241,7,FALSE)=0,"",VLOOKUP(A87,Registry!$A$4:$AA$241,7,FALSE))</f>
        <v>1968</v>
      </c>
      <c r="F87" s="138" t="str">
        <f>IF(VLOOKUP(A87,Registry!$A$4:$AA$241,20,FALSE)=0,"",VLOOKUP(A87,Registry!$A$4:$AA$241,20,FALSE))</f>
        <v>For profit</v>
      </c>
      <c r="G87" s="138">
        <f>VLOOKUP(A87,Registry!$A$4:$AA$241,21,FALSE)</f>
        <v>5</v>
      </c>
      <c r="H87" s="81">
        <f>VLOOKUP($A87,Table4[],36,FALSE)</f>
        <v>1</v>
      </c>
      <c r="I87" s="129">
        <f>VLOOKUP($A87,Table4[],41,FALSE)</f>
        <v>3.2258064516129031E-2</v>
      </c>
      <c r="J87" s="81">
        <f>VLOOKUP($A87,Table4[],30,FALSE)</f>
        <v>0</v>
      </c>
      <c r="K87" s="82">
        <f>VLOOKUP($A87,Table4[],17,FALSE)</f>
        <v>0</v>
      </c>
      <c r="L87" s="82">
        <f>VLOOKUP($A87,Table4[],18,FALSE)</f>
        <v>0</v>
      </c>
      <c r="M87" s="82" t="str">
        <f>IF(VLOOKUP($A87,Table2[],8,FALSE)=0,"",VLOOKUP($A87,Table2[],8,FALSE))</f>
        <v>Small-Scale (potable, &lt;25 users)</v>
      </c>
      <c r="N87" s="82">
        <f>VLOOKUP($A87,Table2[],14,FALSE)</f>
        <v>0</v>
      </c>
      <c r="O87" s="82" t="str">
        <f>IF(VLOOKUP($A87,Table2[],15,FALSE)=0,"",VLOOKUP($A87,Table2[],15,FALSE))</f>
        <v>On-site</v>
      </c>
      <c r="P87" s="82" t="str">
        <f>IF(VLOOKUP($A87,Table2[],16,FALSE)=0,"",VLOOKUP($A87,Table2[],16,FALSE))</f>
        <v/>
      </c>
      <c r="Q87" s="83" t="str">
        <f>IF(ISNA(VLOOKUP($A87,Table3[],6,FALSE)),"None",VLOOKUP($A87,Table3[],6,FALSE))</f>
        <v>None</v>
      </c>
      <c r="R87" s="83" t="str">
        <f>IF(ISNA(VLOOKUP($A87,Table3[],7,FALSE)),"Unknown",VLOOKUP($A87,Table3[],7,FALSE))</f>
        <v>Unknown</v>
      </c>
      <c r="S87" s="83" t="str">
        <f>IF(ISNA(VLOOKUP($A87,Table3[],8,FALSE)),"None",VLOOKUP($A87,Table3[],8,FALSE))</f>
        <v>None</v>
      </c>
      <c r="T87" s="84" t="str">
        <f>IF(ISNA(VLOOKUP($A87,Table3[],13,FALSE)),"Unknown",VLOOKUP($A87,Table3[],13,FALSE))</f>
        <v>Unknown</v>
      </c>
      <c r="U87" s="85" t="str">
        <f>IF(ISNA(VLOOKUP($A87,Table3[],14,FALSE)),"Unknown",VLOOKUP($A87,Table3[],14,FALSE))</f>
        <v>Unknown</v>
      </c>
      <c r="V87" s="84">
        <f>IF(ISNA(VLOOKUP($A87,Table3[],21,FALSE)),0,VLOOKUP($A87,Table3[],21,FALSE))</f>
        <v>0</v>
      </c>
      <c r="W87" s="85">
        <f>IF(ISNA(VLOOKUP($A87,Table3[],22,FALSE)),0,VLOOKUP($A87,Table3[],22,FALSE))</f>
        <v>0</v>
      </c>
    </row>
    <row r="88" spans="1:23" s="73" customFormat="1" x14ac:dyDescent="0.25">
      <c r="A88" s="35">
        <v>103</v>
      </c>
      <c r="B88" s="138" t="str">
        <f>VLOOKUP(A88,Registry!$A$4:$AA$241,2,FALSE)</f>
        <v>Lamkin Trailer Park</v>
      </c>
      <c r="C88" s="138" t="str">
        <f>VLOOKUP(A88,Registry!$A$4:$AA$241,3,FALSE)</f>
        <v>Franklin</v>
      </c>
      <c r="D88" s="138" t="str">
        <f>VLOOKUP(A88,Registry!$A$4:$AA$241,4,FALSE)</f>
        <v>Highgate</v>
      </c>
      <c r="E88" s="138">
        <f>IF(VLOOKUP(A88,Registry!$A$4:$AA$241,7,FALSE)=0,"",VLOOKUP(A88,Registry!$A$4:$AA$241,7,FALSE))</f>
        <v>1982</v>
      </c>
      <c r="F88" s="138" t="str">
        <f>IF(VLOOKUP(A88,Registry!$A$4:$AA$241,20,FALSE)=0,"",VLOOKUP(A88,Registry!$A$4:$AA$241,20,FALSE))</f>
        <v>For profit</v>
      </c>
      <c r="G88" s="138">
        <f>VLOOKUP(A88,Registry!$A$4:$AA$241,21,FALSE)</f>
        <v>9</v>
      </c>
      <c r="H88" s="81">
        <f>VLOOKUP($A88,Table4[],36,FALSE)</f>
        <v>1</v>
      </c>
      <c r="I88" s="129" t="str">
        <f>VLOOKUP($A88,Table4[],41,FALSE)</f>
        <v>-</v>
      </c>
      <c r="J88" s="81">
        <f>VLOOKUP($A88,Table4[],30,FALSE)</f>
        <v>0</v>
      </c>
      <c r="K88" s="82">
        <f>VLOOKUP($A88,Table4[],17,FALSE)</f>
        <v>0</v>
      </c>
      <c r="L88" s="82">
        <f>VLOOKUP($A88,Table4[],18,FALSE)</f>
        <v>0</v>
      </c>
      <c r="M88" s="82" t="str">
        <f>IF(VLOOKUP($A88,Table2[],8,FALSE)=0,"",VLOOKUP($A88,Table2[],8,FALSE))</f>
        <v>Small-Scale (potable, &lt;25 users)</v>
      </c>
      <c r="N88" s="82">
        <f>VLOOKUP($A88,Table2[],14,FALSE)</f>
        <v>0</v>
      </c>
      <c r="O88" s="82" t="str">
        <f>IF(VLOOKUP($A88,Table2[],15,FALSE)=0,"",VLOOKUP($A88,Table2[],15,FALSE))</f>
        <v>On-site</v>
      </c>
      <c r="P88" s="82" t="str">
        <f>IF(VLOOKUP($A88,Table2[],16,FALSE)=0,"",VLOOKUP($A88,Table2[],16,FALSE))</f>
        <v>MH-6-0005</v>
      </c>
      <c r="Q88" s="83" t="str">
        <f>IF(ISNA(VLOOKUP($A88,Table3[],6,FALSE)),"None",VLOOKUP($A88,Table3[],6,FALSE))</f>
        <v>None</v>
      </c>
      <c r="R88" s="83" t="str">
        <f>IF(ISNA(VLOOKUP($A88,Table3[],7,FALSE)),"Unknown",VLOOKUP($A88,Table3[],7,FALSE))</f>
        <v>Unknown</v>
      </c>
      <c r="S88" s="83" t="str">
        <f>IF(ISNA(VLOOKUP($A88,Table3[],8,FALSE)),"None",VLOOKUP($A88,Table3[],8,FALSE))</f>
        <v>None</v>
      </c>
      <c r="T88" s="84" t="str">
        <f>IF(ISNA(VLOOKUP($A88,Table3[],13,FALSE)),"Unknown",VLOOKUP($A88,Table3[],13,FALSE))</f>
        <v>Unknown</v>
      </c>
      <c r="U88" s="85" t="str">
        <f>IF(ISNA(VLOOKUP($A88,Table3[],14,FALSE)),"Unknown",VLOOKUP($A88,Table3[],14,FALSE))</f>
        <v>Unknown</v>
      </c>
      <c r="V88" s="84">
        <f>IF(ISNA(VLOOKUP($A88,Table3[],21,FALSE)),0,VLOOKUP($A88,Table3[],21,FALSE))</f>
        <v>0</v>
      </c>
      <c r="W88" s="85">
        <f>IF(ISNA(VLOOKUP($A88,Table3[],22,FALSE)),0,VLOOKUP($A88,Table3[],22,FALSE))</f>
        <v>0</v>
      </c>
    </row>
    <row r="89" spans="1:23" s="73" customFormat="1" x14ac:dyDescent="0.25">
      <c r="A89" s="35">
        <v>98</v>
      </c>
      <c r="B89" s="138" t="str">
        <f>VLOOKUP(A89,Registry!$A$4:$AA$241,2,FALSE)</f>
        <v>LynnLou Mobile Home Park</v>
      </c>
      <c r="C89" s="138" t="str">
        <f>VLOOKUP(A89,Registry!$A$4:$AA$241,3,FALSE)</f>
        <v>Franklin</v>
      </c>
      <c r="D89" s="138" t="str">
        <f>VLOOKUP(A89,Registry!$A$4:$AA$241,4,FALSE)</f>
        <v>Highgate</v>
      </c>
      <c r="E89" s="138">
        <f>IF(VLOOKUP(A89,Registry!$A$4:$AA$241,7,FALSE)=0,"",VLOOKUP(A89,Registry!$A$4:$AA$241,7,FALSE))</f>
        <v>1970</v>
      </c>
      <c r="F89" s="138" t="str">
        <f>IF(VLOOKUP(A89,Registry!$A$4:$AA$241,20,FALSE)=0,"",VLOOKUP(A89,Registry!$A$4:$AA$241,20,FALSE))</f>
        <v>For profit</v>
      </c>
      <c r="G89" s="138">
        <f>VLOOKUP(A89,Registry!$A$4:$AA$241,21,FALSE)</f>
        <v>8</v>
      </c>
      <c r="H89" s="81">
        <f>VLOOKUP($A89,Table4[],36,FALSE)</f>
        <v>0.75</v>
      </c>
      <c r="I89" s="129">
        <f>VLOOKUP($A89,Table4[],41,FALSE)</f>
        <v>4.1825095057034217E-2</v>
      </c>
      <c r="J89" s="81">
        <f>VLOOKUP($A89,Table4[],30,FALSE)</f>
        <v>0</v>
      </c>
      <c r="K89" s="82">
        <f>VLOOKUP($A89,Table4[],17,FALSE)</f>
        <v>0</v>
      </c>
      <c r="L89" s="82">
        <f>VLOOKUP($A89,Table4[],18,FALSE)</f>
        <v>0</v>
      </c>
      <c r="M89" s="82" t="str">
        <f>IF(VLOOKUP($A89,Table2[],8,FALSE)=0,"",VLOOKUP($A89,Table2[],8,FALSE))</f>
        <v>Small-Scale (potable, &lt;25 users)</v>
      </c>
      <c r="N89" s="82">
        <f>VLOOKUP($A89,Table2[],14,FALSE)</f>
        <v>0</v>
      </c>
      <c r="O89" s="82" t="str">
        <f>IF(VLOOKUP($A89,Table2[],15,FALSE)=0,"",VLOOKUP($A89,Table2[],15,FALSE))</f>
        <v>On-site</v>
      </c>
      <c r="P89" s="82" t="str">
        <f>IF(VLOOKUP($A89,Table2[],16,FALSE)=0,"",VLOOKUP($A89,Table2[],16,FALSE))</f>
        <v/>
      </c>
      <c r="Q89" s="83" t="str">
        <f>IF(ISNA(VLOOKUP($A89,Table3[],6,FALSE)),"None",VLOOKUP($A89,Table3[],6,FALSE))</f>
        <v>None</v>
      </c>
      <c r="R89" s="83" t="str">
        <f>IF(ISNA(VLOOKUP($A89,Table3[],7,FALSE)),"Unknown",VLOOKUP($A89,Table3[],7,FALSE))</f>
        <v>Unknown</v>
      </c>
      <c r="S89" s="83" t="str">
        <f>IF(ISNA(VLOOKUP($A89,Table3[],8,FALSE)),"None",VLOOKUP($A89,Table3[],8,FALSE))</f>
        <v>None</v>
      </c>
      <c r="T89" s="84" t="str">
        <f>IF(ISNA(VLOOKUP($A89,Table3[],13,FALSE)),"Unknown",VLOOKUP($A89,Table3[],13,FALSE))</f>
        <v>Unknown</v>
      </c>
      <c r="U89" s="85" t="str">
        <f>IF(ISNA(VLOOKUP($A89,Table3[],14,FALSE)),"Unknown",VLOOKUP($A89,Table3[],14,FALSE))</f>
        <v>Unknown</v>
      </c>
      <c r="V89" s="84">
        <f>IF(ISNA(VLOOKUP($A89,Table3[],21,FALSE)),0,VLOOKUP($A89,Table3[],21,FALSE))</f>
        <v>0</v>
      </c>
      <c r="W89" s="85">
        <f>IF(ISNA(VLOOKUP($A89,Table3[],22,FALSE)),0,VLOOKUP($A89,Table3[],22,FALSE))</f>
        <v>0</v>
      </c>
    </row>
    <row r="90" spans="1:23" s="73" customFormat="1" x14ac:dyDescent="0.25">
      <c r="A90" s="35">
        <v>100</v>
      </c>
      <c r="B90" s="138" t="str">
        <f>VLOOKUP(A90,Registry!$A$4:$AA$241,2,FALSE)</f>
        <v>N and A Pine Haven Inc.</v>
      </c>
      <c r="C90" s="138" t="str">
        <f>VLOOKUP(A90,Registry!$A$4:$AA$241,3,FALSE)</f>
        <v>Franklin</v>
      </c>
      <c r="D90" s="138" t="str">
        <f>VLOOKUP(A90,Registry!$A$4:$AA$241,4,FALSE)</f>
        <v>Highgate</v>
      </c>
      <c r="E90" s="138">
        <f>IF(VLOOKUP(A90,Registry!$A$4:$AA$241,7,FALSE)=0,"",VLOOKUP(A90,Registry!$A$4:$AA$241,7,FALSE))</f>
        <v>1992</v>
      </c>
      <c r="F90" s="138" t="str">
        <f>IF(VLOOKUP(A90,Registry!$A$4:$AA$241,20,FALSE)=0,"",VLOOKUP(A90,Registry!$A$4:$AA$241,20,FALSE))</f>
        <v>For profit</v>
      </c>
      <c r="G90" s="138">
        <f>VLOOKUP(A90,Registry!$A$4:$AA$241,21,FALSE)</f>
        <v>7</v>
      </c>
      <c r="H90" s="81">
        <f>VLOOKUP($A90,Table4[],36,FALSE)</f>
        <v>1</v>
      </c>
      <c r="I90" s="129">
        <f>VLOOKUP($A90,Table4[],41,FALSE)</f>
        <v>4.6875E-2</v>
      </c>
      <c r="J90" s="81">
        <f>VLOOKUP($A90,Table4[],30,FALSE)</f>
        <v>0</v>
      </c>
      <c r="K90" s="82">
        <f>VLOOKUP($A90,Table4[],17,FALSE)</f>
        <v>0</v>
      </c>
      <c r="L90" s="82">
        <f>VLOOKUP($A90,Table4[],18,FALSE)</f>
        <v>0</v>
      </c>
      <c r="M90" s="82" t="str">
        <f>IF(VLOOKUP($A90,Table2[],8,FALSE)=0,"",VLOOKUP($A90,Table2[],8,FALSE))</f>
        <v>Small-Scale (potable, &lt;25 users)</v>
      </c>
      <c r="N90" s="82">
        <f>VLOOKUP($A90,Table2[],14,FALSE)</f>
        <v>0</v>
      </c>
      <c r="O90" s="82" t="str">
        <f>IF(VLOOKUP($A90,Table2[],15,FALSE)=0,"",VLOOKUP($A90,Table2[],15,FALSE))</f>
        <v>Individual On-Site</v>
      </c>
      <c r="P90" s="82" t="str">
        <f>IF(VLOOKUP($A90,Table2[],16,FALSE)=0,"",VLOOKUP($A90,Table2[],16,FALSE))</f>
        <v>MH-6-0010</v>
      </c>
      <c r="Q90" s="83" t="str">
        <f>IF(ISNA(VLOOKUP($A90,Table3[],6,FALSE)),"None",VLOOKUP($A90,Table3[],6,FALSE))</f>
        <v>None</v>
      </c>
      <c r="R90" s="83" t="str">
        <f>IF(ISNA(VLOOKUP($A90,Table3[],7,FALSE)),"Unknown",VLOOKUP($A90,Table3[],7,FALSE))</f>
        <v>Unknown</v>
      </c>
      <c r="S90" s="83" t="str">
        <f>IF(ISNA(VLOOKUP($A90,Table3[],8,FALSE)),"None",VLOOKUP($A90,Table3[],8,FALSE))</f>
        <v>None</v>
      </c>
      <c r="T90" s="84" t="str">
        <f>IF(ISNA(VLOOKUP($A90,Table3[],13,FALSE)),"Unknown",VLOOKUP($A90,Table3[],13,FALSE))</f>
        <v>Unknown</v>
      </c>
      <c r="U90" s="85" t="str">
        <f>IF(ISNA(VLOOKUP($A90,Table3[],14,FALSE)),"Unknown",VLOOKUP($A90,Table3[],14,FALSE))</f>
        <v>Unknown</v>
      </c>
      <c r="V90" s="84">
        <f>IF(ISNA(VLOOKUP($A90,Table3[],21,FALSE)),0,VLOOKUP($A90,Table3[],21,FALSE))</f>
        <v>0</v>
      </c>
      <c r="W90" s="85">
        <f>IF(ISNA(VLOOKUP($A90,Table3[],22,FALSE)),0,VLOOKUP($A90,Table3[],22,FALSE))</f>
        <v>0</v>
      </c>
    </row>
    <row r="91" spans="1:23" s="73" customFormat="1" x14ac:dyDescent="0.25">
      <c r="A91" s="35">
        <v>71</v>
      </c>
      <c r="B91" s="138" t="str">
        <f>VLOOKUP(A91,Registry!$A$4:$AA$241,2,FALSE)</f>
        <v>Pine Haven Estates A</v>
      </c>
      <c r="C91" s="138" t="str">
        <f>VLOOKUP(A91,Registry!$A$4:$AA$241,3,FALSE)</f>
        <v>Franklin</v>
      </c>
      <c r="D91" s="138" t="str">
        <f>VLOOKUP(A91,Registry!$A$4:$AA$241,4,FALSE)</f>
        <v>Richford</v>
      </c>
      <c r="E91" s="138">
        <f>IF(VLOOKUP(A91,Registry!$A$4:$AA$241,7,FALSE)=0,"",VLOOKUP(A91,Registry!$A$4:$AA$241,7,FALSE))</f>
        <v>1966</v>
      </c>
      <c r="F91" s="138" t="str">
        <f>IF(VLOOKUP(A91,Registry!$A$4:$AA$241,20,FALSE)=0,"",VLOOKUP(A91,Registry!$A$4:$AA$241,20,FALSE))</f>
        <v>For profit</v>
      </c>
      <c r="G91" s="138">
        <f>VLOOKUP(A91,Registry!$A$4:$AA$241,21,FALSE)</f>
        <v>10</v>
      </c>
      <c r="H91" s="81">
        <f>VLOOKUP($A91,Table4[],36,FALSE)</f>
        <v>1</v>
      </c>
      <c r="I91" s="129">
        <f>VLOOKUP($A91,Table4[],41,FALSE)</f>
        <v>0.34677419354838712</v>
      </c>
      <c r="J91" s="81">
        <f>VLOOKUP($A91,Table4[],30,FALSE)</f>
        <v>0</v>
      </c>
      <c r="K91" s="82">
        <f>VLOOKUP($A91,Table4[],17,FALSE)</f>
        <v>0</v>
      </c>
      <c r="L91" s="82">
        <f>VLOOKUP($A91,Table4[],18,FALSE)</f>
        <v>0</v>
      </c>
      <c r="M91" s="82" t="str">
        <f>IF(VLOOKUP($A91,Table2[],8,FALSE)=0,"",VLOOKUP($A91,Table2[],8,FALSE))</f>
        <v>Municipal</v>
      </c>
      <c r="N91" s="82">
        <f>VLOOKUP($A91,Table2[],14,FALSE)</f>
        <v>0</v>
      </c>
      <c r="O91" s="82" t="str">
        <f>IF(VLOOKUP($A91,Table2[],15,FALSE)=0,"",VLOOKUP($A91,Table2[],15,FALSE))</f>
        <v>Municipal</v>
      </c>
      <c r="P91" s="82" t="str">
        <f>IF(VLOOKUP($A91,Table2[],16,FALSE)=0,"",VLOOKUP($A91,Table2[],16,FALSE))</f>
        <v/>
      </c>
      <c r="Q91" s="83" t="str">
        <f>IF(ISNA(VLOOKUP($A91,Table3[],6,FALSE)),"None",VLOOKUP($A91,Table3[],6,FALSE))</f>
        <v>100 Year Flood Plain</v>
      </c>
      <c r="R91" s="83" t="str">
        <f>IF(ISNA(VLOOKUP($A91,Table3[],7,FALSE)),"Unknown",VLOOKUP($A91,Table3[],7,FALSE))</f>
        <v>Unknown</v>
      </c>
      <c r="S91" s="83" t="str">
        <f>IF(ISNA(VLOOKUP($A91,Table3[],8,FALSE)),"None",VLOOKUP($A91,Table3[],8,FALSE))</f>
        <v>100 Year Flood Plain</v>
      </c>
      <c r="T91" s="84">
        <f>IF(ISNA(VLOOKUP($A91,Table3[],13,FALSE)),"Unknown",VLOOKUP($A91,Table3[],13,FALSE))</f>
        <v>0</v>
      </c>
      <c r="U91" s="85">
        <f>IF(ISNA(VLOOKUP($A91,Table3[],14,FALSE)),"Unknown",VLOOKUP($A91,Table3[],14,FALSE))</f>
        <v>0</v>
      </c>
      <c r="V91" s="84">
        <f>IF(ISNA(VLOOKUP($A91,Table3[],21,FALSE)),0,VLOOKUP($A91,Table3[],21,FALSE))</f>
        <v>2</v>
      </c>
      <c r="W91" s="85">
        <f>IF(ISNA(VLOOKUP($A91,Table3[],22,FALSE)),0,VLOOKUP($A91,Table3[],22,FALSE))</f>
        <v>0.2</v>
      </c>
    </row>
    <row r="92" spans="1:23" s="73" customFormat="1" x14ac:dyDescent="0.25">
      <c r="A92" s="35">
        <v>70</v>
      </c>
      <c r="B92" s="138" t="str">
        <f>VLOOKUP(A92,Registry!$A$4:$AA$241,2,FALSE)</f>
        <v>Pine Haven Estates B</v>
      </c>
      <c r="C92" s="138" t="str">
        <f>VLOOKUP(A92,Registry!$A$4:$AA$241,3,FALSE)</f>
        <v>Franklin</v>
      </c>
      <c r="D92" s="138" t="str">
        <f>VLOOKUP(A92,Registry!$A$4:$AA$241,4,FALSE)</f>
        <v>Richford</v>
      </c>
      <c r="E92" s="138">
        <f>IF(VLOOKUP(A92,Registry!$A$4:$AA$241,7,FALSE)=0,"",VLOOKUP(A92,Registry!$A$4:$AA$241,7,FALSE))</f>
        <v>1970</v>
      </c>
      <c r="F92" s="138" t="str">
        <f>IF(VLOOKUP(A92,Registry!$A$4:$AA$241,20,FALSE)=0,"",VLOOKUP(A92,Registry!$A$4:$AA$241,20,FALSE))</f>
        <v>For profit</v>
      </c>
      <c r="G92" s="138">
        <f>VLOOKUP(A92,Registry!$A$4:$AA$241,21,FALSE)</f>
        <v>19</v>
      </c>
      <c r="H92" s="81">
        <f>VLOOKUP($A92,Table4[],36,FALSE)</f>
        <v>0.63157894736842102</v>
      </c>
      <c r="I92" s="129">
        <f>VLOOKUP($A92,Table4[],41,FALSE)</f>
        <v>0.34677419354838712</v>
      </c>
      <c r="J92" s="81">
        <f>VLOOKUP($A92,Table4[],30,FALSE)</f>
        <v>-0.15789473684210525</v>
      </c>
      <c r="K92" s="82">
        <f>VLOOKUP($A92,Table4[],17,FALSE)</f>
        <v>0</v>
      </c>
      <c r="L92" s="82">
        <f>VLOOKUP($A92,Table4[],18,FALSE)</f>
        <v>0</v>
      </c>
      <c r="M92" s="82" t="str">
        <f>IF(VLOOKUP($A92,Table2[],8,FALSE)=0,"",VLOOKUP($A92,Table2[],8,FALSE))</f>
        <v>Municipal</v>
      </c>
      <c r="N92" s="82">
        <f>VLOOKUP($A92,Table2[],14,FALSE)</f>
        <v>0</v>
      </c>
      <c r="O92" s="82" t="str">
        <f>IF(VLOOKUP($A92,Table2[],15,FALSE)=0,"",VLOOKUP($A92,Table2[],15,FALSE))</f>
        <v>Municipal</v>
      </c>
      <c r="P92" s="82" t="str">
        <f>IF(VLOOKUP($A92,Table2[],16,FALSE)=0,"",VLOOKUP($A92,Table2[],16,FALSE))</f>
        <v/>
      </c>
      <c r="Q92" s="83" t="str">
        <f>IF(ISNA(VLOOKUP($A92,Table3[],6,FALSE)),"None",VLOOKUP($A92,Table3[],6,FALSE))</f>
        <v>None</v>
      </c>
      <c r="R92" s="83" t="str">
        <f>IF(ISNA(VLOOKUP($A92,Table3[],7,FALSE)),"Unknown",VLOOKUP($A92,Table3[],7,FALSE))</f>
        <v>Unknown</v>
      </c>
      <c r="S92" s="83" t="str">
        <f>IF(ISNA(VLOOKUP($A92,Table3[],8,FALSE)),"None",VLOOKUP($A92,Table3[],8,FALSE))</f>
        <v>None</v>
      </c>
      <c r="T92" s="84" t="str">
        <f>IF(ISNA(VLOOKUP($A92,Table3[],13,FALSE)),"Unknown",VLOOKUP($A92,Table3[],13,FALSE))</f>
        <v>Unknown</v>
      </c>
      <c r="U92" s="85" t="str">
        <f>IF(ISNA(VLOOKUP($A92,Table3[],14,FALSE)),"Unknown",VLOOKUP($A92,Table3[],14,FALSE))</f>
        <v>Unknown</v>
      </c>
      <c r="V92" s="84">
        <f>IF(ISNA(VLOOKUP($A92,Table3[],21,FALSE)),0,VLOOKUP($A92,Table3[],21,FALSE))</f>
        <v>0</v>
      </c>
      <c r="W92" s="85">
        <f>IF(ISNA(VLOOKUP($A92,Table3[],22,FALSE)),0,VLOOKUP($A92,Table3[],22,FALSE))</f>
        <v>0</v>
      </c>
    </row>
    <row r="93" spans="1:23" s="73" customFormat="1" x14ac:dyDescent="0.25">
      <c r="A93" s="35">
        <v>109</v>
      </c>
      <c r="B93" s="138" t="str">
        <f>VLOOKUP(A93,Registry!$A$4:$AA$241,2,FALSE)</f>
        <v>Kittell's Mobile Home Park</v>
      </c>
      <c r="C93" s="138" t="str">
        <f>VLOOKUP(A93,Registry!$A$4:$AA$241,3,FALSE)</f>
        <v>Franklin</v>
      </c>
      <c r="D93" s="138" t="str">
        <f>VLOOKUP(A93,Registry!$A$4:$AA$241,4,FALSE)</f>
        <v>Sheldon</v>
      </c>
      <c r="E93" s="138">
        <f>IF(VLOOKUP(A93,Registry!$A$4:$AA$241,7,FALSE)=0,"",VLOOKUP(A93,Registry!$A$4:$AA$241,7,FALSE))</f>
        <v>1968</v>
      </c>
      <c r="F93" s="138" t="str">
        <f>IF(VLOOKUP(A93,Registry!$A$4:$AA$241,20,FALSE)=0,"",VLOOKUP(A93,Registry!$A$4:$AA$241,20,FALSE))</f>
        <v>For profit</v>
      </c>
      <c r="G93" s="138">
        <f>VLOOKUP(A93,Registry!$A$4:$AA$241,21,FALSE)</f>
        <v>7</v>
      </c>
      <c r="H93" s="81">
        <f>VLOOKUP($A93,Table4[],36,FALSE)</f>
        <v>1</v>
      </c>
      <c r="I93" s="129">
        <f>VLOOKUP($A93,Table4[],41,FALSE)</f>
        <v>3.7999999999999971E-2</v>
      </c>
      <c r="J93" s="81">
        <f>VLOOKUP($A93,Table4[],30,FALSE)</f>
        <v>0</v>
      </c>
      <c r="K93" s="82">
        <f>VLOOKUP($A93,Table4[],17,FALSE)</f>
        <v>0</v>
      </c>
      <c r="L93" s="82">
        <f>VLOOKUP($A93,Table4[],18,FALSE)</f>
        <v>0</v>
      </c>
      <c r="M93" s="82" t="str">
        <f>IF(VLOOKUP($A93,Table2[],8,FALSE)=0,"",VLOOKUP($A93,Table2[],8,FALSE))</f>
        <v>Small-Scale (potable, &lt;25 users)</v>
      </c>
      <c r="N93" s="82">
        <f>VLOOKUP($A93,Table2[],14,FALSE)</f>
        <v>0</v>
      </c>
      <c r="O93" s="82" t="str">
        <f>IF(VLOOKUP($A93,Table2[],15,FALSE)=0,"",VLOOKUP($A93,Table2[],15,FALSE))</f>
        <v>On-site</v>
      </c>
      <c r="P93" s="82" t="str">
        <f>IF(VLOOKUP($A93,Table2[],16,FALSE)=0,"",VLOOKUP($A93,Table2[],16,FALSE))</f>
        <v/>
      </c>
      <c r="Q93" s="83" t="str">
        <f>IF(ISNA(VLOOKUP($A93,Table3[],6,FALSE)),"None",VLOOKUP($A93,Table3[],6,FALSE))</f>
        <v>None</v>
      </c>
      <c r="R93" s="83" t="str">
        <f>IF(ISNA(VLOOKUP($A93,Table3[],7,FALSE)),"Unknown",VLOOKUP($A93,Table3[],7,FALSE))</f>
        <v>Unknown</v>
      </c>
      <c r="S93" s="83" t="str">
        <f>IF(ISNA(VLOOKUP($A93,Table3[],8,FALSE)),"None",VLOOKUP($A93,Table3[],8,FALSE))</f>
        <v>None</v>
      </c>
      <c r="T93" s="84" t="str">
        <f>IF(ISNA(VLOOKUP($A93,Table3[],13,FALSE)),"Unknown",VLOOKUP($A93,Table3[],13,FALSE))</f>
        <v>Unknown</v>
      </c>
      <c r="U93" s="85" t="str">
        <f>IF(ISNA(VLOOKUP($A93,Table3[],14,FALSE)),"Unknown",VLOOKUP($A93,Table3[],14,FALSE))</f>
        <v>Unknown</v>
      </c>
      <c r="V93" s="84">
        <f>IF(ISNA(VLOOKUP($A93,Table3[],21,FALSE)),0,VLOOKUP($A93,Table3[],21,FALSE))</f>
        <v>0</v>
      </c>
      <c r="W93" s="85">
        <f>IF(ISNA(VLOOKUP($A93,Table3[],22,FALSE)),0,VLOOKUP($A93,Table3[],22,FALSE))</f>
        <v>0</v>
      </c>
    </row>
    <row r="94" spans="1:23" s="73" customFormat="1" x14ac:dyDescent="0.25">
      <c r="A94" s="35">
        <v>118</v>
      </c>
      <c r="B94" s="138" t="str">
        <f>VLOOKUP(A94,Registry!$A$4:$AA$241,2,FALSE)</f>
        <v>Brierwood Mobile Home Park</v>
      </c>
      <c r="C94" s="138" t="str">
        <f>VLOOKUP(A94,Registry!$A$4:$AA$241,3,FALSE)</f>
        <v>Franklin</v>
      </c>
      <c r="D94" s="138" t="str">
        <f>VLOOKUP(A94,Registry!$A$4:$AA$241,4,FALSE)</f>
        <v>St. Albans</v>
      </c>
      <c r="E94" s="138">
        <f>IF(VLOOKUP(A94,Registry!$A$4:$AA$241,7,FALSE)=0,"",VLOOKUP(A94,Registry!$A$4:$AA$241,7,FALSE))</f>
        <v>1953</v>
      </c>
      <c r="F94" s="138" t="str">
        <f>IF(VLOOKUP(A94,Registry!$A$4:$AA$241,20,FALSE)=0,"",VLOOKUP(A94,Registry!$A$4:$AA$241,20,FALSE))</f>
        <v>For profit</v>
      </c>
      <c r="G94" s="138">
        <f>VLOOKUP(A94,Registry!$A$4:$AA$241,21,FALSE)</f>
        <v>30</v>
      </c>
      <c r="H94" s="81">
        <f>VLOOKUP($A94,Table4[],36,FALSE)</f>
        <v>0.73333333333333328</v>
      </c>
      <c r="I94" s="129">
        <f>VLOOKUP($A94,Table4[],41,FALSE)</f>
        <v>2.8571428571428571E-2</v>
      </c>
      <c r="J94" s="81">
        <f>VLOOKUP($A94,Table4[],30,FALSE)</f>
        <v>-0.13333333333333333</v>
      </c>
      <c r="K94" s="82">
        <f>VLOOKUP($A94,Table4[],17,FALSE)</f>
        <v>0</v>
      </c>
      <c r="L94" s="82">
        <f>VLOOKUP($A94,Table4[],18,FALSE)</f>
        <v>-2</v>
      </c>
      <c r="M94" s="82" t="str">
        <f>IF(VLOOKUP($A94,Table2[],8,FALSE)=0,"",VLOOKUP($A94,Table2[],8,FALSE))</f>
        <v>Consecutive Community</v>
      </c>
      <c r="N94" s="82">
        <f>VLOOKUP($A94,Table2[],14,FALSE)</f>
        <v>0</v>
      </c>
      <c r="O94" s="82" t="str">
        <f>IF(VLOOKUP($A94,Table2[],15,FALSE)=0,"",VLOOKUP($A94,Table2[],15,FALSE))</f>
        <v>Municipal</v>
      </c>
      <c r="P94" s="82" t="str">
        <f>IF(VLOOKUP($A94,Table2[],16,FALSE)=0,"",VLOOKUP($A94,Table2[],16,FALSE))</f>
        <v/>
      </c>
      <c r="Q94" s="83" t="str">
        <f>IF(ISNA(VLOOKUP($A94,Table3[],6,FALSE)),"None",VLOOKUP($A94,Table3[],6,FALSE))</f>
        <v>500 Year Flood Plain</v>
      </c>
      <c r="R94" s="83" t="str">
        <f>IF(ISNA(VLOOKUP($A94,Table3[],7,FALSE)),"Unknown",VLOOKUP($A94,Table3[],7,FALSE))</f>
        <v>None</v>
      </c>
      <c r="S94" s="83" t="str">
        <f>IF(ISNA(VLOOKUP($A94,Table3[],8,FALSE)),"None",VLOOKUP($A94,Table3[],8,FALSE))</f>
        <v>500 Year Flood Plain</v>
      </c>
      <c r="T94" s="84">
        <f>IF(ISNA(VLOOKUP($A94,Table3[],13,FALSE)),"Unknown",VLOOKUP($A94,Table3[],13,FALSE))</f>
        <v>0</v>
      </c>
      <c r="U94" s="85">
        <f>IF(ISNA(VLOOKUP($A94,Table3[],14,FALSE)),"Unknown",VLOOKUP($A94,Table3[],14,FALSE))</f>
        <v>0</v>
      </c>
      <c r="V94" s="84">
        <f>IF(ISNA(VLOOKUP($A94,Table3[],21,FALSE)),0,VLOOKUP($A94,Table3[],21,FALSE))</f>
        <v>26</v>
      </c>
      <c r="W94" s="85">
        <f>IF(ISNA(VLOOKUP($A94,Table3[],22,FALSE)),0,VLOOKUP($A94,Table3[],22,FALSE))</f>
        <v>0.8666666666666667</v>
      </c>
    </row>
    <row r="95" spans="1:23" s="73" customFormat="1" x14ac:dyDescent="0.25">
      <c r="A95" s="35">
        <v>107</v>
      </c>
      <c r="B95" s="138" t="str">
        <f>VLOOKUP(A95,Registry!$A$4:$AA$241,2,FALSE)</f>
        <v>Giroux's Mobile Home Park</v>
      </c>
      <c r="C95" s="138" t="str">
        <f>VLOOKUP(A95,Registry!$A$4:$AA$241,3,FALSE)</f>
        <v>Franklin</v>
      </c>
      <c r="D95" s="138" t="str">
        <f>VLOOKUP(A95,Registry!$A$4:$AA$241,4,FALSE)</f>
        <v>St. Albans</v>
      </c>
      <c r="E95" s="138">
        <f>IF(VLOOKUP(A95,Registry!$A$4:$AA$241,7,FALSE)=0,"",VLOOKUP(A95,Registry!$A$4:$AA$241,7,FALSE))</f>
        <v>2014</v>
      </c>
      <c r="F95" s="138" t="str">
        <f>IF(VLOOKUP(A95,Registry!$A$4:$AA$241,20,FALSE)=0,"",VLOOKUP(A95,Registry!$A$4:$AA$241,20,FALSE))</f>
        <v>For profit</v>
      </c>
      <c r="G95" s="138">
        <f>VLOOKUP(A95,Registry!$A$4:$AA$241,21,FALSE)</f>
        <v>13</v>
      </c>
      <c r="H95" s="81">
        <f>VLOOKUP($A95,Table4[],36,FALSE)</f>
        <v>1</v>
      </c>
      <c r="I95" s="129">
        <f>VLOOKUP($A95,Table4[],41,FALSE)</f>
        <v>4.6349104345730432E-2</v>
      </c>
      <c r="J95" s="81">
        <f>VLOOKUP($A95,Table4[],30,FALSE)</f>
        <v>0</v>
      </c>
      <c r="K95" s="82">
        <f>VLOOKUP($A95,Table4[],17,FALSE)</f>
        <v>1</v>
      </c>
      <c r="L95" s="82">
        <f>VLOOKUP($A95,Table4[],18,FALSE)</f>
        <v>0</v>
      </c>
      <c r="M95" s="82" t="str">
        <f>IF(VLOOKUP($A95,Table2[],8,FALSE)=0,"",VLOOKUP($A95,Table2[],8,FALSE))</f>
        <v>Municipal</v>
      </c>
      <c r="N95" s="82">
        <f>VLOOKUP($A95,Table2[],14,FALSE)</f>
        <v>0</v>
      </c>
      <c r="O95" s="82" t="str">
        <f>IF(VLOOKUP($A95,Table2[],15,FALSE)=0,"",VLOOKUP($A95,Table2[],15,FALSE))</f>
        <v>Municipal</v>
      </c>
      <c r="P95" s="82" t="str">
        <f>IF(VLOOKUP($A95,Table2[],16,FALSE)=0,"",VLOOKUP($A95,Table2[],16,FALSE))</f>
        <v/>
      </c>
      <c r="Q95" s="83" t="str">
        <f>IF(ISNA(VLOOKUP($A95,Table3[],6,FALSE)),"None",VLOOKUP($A95,Table3[],6,FALSE))</f>
        <v>None</v>
      </c>
      <c r="R95" s="83" t="str">
        <f>IF(ISNA(VLOOKUP($A95,Table3[],7,FALSE)),"Unknown",VLOOKUP($A95,Table3[],7,FALSE))</f>
        <v>Unknown</v>
      </c>
      <c r="S95" s="83" t="str">
        <f>IF(ISNA(VLOOKUP($A95,Table3[],8,FALSE)),"None",VLOOKUP($A95,Table3[],8,FALSE))</f>
        <v>None</v>
      </c>
      <c r="T95" s="84" t="str">
        <f>IF(ISNA(VLOOKUP($A95,Table3[],13,FALSE)),"Unknown",VLOOKUP($A95,Table3[],13,FALSE))</f>
        <v>Unknown</v>
      </c>
      <c r="U95" s="85" t="str">
        <f>IF(ISNA(VLOOKUP($A95,Table3[],14,FALSE)),"Unknown",VLOOKUP($A95,Table3[],14,FALSE))</f>
        <v>Unknown</v>
      </c>
      <c r="V95" s="84">
        <f>IF(ISNA(VLOOKUP($A95,Table3[],21,FALSE)),0,VLOOKUP($A95,Table3[],21,FALSE))</f>
        <v>0</v>
      </c>
      <c r="W95" s="85">
        <f>IF(ISNA(VLOOKUP($A95,Table3[],22,FALSE)),0,VLOOKUP($A95,Table3[],22,FALSE))</f>
        <v>0</v>
      </c>
    </row>
    <row r="96" spans="1:23" s="73" customFormat="1" x14ac:dyDescent="0.25">
      <c r="A96" s="35">
        <v>93</v>
      </c>
      <c r="B96" s="138" t="str">
        <f>VLOOKUP(A96,Registry!$A$4:$AA$241,2,FALSE)</f>
        <v>Lakeview Trailer Park</v>
      </c>
      <c r="C96" s="138" t="str">
        <f>VLOOKUP(A96,Registry!$A$4:$AA$241,3,FALSE)</f>
        <v>Franklin</v>
      </c>
      <c r="D96" s="138" t="str">
        <f>VLOOKUP(A96,Registry!$A$4:$AA$241,4,FALSE)</f>
        <v>St. Albans</v>
      </c>
      <c r="E96" s="138">
        <f>IF(VLOOKUP(A96,Registry!$A$4:$AA$241,7,FALSE)=0,"",VLOOKUP(A96,Registry!$A$4:$AA$241,7,FALSE))</f>
        <v>1945</v>
      </c>
      <c r="F96" s="138" t="str">
        <f>IF(VLOOKUP(A96,Registry!$A$4:$AA$241,20,FALSE)=0,"",VLOOKUP(A96,Registry!$A$4:$AA$241,20,FALSE))</f>
        <v>For profit</v>
      </c>
      <c r="G96" s="138">
        <f>VLOOKUP(A96,Registry!$A$4:$AA$241,21,FALSE)</f>
        <v>9</v>
      </c>
      <c r="H96" s="81">
        <f>VLOOKUP($A96,Table4[],36,FALSE)</f>
        <v>1</v>
      </c>
      <c r="I96" s="129">
        <f>VLOOKUP($A96,Table4[],41,FALSE)</f>
        <v>7.0422535211267609E-2</v>
      </c>
      <c r="J96" s="81">
        <f>VLOOKUP($A96,Table4[],30,FALSE)</f>
        <v>0</v>
      </c>
      <c r="K96" s="82">
        <f>VLOOKUP($A96,Table4[],17,FALSE)</f>
        <v>0</v>
      </c>
      <c r="L96" s="82">
        <f>VLOOKUP($A96,Table4[],18,FALSE)</f>
        <v>0</v>
      </c>
      <c r="M96" s="82" t="str">
        <f>IF(VLOOKUP($A96,Table2[],8,FALSE)=0,"",VLOOKUP($A96,Table2[],8,FALSE))</f>
        <v>Small-Scale (potable, &lt;25 users)</v>
      </c>
      <c r="N96" s="82">
        <f>VLOOKUP($A96,Table2[],14,FALSE)</f>
        <v>0</v>
      </c>
      <c r="O96" s="82" t="str">
        <f>IF(VLOOKUP($A96,Table2[],15,FALSE)=0,"",VLOOKUP($A96,Table2[],15,FALSE))</f>
        <v>On-site</v>
      </c>
      <c r="P96" s="82" t="str">
        <f>IF(VLOOKUP($A96,Table2[],16,FALSE)=0,"",VLOOKUP($A96,Table2[],16,FALSE))</f>
        <v>WW-6-3036, WW-6-3036-1</v>
      </c>
      <c r="Q96" s="83" t="str">
        <f>IF(ISNA(VLOOKUP($A96,Table3[],6,FALSE)),"None",VLOOKUP($A96,Table3[],6,FALSE))</f>
        <v>None</v>
      </c>
      <c r="R96" s="83" t="str">
        <f>IF(ISNA(VLOOKUP($A96,Table3[],7,FALSE)),"Unknown",VLOOKUP($A96,Table3[],7,FALSE))</f>
        <v>Unknown</v>
      </c>
      <c r="S96" s="83" t="str">
        <f>IF(ISNA(VLOOKUP($A96,Table3[],8,FALSE)),"None",VLOOKUP($A96,Table3[],8,FALSE))</f>
        <v>None</v>
      </c>
      <c r="T96" s="84" t="str">
        <f>IF(ISNA(VLOOKUP($A96,Table3[],13,FALSE)),"Unknown",VLOOKUP($A96,Table3[],13,FALSE))</f>
        <v>Unknown</v>
      </c>
      <c r="U96" s="85" t="str">
        <f>IF(ISNA(VLOOKUP($A96,Table3[],14,FALSE)),"Unknown",VLOOKUP($A96,Table3[],14,FALSE))</f>
        <v>Unknown</v>
      </c>
      <c r="V96" s="84">
        <f>IF(ISNA(VLOOKUP($A96,Table3[],21,FALSE)),0,VLOOKUP($A96,Table3[],21,FALSE))</f>
        <v>0</v>
      </c>
      <c r="W96" s="85">
        <f>IF(ISNA(VLOOKUP($A96,Table3[],22,FALSE)),0,VLOOKUP($A96,Table3[],22,FALSE))</f>
        <v>0</v>
      </c>
    </row>
    <row r="97" spans="1:23" s="73" customFormat="1" x14ac:dyDescent="0.25">
      <c r="A97" s="35">
        <v>94</v>
      </c>
      <c r="B97" s="138" t="str">
        <f>VLOOKUP(A97,Registry!$A$4:$AA$241,2,FALSE)</f>
        <v>Lapierre Mobile Home Park</v>
      </c>
      <c r="C97" s="138" t="str">
        <f>VLOOKUP(A97,Registry!$A$4:$AA$241,3,FALSE)</f>
        <v>Franklin</v>
      </c>
      <c r="D97" s="138" t="str">
        <f>VLOOKUP(A97,Registry!$A$4:$AA$241,4,FALSE)</f>
        <v>St. Albans</v>
      </c>
      <c r="E97" s="138">
        <f>IF(VLOOKUP(A97,Registry!$A$4:$AA$241,7,FALSE)=0,"",VLOOKUP(A97,Registry!$A$4:$AA$241,7,FALSE))</f>
        <v>1968</v>
      </c>
      <c r="F97" s="138" t="str">
        <f>IF(VLOOKUP(A97,Registry!$A$4:$AA$241,20,FALSE)=0,"",VLOOKUP(A97,Registry!$A$4:$AA$241,20,FALSE))</f>
        <v>For profit</v>
      </c>
      <c r="G97" s="138">
        <f>VLOOKUP(A97,Registry!$A$4:$AA$241,21,FALSE)</f>
        <v>25</v>
      </c>
      <c r="H97" s="81">
        <f>VLOOKUP($A97,Table4[],36,FALSE)</f>
        <v>1</v>
      </c>
      <c r="I97" s="129">
        <f>VLOOKUP($A97,Table4[],41,FALSE)</f>
        <v>0</v>
      </c>
      <c r="J97" s="81">
        <f>VLOOKUP($A97,Table4[],30,FALSE)</f>
        <v>0</v>
      </c>
      <c r="K97" s="82">
        <f>VLOOKUP($A97,Table4[],17,FALSE)</f>
        <v>0</v>
      </c>
      <c r="L97" s="82">
        <f>VLOOKUP($A97,Table4[],18,FALSE)</f>
        <v>0</v>
      </c>
      <c r="M97" s="82" t="str">
        <f>IF(VLOOKUP($A97,Table2[],8,FALSE)=0,"",VLOOKUP($A97,Table2[],8,FALSE))</f>
        <v>Municipal</v>
      </c>
      <c r="N97" s="82">
        <f>VLOOKUP($A97,Table2[],14,FALSE)</f>
        <v>0</v>
      </c>
      <c r="O97" s="82" t="str">
        <f>IF(VLOOKUP($A97,Table2[],15,FALSE)=0,"",VLOOKUP($A97,Table2[],15,FALSE))</f>
        <v/>
      </c>
      <c r="P97" s="82" t="str">
        <f>IF(VLOOKUP($A97,Table2[],16,FALSE)=0,"",VLOOKUP($A97,Table2[],16,FALSE))</f>
        <v>MH-6-0009</v>
      </c>
      <c r="Q97" s="83" t="str">
        <f>IF(ISNA(VLOOKUP($A97,Table3[],6,FALSE)),"None",VLOOKUP($A97,Table3[],6,FALSE))</f>
        <v>None</v>
      </c>
      <c r="R97" s="83" t="str">
        <f>IF(ISNA(VLOOKUP($A97,Table3[],7,FALSE)),"Unknown",VLOOKUP($A97,Table3[],7,FALSE))</f>
        <v>Unknown</v>
      </c>
      <c r="S97" s="83" t="str">
        <f>IF(ISNA(VLOOKUP($A97,Table3[],8,FALSE)),"None",VLOOKUP($A97,Table3[],8,FALSE))</f>
        <v>None</v>
      </c>
      <c r="T97" s="84" t="str">
        <f>IF(ISNA(VLOOKUP($A97,Table3[],13,FALSE)),"Unknown",VLOOKUP($A97,Table3[],13,FALSE))</f>
        <v>Unknown</v>
      </c>
      <c r="U97" s="85" t="str">
        <f>IF(ISNA(VLOOKUP($A97,Table3[],14,FALSE)),"Unknown",VLOOKUP($A97,Table3[],14,FALSE))</f>
        <v>Unknown</v>
      </c>
      <c r="V97" s="84">
        <f>IF(ISNA(VLOOKUP($A97,Table3[],21,FALSE)),0,VLOOKUP($A97,Table3[],21,FALSE))</f>
        <v>0</v>
      </c>
      <c r="W97" s="85">
        <f>IF(ISNA(VLOOKUP($A97,Table3[],22,FALSE)),0,VLOOKUP($A97,Table3[],22,FALSE))</f>
        <v>0</v>
      </c>
    </row>
    <row r="98" spans="1:23" s="73" customFormat="1" x14ac:dyDescent="0.25">
      <c r="A98" s="35">
        <v>92</v>
      </c>
      <c r="B98" s="138" t="str">
        <f>VLOOKUP(A98,Registry!$A$4:$AA$241,2,FALSE)</f>
        <v>Post Mobile Home Park</v>
      </c>
      <c r="C98" s="138" t="str">
        <f>VLOOKUP(A98,Registry!$A$4:$AA$241,3,FALSE)</f>
        <v>Franklin</v>
      </c>
      <c r="D98" s="138" t="str">
        <f>VLOOKUP(A98,Registry!$A$4:$AA$241,4,FALSE)</f>
        <v>St. Albans</v>
      </c>
      <c r="E98" s="138">
        <f>IF(VLOOKUP(A98,Registry!$A$4:$AA$241,7,FALSE)=0,"",VLOOKUP(A98,Registry!$A$4:$AA$241,7,FALSE))</f>
        <v>1962</v>
      </c>
      <c r="F98" s="138" t="str">
        <f>IF(VLOOKUP(A98,Registry!$A$4:$AA$241,20,FALSE)=0,"",VLOOKUP(A98,Registry!$A$4:$AA$241,20,FALSE))</f>
        <v>For profit</v>
      </c>
      <c r="G98" s="138">
        <f>VLOOKUP(A98,Registry!$A$4:$AA$241,21,FALSE)</f>
        <v>7</v>
      </c>
      <c r="H98" s="81">
        <f>VLOOKUP($A98,Table4[],36,FALSE)</f>
        <v>0.7142857142857143</v>
      </c>
      <c r="I98" s="129" t="str">
        <f>VLOOKUP($A98,Table4[],41,FALSE)</f>
        <v>-</v>
      </c>
      <c r="J98" s="81">
        <f>VLOOKUP($A98,Table4[],30,FALSE)</f>
        <v>-0.14285714285714285</v>
      </c>
      <c r="K98" s="82">
        <f>VLOOKUP($A98,Table4[],17,FALSE)</f>
        <v>0</v>
      </c>
      <c r="L98" s="82">
        <f>VLOOKUP($A98,Table4[],18,FALSE)</f>
        <v>0</v>
      </c>
      <c r="M98" s="82" t="str">
        <f>IF(VLOOKUP($A98,Table2[],8,FALSE)=0,"",VLOOKUP($A98,Table2[],8,FALSE))</f>
        <v>Municipal</v>
      </c>
      <c r="N98" s="82">
        <f>VLOOKUP($A98,Table2[],14,FALSE)</f>
        <v>0</v>
      </c>
      <c r="O98" s="82" t="str">
        <f>IF(VLOOKUP($A98,Table2[],15,FALSE)=0,"",VLOOKUP($A98,Table2[],15,FALSE))</f>
        <v/>
      </c>
      <c r="P98" s="82" t="str">
        <f>IF(VLOOKUP($A98,Table2[],16,FALSE)=0,"",VLOOKUP($A98,Table2[],16,FALSE))</f>
        <v/>
      </c>
      <c r="Q98" s="83" t="str">
        <f>IF(ISNA(VLOOKUP($A98,Table3[],6,FALSE)),"None",VLOOKUP($A98,Table3[],6,FALSE))</f>
        <v>None</v>
      </c>
      <c r="R98" s="83" t="str">
        <f>IF(ISNA(VLOOKUP($A98,Table3[],7,FALSE)),"Unknown",VLOOKUP($A98,Table3[],7,FALSE))</f>
        <v>Unknown</v>
      </c>
      <c r="S98" s="83" t="str">
        <f>IF(ISNA(VLOOKUP($A98,Table3[],8,FALSE)),"None",VLOOKUP($A98,Table3[],8,FALSE))</f>
        <v>None</v>
      </c>
      <c r="T98" s="84" t="str">
        <f>IF(ISNA(VLOOKUP($A98,Table3[],13,FALSE)),"Unknown",VLOOKUP($A98,Table3[],13,FALSE))</f>
        <v>Unknown</v>
      </c>
      <c r="U98" s="85" t="str">
        <f>IF(ISNA(VLOOKUP($A98,Table3[],14,FALSE)),"Unknown",VLOOKUP($A98,Table3[],14,FALSE))</f>
        <v>Unknown</v>
      </c>
      <c r="V98" s="84">
        <f>IF(ISNA(VLOOKUP($A98,Table3[],21,FALSE)),0,VLOOKUP($A98,Table3[],21,FALSE))</f>
        <v>0</v>
      </c>
      <c r="W98" s="85">
        <f>IF(ISNA(VLOOKUP($A98,Table3[],22,FALSE)),0,VLOOKUP($A98,Table3[],22,FALSE))</f>
        <v>0</v>
      </c>
    </row>
    <row r="99" spans="1:23" s="73" customFormat="1" x14ac:dyDescent="0.25">
      <c r="A99" s="35">
        <v>112</v>
      </c>
      <c r="B99" s="138" t="str">
        <f>VLOOKUP(A99,Registry!$A$4:$AA$241,2,FALSE)</f>
        <v>Simonds Mobile Home Park</v>
      </c>
      <c r="C99" s="138" t="str">
        <f>VLOOKUP(A99,Registry!$A$4:$AA$241,3,FALSE)</f>
        <v>Franklin</v>
      </c>
      <c r="D99" s="138" t="str">
        <f>VLOOKUP(A99,Registry!$A$4:$AA$241,4,FALSE)</f>
        <v>St. Albans</v>
      </c>
      <c r="E99" s="138">
        <f>IF(VLOOKUP(A99,Registry!$A$4:$AA$241,7,FALSE)=0,"",VLOOKUP(A99,Registry!$A$4:$AA$241,7,FALSE))</f>
        <v>1967</v>
      </c>
      <c r="F99" s="138" t="str">
        <f>IF(VLOOKUP(A99,Registry!$A$4:$AA$241,20,FALSE)=0,"",VLOOKUP(A99,Registry!$A$4:$AA$241,20,FALSE))</f>
        <v>For profit</v>
      </c>
      <c r="G99" s="138">
        <f>VLOOKUP(A99,Registry!$A$4:$AA$241,21,FALSE)</f>
        <v>60</v>
      </c>
      <c r="H99" s="81">
        <f>VLOOKUP($A99,Table4[],36,FALSE)</f>
        <v>1</v>
      </c>
      <c r="I99" s="129">
        <f>VLOOKUP($A99,Table4[],41,FALSE)</f>
        <v>2.6737967914438502E-2</v>
      </c>
      <c r="J99" s="81">
        <f>VLOOKUP($A99,Table4[],30,FALSE)</f>
        <v>0</v>
      </c>
      <c r="K99" s="82">
        <f>VLOOKUP($A99,Table4[],17,FALSE)</f>
        <v>0</v>
      </c>
      <c r="L99" s="82">
        <f>VLOOKUP($A99,Table4[],18,FALSE)</f>
        <v>0</v>
      </c>
      <c r="M99" s="82" t="str">
        <f>IF(VLOOKUP($A99,Table2[],8,FALSE)=0,"",VLOOKUP($A99,Table2[],8,FALSE))</f>
        <v>Municipal</v>
      </c>
      <c r="N99" s="82">
        <f>VLOOKUP($A99,Table2[],14,FALSE)</f>
        <v>0</v>
      </c>
      <c r="O99" s="82" t="str">
        <f>IF(VLOOKUP($A99,Table2[],15,FALSE)=0,"",VLOOKUP($A99,Table2[],15,FALSE))</f>
        <v>Municipal</v>
      </c>
      <c r="P99" s="82" t="str">
        <f>IF(VLOOKUP($A99,Table2[],16,FALSE)=0,"",VLOOKUP($A99,Table2[],16,FALSE))</f>
        <v>MH-6-0007</v>
      </c>
      <c r="Q99" s="83" t="str">
        <f>IF(ISNA(VLOOKUP($A99,Table3[],6,FALSE)),"None",VLOOKUP($A99,Table3[],6,FALSE))</f>
        <v>None</v>
      </c>
      <c r="R99" s="83" t="str">
        <f>IF(ISNA(VLOOKUP($A99,Table3[],7,FALSE)),"Unknown",VLOOKUP($A99,Table3[],7,FALSE))</f>
        <v>Unknown</v>
      </c>
      <c r="S99" s="83" t="str">
        <f>IF(ISNA(VLOOKUP($A99,Table3[],8,FALSE)),"None",VLOOKUP($A99,Table3[],8,FALSE))</f>
        <v>None</v>
      </c>
      <c r="T99" s="84" t="str">
        <f>IF(ISNA(VLOOKUP($A99,Table3[],13,FALSE)),"Unknown",VLOOKUP($A99,Table3[],13,FALSE))</f>
        <v>Unknown</v>
      </c>
      <c r="U99" s="85" t="str">
        <f>IF(ISNA(VLOOKUP($A99,Table3[],14,FALSE)),"Unknown",VLOOKUP($A99,Table3[],14,FALSE))</f>
        <v>Unknown</v>
      </c>
      <c r="V99" s="84">
        <f>IF(ISNA(VLOOKUP($A99,Table3[],21,FALSE)),0,VLOOKUP($A99,Table3[],21,FALSE))</f>
        <v>0</v>
      </c>
      <c r="W99" s="85">
        <f>IF(ISNA(VLOOKUP($A99,Table3[],22,FALSE)),0,VLOOKUP($A99,Table3[],22,FALSE))</f>
        <v>0</v>
      </c>
    </row>
    <row r="100" spans="1:23" s="73" customFormat="1" x14ac:dyDescent="0.25">
      <c r="A100" s="35">
        <v>267</v>
      </c>
      <c r="B100" s="138" t="str">
        <f>VLOOKUP(A100,Registry!$A$4:$AA$241,2,FALSE)</f>
        <v>St. Albans Mobile Home Park</v>
      </c>
      <c r="C100" s="138" t="str">
        <f>VLOOKUP(A100,Registry!$A$4:$AA$241,3,FALSE)</f>
        <v>Franklin</v>
      </c>
      <c r="D100" s="138" t="str">
        <f>VLOOKUP(A100,Registry!$A$4:$AA$241,4,FALSE)</f>
        <v>St. Albans</v>
      </c>
      <c r="E100" s="138">
        <f>IF(VLOOKUP(A100,Registry!$A$4:$AA$241,7,FALSE)=0,"",VLOOKUP(A100,Registry!$A$4:$AA$241,7,FALSE))</f>
        <v>1970</v>
      </c>
      <c r="F100" s="138" t="str">
        <f>IF(VLOOKUP(A100,Registry!$A$4:$AA$241,20,FALSE)=0,"",VLOOKUP(A100,Registry!$A$4:$AA$241,20,FALSE))</f>
        <v>Non-profit</v>
      </c>
      <c r="G100" s="138">
        <f>VLOOKUP(A100,Registry!$A$4:$AA$241,21,FALSE)</f>
        <v>9</v>
      </c>
      <c r="H100" s="81">
        <f>VLOOKUP($A100,Table4[],36,FALSE)</f>
        <v>0.88888888888888884</v>
      </c>
      <c r="I100" s="129">
        <f>VLOOKUP($A100,Table4[],41,FALSE)</f>
        <v>0.11944121866247705</v>
      </c>
      <c r="J100" s="81">
        <f>VLOOKUP($A100,Table4[],30,FALSE)</f>
        <v>0</v>
      </c>
      <c r="K100" s="82">
        <f>VLOOKUP($A100,Table4[],17,FALSE)</f>
        <v>0</v>
      </c>
      <c r="L100" s="82">
        <f>VLOOKUP($A100,Table4[],18,FALSE)</f>
        <v>0</v>
      </c>
      <c r="M100" s="82" t="str">
        <f>IF(VLOOKUP($A100,Table2[],8,FALSE)=0,"",VLOOKUP($A100,Table2[],8,FALSE))</f>
        <v>Municipal</v>
      </c>
      <c r="N100" s="82">
        <f>VLOOKUP($A100,Table2[],14,FALSE)</f>
        <v>0</v>
      </c>
      <c r="O100" s="82" t="str">
        <f>IF(VLOOKUP($A100,Table2[],15,FALSE)=0,"",VLOOKUP($A100,Table2[],15,FALSE))</f>
        <v>Municipal</v>
      </c>
      <c r="P100" s="82" t="str">
        <f>IF(VLOOKUP($A100,Table2[],16,FALSE)=0,"",VLOOKUP($A100,Table2[],16,FALSE))</f>
        <v/>
      </c>
      <c r="Q100" s="83" t="str">
        <f>IF(ISNA(VLOOKUP($A100,Table3[],6,FALSE)),"None",VLOOKUP($A100,Table3[],6,FALSE))</f>
        <v>None</v>
      </c>
      <c r="R100" s="83" t="str">
        <f>IF(ISNA(VLOOKUP($A100,Table3[],7,FALSE)),"Unknown",VLOOKUP($A100,Table3[],7,FALSE))</f>
        <v>Unknown</v>
      </c>
      <c r="S100" s="83" t="str">
        <f>IF(ISNA(VLOOKUP($A100,Table3[],8,FALSE)),"None",VLOOKUP($A100,Table3[],8,FALSE))</f>
        <v>None</v>
      </c>
      <c r="T100" s="84" t="str">
        <f>IF(ISNA(VLOOKUP($A100,Table3[],13,FALSE)),"Unknown",VLOOKUP($A100,Table3[],13,FALSE))</f>
        <v>Unknown</v>
      </c>
      <c r="U100" s="85" t="str">
        <f>IF(ISNA(VLOOKUP($A100,Table3[],14,FALSE)),"Unknown",VLOOKUP($A100,Table3[],14,FALSE))</f>
        <v>Unknown</v>
      </c>
      <c r="V100" s="84">
        <f>IF(ISNA(VLOOKUP($A100,Table3[],21,FALSE)),0,VLOOKUP($A100,Table3[],21,FALSE))</f>
        <v>0</v>
      </c>
      <c r="W100" s="85">
        <f>IF(ISNA(VLOOKUP($A100,Table3[],22,FALSE)),0,VLOOKUP($A100,Table3[],22,FALSE))</f>
        <v>0</v>
      </c>
    </row>
    <row r="101" spans="1:23" s="73" customFormat="1" x14ac:dyDescent="0.25">
      <c r="A101" s="35">
        <v>95</v>
      </c>
      <c r="B101" s="138" t="str">
        <f>VLOOKUP(A101,Registry!$A$4:$AA$241,2,FALSE)</f>
        <v>Town and Country Estates</v>
      </c>
      <c r="C101" s="138" t="str">
        <f>VLOOKUP(A101,Registry!$A$4:$AA$241,3,FALSE)</f>
        <v>Franklin</v>
      </c>
      <c r="D101" s="138" t="str">
        <f>VLOOKUP(A101,Registry!$A$4:$AA$241,4,FALSE)</f>
        <v>St. Albans</v>
      </c>
      <c r="E101" s="138">
        <f>IF(VLOOKUP(A101,Registry!$A$4:$AA$241,7,FALSE)=0,"",VLOOKUP(A101,Registry!$A$4:$AA$241,7,FALSE))</f>
        <v>1991</v>
      </c>
      <c r="F101" s="138" t="str">
        <f>IF(VLOOKUP(A101,Registry!$A$4:$AA$241,20,FALSE)=0,"",VLOOKUP(A101,Registry!$A$4:$AA$241,20,FALSE))</f>
        <v>For profit</v>
      </c>
      <c r="G101" s="138">
        <f>VLOOKUP(A101,Registry!$A$4:$AA$241,21,FALSE)</f>
        <v>60</v>
      </c>
      <c r="H101" s="81">
        <f>VLOOKUP($A101,Table4[],36,FALSE)</f>
        <v>1</v>
      </c>
      <c r="I101" s="129">
        <f>VLOOKUP($A101,Table4[],41,FALSE)</f>
        <v>0</v>
      </c>
      <c r="J101" s="81">
        <f>VLOOKUP($A101,Table4[],30,FALSE)</f>
        <v>0</v>
      </c>
      <c r="K101" s="82">
        <f>VLOOKUP($A101,Table4[],17,FALSE)</f>
        <v>0</v>
      </c>
      <c r="L101" s="82">
        <f>VLOOKUP($A101,Table4[],18,FALSE)</f>
        <v>0</v>
      </c>
      <c r="M101" s="82" t="str">
        <f>IF(VLOOKUP($A101,Table2[],8,FALSE)=0,"",VLOOKUP($A101,Table2[],8,FALSE))</f>
        <v>Municipal</v>
      </c>
      <c r="N101" s="82">
        <f>VLOOKUP($A101,Table2[],14,FALSE)</f>
        <v>0</v>
      </c>
      <c r="O101" s="82" t="str">
        <f>IF(VLOOKUP($A101,Table2[],15,FALSE)=0,"",VLOOKUP($A101,Table2[],15,FALSE))</f>
        <v>Municipal</v>
      </c>
      <c r="P101" s="82" t="str">
        <f>IF(VLOOKUP($A101,Table2[],16,FALSE)=0,"",VLOOKUP($A101,Table2[],16,FALSE))</f>
        <v/>
      </c>
      <c r="Q101" s="83" t="str">
        <f>IF(ISNA(VLOOKUP($A101,Table3[],6,FALSE)),"None",VLOOKUP($A101,Table3[],6,FALSE))</f>
        <v>None</v>
      </c>
      <c r="R101" s="83" t="str">
        <f>IF(ISNA(VLOOKUP($A101,Table3[],7,FALSE)),"Unknown",VLOOKUP($A101,Table3[],7,FALSE))</f>
        <v>Unknown</v>
      </c>
      <c r="S101" s="83" t="str">
        <f>IF(ISNA(VLOOKUP($A101,Table3[],8,FALSE)),"None",VLOOKUP($A101,Table3[],8,FALSE))</f>
        <v>None</v>
      </c>
      <c r="T101" s="84" t="str">
        <f>IF(ISNA(VLOOKUP($A101,Table3[],13,FALSE)),"Unknown",VLOOKUP($A101,Table3[],13,FALSE))</f>
        <v>Unknown</v>
      </c>
      <c r="U101" s="85" t="str">
        <f>IF(ISNA(VLOOKUP($A101,Table3[],14,FALSE)),"Unknown",VLOOKUP($A101,Table3[],14,FALSE))</f>
        <v>Unknown</v>
      </c>
      <c r="V101" s="84">
        <f>IF(ISNA(VLOOKUP($A101,Table3[],21,FALSE)),0,VLOOKUP($A101,Table3[],21,FALSE))</f>
        <v>0</v>
      </c>
      <c r="W101" s="85">
        <f>IF(ISNA(VLOOKUP($A101,Table3[],22,FALSE)),0,VLOOKUP($A101,Table3[],22,FALSE))</f>
        <v>0</v>
      </c>
    </row>
    <row r="102" spans="1:23" s="73" customFormat="1" x14ac:dyDescent="0.25">
      <c r="A102" s="35">
        <v>254</v>
      </c>
      <c r="B102" s="138" t="str">
        <f>VLOOKUP(A102,Registry!$A$4:$AA$241,2,FALSE)</f>
        <v>Brault's Park</v>
      </c>
      <c r="C102" s="138" t="str">
        <f>VLOOKUP(A102,Registry!$A$4:$AA$241,3,FALSE)</f>
        <v>Franklin</v>
      </c>
      <c r="D102" s="138" t="str">
        <f>VLOOKUP(A102,Registry!$A$4:$AA$241,4,FALSE)</f>
        <v>Swanton</v>
      </c>
      <c r="E102" s="138">
        <f>IF(VLOOKUP(A102,Registry!$A$4:$AA$241,7,FALSE)=0,"",VLOOKUP(A102,Registry!$A$4:$AA$241,7,FALSE))</f>
        <v>1968</v>
      </c>
      <c r="F102" s="138" t="str">
        <f>IF(VLOOKUP(A102,Registry!$A$4:$AA$241,20,FALSE)=0,"",VLOOKUP(A102,Registry!$A$4:$AA$241,20,FALSE))</f>
        <v>For profit</v>
      </c>
      <c r="G102" s="138">
        <f>VLOOKUP(A102,Registry!$A$4:$AA$241,21,FALSE)</f>
        <v>18</v>
      </c>
      <c r="H102" s="81">
        <f>VLOOKUP($A102,Table4[],36,FALSE)</f>
        <v>1</v>
      </c>
      <c r="I102" s="129">
        <f>VLOOKUP($A102,Table4[],41,FALSE)</f>
        <v>7.8282828282828287E-2</v>
      </c>
      <c r="J102" s="81">
        <f>VLOOKUP($A102,Table4[],30,FALSE)</f>
        <v>-0.1111111111111111</v>
      </c>
      <c r="K102" s="82">
        <f>VLOOKUP($A102,Table4[],17,FALSE)</f>
        <v>0</v>
      </c>
      <c r="L102" s="82">
        <f>VLOOKUP($A102,Table4[],18,FALSE)</f>
        <v>0</v>
      </c>
      <c r="M102" s="82" t="str">
        <f>IF(VLOOKUP($A102,Table2[],8,FALSE)=0,"",VLOOKUP($A102,Table2[],8,FALSE))</f>
        <v>Municipal</v>
      </c>
      <c r="N102" s="82">
        <f>VLOOKUP($A102,Table2[],14,FALSE)</f>
        <v>0</v>
      </c>
      <c r="O102" s="82" t="str">
        <f>IF(VLOOKUP($A102,Table2[],15,FALSE)=0,"",VLOOKUP($A102,Table2[],15,FALSE))</f>
        <v>Municipal</v>
      </c>
      <c r="P102" s="82" t="str">
        <f>IF(VLOOKUP($A102,Table2[],16,FALSE)=0,"",VLOOKUP($A102,Table2[],16,FALSE))</f>
        <v/>
      </c>
      <c r="Q102" s="83" t="str">
        <f>IF(ISNA(VLOOKUP($A102,Table3[],6,FALSE)),"None",VLOOKUP($A102,Table3[],6,FALSE))</f>
        <v>None</v>
      </c>
      <c r="R102" s="83" t="str">
        <f>IF(ISNA(VLOOKUP($A102,Table3[],7,FALSE)),"Unknown",VLOOKUP($A102,Table3[],7,FALSE))</f>
        <v>Unknown</v>
      </c>
      <c r="S102" s="83" t="str">
        <f>IF(ISNA(VLOOKUP($A102,Table3[],8,FALSE)),"None",VLOOKUP($A102,Table3[],8,FALSE))</f>
        <v>None</v>
      </c>
      <c r="T102" s="84" t="str">
        <f>IF(ISNA(VLOOKUP($A102,Table3[],13,FALSE)),"Unknown",VLOOKUP($A102,Table3[],13,FALSE))</f>
        <v>Unknown</v>
      </c>
      <c r="U102" s="85" t="str">
        <f>IF(ISNA(VLOOKUP($A102,Table3[],14,FALSE)),"Unknown",VLOOKUP($A102,Table3[],14,FALSE))</f>
        <v>Unknown</v>
      </c>
      <c r="V102" s="84">
        <f>IF(ISNA(VLOOKUP($A102,Table3[],21,FALSE)),0,VLOOKUP($A102,Table3[],21,FALSE))</f>
        <v>0</v>
      </c>
      <c r="W102" s="85">
        <f>IF(ISNA(VLOOKUP($A102,Table3[],22,FALSE)),0,VLOOKUP($A102,Table3[],22,FALSE))</f>
        <v>0</v>
      </c>
    </row>
    <row r="103" spans="1:23" s="73" customFormat="1" x14ac:dyDescent="0.25">
      <c r="A103" s="35">
        <v>300</v>
      </c>
      <c r="B103" s="138" t="str">
        <f>VLOOKUP(A103,Registry!$A$4:$AA$241,2,FALSE)</f>
        <v>Cheney Mobile Home Park</v>
      </c>
      <c r="C103" s="138" t="str">
        <f>VLOOKUP(A103,Registry!$A$4:$AA$241,3,FALSE)</f>
        <v>Franklin</v>
      </c>
      <c r="D103" s="138" t="str">
        <f>VLOOKUP(A103,Registry!$A$4:$AA$241,4,FALSE)</f>
        <v>Swanton</v>
      </c>
      <c r="E103" s="138">
        <f>IF(VLOOKUP(A103,Registry!$A$4:$AA$241,7,FALSE)=0,"",VLOOKUP(A103,Registry!$A$4:$AA$241,7,FALSE))</f>
        <v>1960</v>
      </c>
      <c r="F103" s="138" t="str">
        <f>IF(VLOOKUP(A103,Registry!$A$4:$AA$241,20,FALSE)=0,"",VLOOKUP(A103,Registry!$A$4:$AA$241,20,FALSE))</f>
        <v>For profit</v>
      </c>
      <c r="G103" s="138">
        <f>VLOOKUP(A103,Registry!$A$4:$AA$241,21,FALSE)</f>
        <v>4</v>
      </c>
      <c r="H103" s="81">
        <f>VLOOKUP($A103,Table4[],36,FALSE)</f>
        <v>0.5</v>
      </c>
      <c r="I103" s="129" t="str">
        <f>VLOOKUP($A103,Table4[],41,FALSE)</f>
        <v>-</v>
      </c>
      <c r="J103" s="81">
        <f>VLOOKUP($A103,Table4[],30,FALSE)</f>
        <v>0</v>
      </c>
      <c r="K103" s="82">
        <f>VLOOKUP($A103,Table4[],17,FALSE)</f>
        <v>0</v>
      </c>
      <c r="L103" s="82">
        <f>VLOOKUP($A103,Table4[],18,FALSE)</f>
        <v>0</v>
      </c>
      <c r="M103" s="82" t="str">
        <f>IF(VLOOKUP($A103,Table2[],8,FALSE)=0,"",VLOOKUP($A103,Table2[],8,FALSE))</f>
        <v>Municipal</v>
      </c>
      <c r="N103" s="82">
        <f>VLOOKUP($A103,Table2[],14,FALSE)</f>
        <v>0</v>
      </c>
      <c r="O103" s="82" t="str">
        <f>IF(VLOOKUP($A103,Table2[],15,FALSE)=0,"",VLOOKUP($A103,Table2[],15,FALSE))</f>
        <v>Municipal</v>
      </c>
      <c r="P103" s="82" t="str">
        <f>IF(VLOOKUP($A103,Table2[],16,FALSE)=0,"",VLOOKUP($A103,Table2[],16,FALSE))</f>
        <v/>
      </c>
      <c r="Q103" s="83" t="str">
        <f>IF(ISNA(VLOOKUP($A103,Table3[],6,FALSE)),"None",VLOOKUP($A103,Table3[],6,FALSE))</f>
        <v>None</v>
      </c>
      <c r="R103" s="83" t="str">
        <f>IF(ISNA(VLOOKUP($A103,Table3[],7,FALSE)),"Unknown",VLOOKUP($A103,Table3[],7,FALSE))</f>
        <v>Unknown</v>
      </c>
      <c r="S103" s="83" t="str">
        <f>IF(ISNA(VLOOKUP($A103,Table3[],8,FALSE)),"None",VLOOKUP($A103,Table3[],8,FALSE))</f>
        <v>None</v>
      </c>
      <c r="T103" s="84" t="str">
        <f>IF(ISNA(VLOOKUP($A103,Table3[],13,FALSE)),"Unknown",VLOOKUP($A103,Table3[],13,FALSE))</f>
        <v>Unknown</v>
      </c>
      <c r="U103" s="85" t="str">
        <f>IF(ISNA(VLOOKUP($A103,Table3[],14,FALSE)),"Unknown",VLOOKUP($A103,Table3[],14,FALSE))</f>
        <v>Unknown</v>
      </c>
      <c r="V103" s="84">
        <f>IF(ISNA(VLOOKUP($A103,Table3[],21,FALSE)),0,VLOOKUP($A103,Table3[],21,FALSE))</f>
        <v>0</v>
      </c>
      <c r="W103" s="85">
        <f>IF(ISNA(VLOOKUP($A103,Table3[],22,FALSE)),0,VLOOKUP($A103,Table3[],22,FALSE))</f>
        <v>0</v>
      </c>
    </row>
    <row r="104" spans="1:23" s="73" customFormat="1" x14ac:dyDescent="0.25">
      <c r="A104" s="35">
        <v>230</v>
      </c>
      <c r="B104" s="138" t="str">
        <f>VLOOKUP(A104,Registry!$A$4:$AA$241,2,FALSE)</f>
        <v>Country Acres</v>
      </c>
      <c r="C104" s="138" t="str">
        <f>VLOOKUP(A104,Registry!$A$4:$AA$241,3,FALSE)</f>
        <v>Franklin</v>
      </c>
      <c r="D104" s="138" t="str">
        <f>VLOOKUP(A104,Registry!$A$4:$AA$241,4,FALSE)</f>
        <v>Swanton</v>
      </c>
      <c r="E104" s="138">
        <f>IF(VLOOKUP(A104,Registry!$A$4:$AA$241,7,FALSE)=0,"",VLOOKUP(A104,Registry!$A$4:$AA$241,7,FALSE))</f>
        <v>1971</v>
      </c>
      <c r="F104" s="138" t="str">
        <f>IF(VLOOKUP(A104,Registry!$A$4:$AA$241,20,FALSE)=0,"",VLOOKUP(A104,Registry!$A$4:$AA$241,20,FALSE))</f>
        <v>For profit</v>
      </c>
      <c r="G104" s="138">
        <f>VLOOKUP(A104,Registry!$A$4:$AA$241,21,FALSE)</f>
        <v>12</v>
      </c>
      <c r="H104" s="81">
        <f>VLOOKUP($A104,Table4[],36,FALSE)</f>
        <v>0.83333333333333337</v>
      </c>
      <c r="I104" s="129">
        <f>VLOOKUP($A104,Table4[],41,FALSE)</f>
        <v>0</v>
      </c>
      <c r="J104" s="81">
        <f>VLOOKUP($A104,Table4[],30,FALSE)</f>
        <v>8.3333333333333329E-2</v>
      </c>
      <c r="K104" s="82">
        <f>VLOOKUP($A104,Table4[],17,FALSE)</f>
        <v>0</v>
      </c>
      <c r="L104" s="82">
        <f>VLOOKUP($A104,Table4[],18,FALSE)</f>
        <v>2</v>
      </c>
      <c r="M104" s="82" t="str">
        <f>IF(VLOOKUP($A104,Table2[],8,FALSE)=0,"",VLOOKUP($A104,Table2[],8,FALSE))</f>
        <v>Municipal</v>
      </c>
      <c r="N104" s="82">
        <f>VLOOKUP($A104,Table2[],14,FALSE)</f>
        <v>0</v>
      </c>
      <c r="O104" s="82" t="str">
        <f>IF(VLOOKUP($A104,Table2[],15,FALSE)=0,"",VLOOKUP($A104,Table2[],15,FALSE))</f>
        <v/>
      </c>
      <c r="P104" s="82" t="str">
        <f>IF(VLOOKUP($A104,Table2[],16,FALSE)=0,"",VLOOKUP($A104,Table2[],16,FALSE))</f>
        <v/>
      </c>
      <c r="Q104" s="83" t="str">
        <f>IF(ISNA(VLOOKUP($A104,Table3[],6,FALSE)),"None",VLOOKUP($A104,Table3[],6,FALSE))</f>
        <v>None</v>
      </c>
      <c r="R104" s="83" t="str">
        <f>IF(ISNA(VLOOKUP($A104,Table3[],7,FALSE)),"Unknown",VLOOKUP($A104,Table3[],7,FALSE))</f>
        <v>Unknown</v>
      </c>
      <c r="S104" s="83" t="str">
        <f>IF(ISNA(VLOOKUP($A104,Table3[],8,FALSE)),"None",VLOOKUP($A104,Table3[],8,FALSE))</f>
        <v>None</v>
      </c>
      <c r="T104" s="84" t="str">
        <f>IF(ISNA(VLOOKUP($A104,Table3[],13,FALSE)),"Unknown",VLOOKUP($A104,Table3[],13,FALSE))</f>
        <v>Unknown</v>
      </c>
      <c r="U104" s="85" t="str">
        <f>IF(ISNA(VLOOKUP($A104,Table3[],14,FALSE)),"Unknown",VLOOKUP($A104,Table3[],14,FALSE))</f>
        <v>Unknown</v>
      </c>
      <c r="V104" s="84">
        <f>IF(ISNA(VLOOKUP($A104,Table3[],21,FALSE)),0,VLOOKUP($A104,Table3[],21,FALSE))</f>
        <v>0</v>
      </c>
      <c r="W104" s="85">
        <f>IF(ISNA(VLOOKUP($A104,Table3[],22,FALSE)),0,VLOOKUP($A104,Table3[],22,FALSE))</f>
        <v>0</v>
      </c>
    </row>
    <row r="105" spans="1:23" s="73" customFormat="1" x14ac:dyDescent="0.25">
      <c r="A105" s="35">
        <v>249</v>
      </c>
      <c r="B105" s="138" t="str">
        <f>VLOOKUP(A105,Registry!$A$4:$AA$241,2,FALSE)</f>
        <v>Homestead Acres Mobile Home Cooperative</v>
      </c>
      <c r="C105" s="138" t="str">
        <f>VLOOKUP(A105,Registry!$A$4:$AA$241,3,FALSE)</f>
        <v>Franklin</v>
      </c>
      <c r="D105" s="138" t="str">
        <f>VLOOKUP(A105,Registry!$A$4:$AA$241,4,FALSE)</f>
        <v>Swanton</v>
      </c>
      <c r="E105" s="138">
        <f>IF(VLOOKUP(A105,Registry!$A$4:$AA$241,7,FALSE)=0,"",VLOOKUP(A105,Registry!$A$4:$AA$241,7,FALSE))</f>
        <v>1960</v>
      </c>
      <c r="F105" s="138" t="str">
        <f>IF(VLOOKUP(A105,Registry!$A$4:$AA$241,20,FALSE)=0,"",VLOOKUP(A105,Registry!$A$4:$AA$241,20,FALSE))</f>
        <v>Cooperative</v>
      </c>
      <c r="G105" s="138">
        <f>VLOOKUP(A105,Registry!$A$4:$AA$241,21,FALSE)</f>
        <v>30</v>
      </c>
      <c r="H105" s="81">
        <f>VLOOKUP($A105,Table4[],36,FALSE)</f>
        <v>1</v>
      </c>
      <c r="I105" s="129">
        <f>VLOOKUP($A105,Table4[],41,FALSE)</f>
        <v>0</v>
      </c>
      <c r="J105" s="81">
        <f>VLOOKUP($A105,Table4[],30,FALSE)</f>
        <v>0</v>
      </c>
      <c r="K105" s="82">
        <f>VLOOKUP($A105,Table4[],17,FALSE)</f>
        <v>0</v>
      </c>
      <c r="L105" s="82">
        <f>VLOOKUP($A105,Table4[],18,FALSE)</f>
        <v>0</v>
      </c>
      <c r="M105" s="82" t="str">
        <f>IF(VLOOKUP($A105,Table2[],8,FALSE)=0,"",VLOOKUP($A105,Table2[],8,FALSE))</f>
        <v xml:space="preserve">Community </v>
      </c>
      <c r="N105" s="82">
        <f>VLOOKUP($A105,Table2[],14,FALSE)</f>
        <v>2</v>
      </c>
      <c r="O105" s="82" t="str">
        <f>IF(VLOOKUP($A105,Table2[],15,FALSE)=0,"",VLOOKUP($A105,Table2[],15,FALSE))</f>
        <v>Community On-Site</v>
      </c>
      <c r="P105" s="82" t="str">
        <f>IF(VLOOKUP($A105,Table2[],16,FALSE)=0,"",VLOOKUP($A105,Table2[],16,FALSE))</f>
        <v>ID-9-0188, TT-6-0055</v>
      </c>
      <c r="Q105" s="83" t="str">
        <f>IF(ISNA(VLOOKUP($A105,Table3[],6,FALSE)),"None",VLOOKUP($A105,Table3[],6,FALSE))</f>
        <v>None</v>
      </c>
      <c r="R105" s="83" t="str">
        <f>IF(ISNA(VLOOKUP($A105,Table3[],7,FALSE)),"Unknown",VLOOKUP($A105,Table3[],7,FALSE))</f>
        <v>Unknown</v>
      </c>
      <c r="S105" s="83" t="str">
        <f>IF(ISNA(VLOOKUP($A105,Table3[],8,FALSE)),"None",VLOOKUP($A105,Table3[],8,FALSE))</f>
        <v>None</v>
      </c>
      <c r="T105" s="84" t="str">
        <f>IF(ISNA(VLOOKUP($A105,Table3[],13,FALSE)),"Unknown",VLOOKUP($A105,Table3[],13,FALSE))</f>
        <v>Unknown</v>
      </c>
      <c r="U105" s="85" t="str">
        <f>IF(ISNA(VLOOKUP($A105,Table3[],14,FALSE)),"Unknown",VLOOKUP($A105,Table3[],14,FALSE))</f>
        <v>Unknown</v>
      </c>
      <c r="V105" s="84">
        <f>IF(ISNA(VLOOKUP($A105,Table3[],21,FALSE)),0,VLOOKUP($A105,Table3[],21,FALSE))</f>
        <v>0</v>
      </c>
      <c r="W105" s="85">
        <f>IF(ISNA(VLOOKUP($A105,Table3[],22,FALSE)),0,VLOOKUP($A105,Table3[],22,FALSE))</f>
        <v>0</v>
      </c>
    </row>
    <row r="106" spans="1:23" s="73" customFormat="1" x14ac:dyDescent="0.25">
      <c r="A106" s="35">
        <v>110</v>
      </c>
      <c r="B106" s="138" t="str">
        <f>VLOOKUP(A106,Registry!$A$4:$AA$241,2,FALSE)</f>
        <v>Jewett Street MHP</v>
      </c>
      <c r="C106" s="138" t="str">
        <f>VLOOKUP(A106,Registry!$A$4:$AA$241,3,FALSE)</f>
        <v>Franklin</v>
      </c>
      <c r="D106" s="138" t="str">
        <f>VLOOKUP(A106,Registry!$A$4:$AA$241,4,FALSE)</f>
        <v>Swanton</v>
      </c>
      <c r="E106" s="138">
        <f>IF(VLOOKUP(A106,Registry!$A$4:$AA$241,7,FALSE)=0,"",VLOOKUP(A106,Registry!$A$4:$AA$241,7,FALSE))</f>
        <v>1960</v>
      </c>
      <c r="F106" s="138" t="str">
        <f>IF(VLOOKUP(A106,Registry!$A$4:$AA$241,20,FALSE)=0,"",VLOOKUP(A106,Registry!$A$4:$AA$241,20,FALSE))</f>
        <v>For profit</v>
      </c>
      <c r="G106" s="138">
        <f>VLOOKUP(A106,Registry!$A$4:$AA$241,21,FALSE)</f>
        <v>5</v>
      </c>
      <c r="H106" s="81">
        <f>VLOOKUP($A106,Table4[],36,FALSE)</f>
        <v>0.6</v>
      </c>
      <c r="I106" s="129">
        <f>VLOOKUP($A106,Table4[],41,FALSE)</f>
        <v>8.0246913580246909E-2</v>
      </c>
      <c r="J106" s="81">
        <f>VLOOKUP($A106,Table4[],30,FALSE)</f>
        <v>0</v>
      </c>
      <c r="K106" s="82">
        <f>VLOOKUP($A106,Table4[],17,FALSE)</f>
        <v>0</v>
      </c>
      <c r="L106" s="82">
        <f>VLOOKUP($A106,Table4[],18,FALSE)</f>
        <v>0</v>
      </c>
      <c r="M106" s="82" t="str">
        <f>IF(VLOOKUP($A106,Table2[],8,FALSE)=0,"",VLOOKUP($A106,Table2[],8,FALSE))</f>
        <v>Municipal</v>
      </c>
      <c r="N106" s="82">
        <f>VLOOKUP($A106,Table2[],14,FALSE)</f>
        <v>0</v>
      </c>
      <c r="O106" s="82" t="str">
        <f>IF(VLOOKUP($A106,Table2[],15,FALSE)=0,"",VLOOKUP($A106,Table2[],15,FALSE))</f>
        <v>Municipal</v>
      </c>
      <c r="P106" s="82" t="str">
        <f>IF(VLOOKUP($A106,Table2[],16,FALSE)=0,"",VLOOKUP($A106,Table2[],16,FALSE))</f>
        <v/>
      </c>
      <c r="Q106" s="83" t="str">
        <f>IF(ISNA(VLOOKUP($A106,Table3[],6,FALSE)),"None",VLOOKUP($A106,Table3[],6,FALSE))</f>
        <v>None</v>
      </c>
      <c r="R106" s="83" t="str">
        <f>IF(ISNA(VLOOKUP($A106,Table3[],7,FALSE)),"Unknown",VLOOKUP($A106,Table3[],7,FALSE))</f>
        <v>Unknown</v>
      </c>
      <c r="S106" s="83" t="str">
        <f>IF(ISNA(VLOOKUP($A106,Table3[],8,FALSE)),"None",VLOOKUP($A106,Table3[],8,FALSE))</f>
        <v>None</v>
      </c>
      <c r="T106" s="84" t="str">
        <f>IF(ISNA(VLOOKUP($A106,Table3[],13,FALSE)),"Unknown",VLOOKUP($A106,Table3[],13,FALSE))</f>
        <v>Unknown</v>
      </c>
      <c r="U106" s="85" t="str">
        <f>IF(ISNA(VLOOKUP($A106,Table3[],14,FALSE)),"Unknown",VLOOKUP($A106,Table3[],14,FALSE))</f>
        <v>Unknown</v>
      </c>
      <c r="V106" s="84">
        <f>IF(ISNA(VLOOKUP($A106,Table3[],21,FALSE)),0,VLOOKUP($A106,Table3[],21,FALSE))</f>
        <v>0</v>
      </c>
      <c r="W106" s="85">
        <f>IF(ISNA(VLOOKUP($A106,Table3[],22,FALSE)),0,VLOOKUP($A106,Table3[],22,FALSE))</f>
        <v>0</v>
      </c>
    </row>
    <row r="107" spans="1:23" s="73" customFormat="1" x14ac:dyDescent="0.25">
      <c r="A107" s="35">
        <v>115</v>
      </c>
      <c r="B107" s="138" t="str">
        <f>VLOOKUP(A107,Registry!$A$4:$AA$241,2,FALSE)</f>
        <v>McWilliams Properties, LLC</v>
      </c>
      <c r="C107" s="138" t="str">
        <f>VLOOKUP(A107,Registry!$A$4:$AA$241,3,FALSE)</f>
        <v>Franklin</v>
      </c>
      <c r="D107" s="138" t="str">
        <f>VLOOKUP(A107,Registry!$A$4:$AA$241,4,FALSE)</f>
        <v>Swanton</v>
      </c>
      <c r="E107" s="138">
        <f>IF(VLOOKUP(A107,Registry!$A$4:$AA$241,7,FALSE)=0,"",VLOOKUP(A107,Registry!$A$4:$AA$241,7,FALSE))</f>
        <v>1961</v>
      </c>
      <c r="F107" s="138" t="str">
        <f>IF(VLOOKUP(A107,Registry!$A$4:$AA$241,20,FALSE)=0,"",VLOOKUP(A107,Registry!$A$4:$AA$241,20,FALSE))</f>
        <v>For profit</v>
      </c>
      <c r="G107" s="138">
        <f>VLOOKUP(A107,Registry!$A$4:$AA$241,21,FALSE)</f>
        <v>4</v>
      </c>
      <c r="H107" s="81">
        <f>VLOOKUP($A107,Table4[],36,FALSE)</f>
        <v>1</v>
      </c>
      <c r="I107" s="129" t="str">
        <f>VLOOKUP($A107,Table4[],41,FALSE)</f>
        <v>-</v>
      </c>
      <c r="J107" s="81">
        <f>VLOOKUP($A107,Table4[],30,FALSE)</f>
        <v>0</v>
      </c>
      <c r="K107" s="82">
        <f>VLOOKUP($A107,Table4[],17,FALSE)</f>
        <v>0</v>
      </c>
      <c r="L107" s="82">
        <f>VLOOKUP($A107,Table4[],18,FALSE)</f>
        <v>0</v>
      </c>
      <c r="M107" s="82" t="str">
        <f>IF(VLOOKUP($A107,Table2[],8,FALSE)=0,"",VLOOKUP($A107,Table2[],8,FALSE))</f>
        <v>Municipal</v>
      </c>
      <c r="N107" s="82">
        <f>VLOOKUP($A107,Table2[],14,FALSE)</f>
        <v>0</v>
      </c>
      <c r="O107" s="82" t="str">
        <f>IF(VLOOKUP($A107,Table2[],15,FALSE)=0,"",VLOOKUP($A107,Table2[],15,FALSE))</f>
        <v>Municipal</v>
      </c>
      <c r="P107" s="82" t="str">
        <f>IF(VLOOKUP($A107,Table2[],16,FALSE)=0,"",VLOOKUP($A107,Table2[],16,FALSE))</f>
        <v/>
      </c>
      <c r="Q107" s="83" t="str">
        <f>IF(ISNA(VLOOKUP($A107,Table3[],6,FALSE)),"None",VLOOKUP($A107,Table3[],6,FALSE))</f>
        <v>None</v>
      </c>
      <c r="R107" s="83" t="str">
        <f>IF(ISNA(VLOOKUP($A107,Table3[],7,FALSE)),"Unknown",VLOOKUP($A107,Table3[],7,FALSE))</f>
        <v>Unknown</v>
      </c>
      <c r="S107" s="83" t="str">
        <f>IF(ISNA(VLOOKUP($A107,Table3[],8,FALSE)),"None",VLOOKUP($A107,Table3[],8,FALSE))</f>
        <v>None</v>
      </c>
      <c r="T107" s="84" t="str">
        <f>IF(ISNA(VLOOKUP($A107,Table3[],13,FALSE)),"Unknown",VLOOKUP($A107,Table3[],13,FALSE))</f>
        <v>Unknown</v>
      </c>
      <c r="U107" s="85" t="str">
        <f>IF(ISNA(VLOOKUP($A107,Table3[],14,FALSE)),"Unknown",VLOOKUP($A107,Table3[],14,FALSE))</f>
        <v>Unknown</v>
      </c>
      <c r="V107" s="84">
        <f>IF(ISNA(VLOOKUP($A107,Table3[],21,FALSE)),0,VLOOKUP($A107,Table3[],21,FALSE))</f>
        <v>0</v>
      </c>
      <c r="W107" s="85">
        <f>IF(ISNA(VLOOKUP($A107,Table3[],22,FALSE)),0,VLOOKUP($A107,Table3[],22,FALSE))</f>
        <v>0</v>
      </c>
    </row>
    <row r="108" spans="1:23" s="73" customFormat="1" x14ac:dyDescent="0.25">
      <c r="A108" s="35">
        <v>111</v>
      </c>
      <c r="B108" s="138" t="str">
        <f>VLOOKUP(A108,Registry!$A$4:$AA$241,2,FALSE)</f>
        <v>Roy's Mobile Home Park</v>
      </c>
      <c r="C108" s="138" t="str">
        <f>VLOOKUP(A108,Registry!$A$4:$AA$241,3,FALSE)</f>
        <v>Franklin</v>
      </c>
      <c r="D108" s="138" t="str">
        <f>VLOOKUP(A108,Registry!$A$4:$AA$241,4,FALSE)</f>
        <v>Swanton</v>
      </c>
      <c r="E108" s="138">
        <f>IF(VLOOKUP(A108,Registry!$A$4:$AA$241,7,FALSE)=0,"",VLOOKUP(A108,Registry!$A$4:$AA$241,7,FALSE))</f>
        <v>1962</v>
      </c>
      <c r="F108" s="138" t="str">
        <f>IF(VLOOKUP(A108,Registry!$A$4:$AA$241,20,FALSE)=0,"",VLOOKUP(A108,Registry!$A$4:$AA$241,20,FALSE))</f>
        <v>Non-profit</v>
      </c>
      <c r="G108" s="138">
        <f>VLOOKUP(A108,Registry!$A$4:$AA$241,21,FALSE)</f>
        <v>32</v>
      </c>
      <c r="H108" s="81">
        <f>VLOOKUP($A108,Table4[],36,FALSE)</f>
        <v>0.90625</v>
      </c>
      <c r="I108" s="129">
        <f>VLOOKUP($A108,Table4[],41,FALSE)</f>
        <v>6.8010075566750636E-2</v>
      </c>
      <c r="J108" s="81">
        <f>VLOOKUP($A108,Table4[],30,FALSE)</f>
        <v>-6.25E-2</v>
      </c>
      <c r="K108" s="82">
        <f>VLOOKUP($A108,Table4[],17,FALSE)</f>
        <v>0</v>
      </c>
      <c r="L108" s="82">
        <f>VLOOKUP($A108,Table4[],18,FALSE)</f>
        <v>0</v>
      </c>
      <c r="M108" s="82" t="str">
        <f>IF(VLOOKUP($A108,Table2[],8,FALSE)=0,"",VLOOKUP($A108,Table2[],8,FALSE))</f>
        <v>Municipal</v>
      </c>
      <c r="N108" s="82">
        <f>VLOOKUP($A108,Table2[],14,FALSE)</f>
        <v>0</v>
      </c>
      <c r="O108" s="82" t="str">
        <f>IF(VLOOKUP($A108,Table2[],15,FALSE)=0,"",VLOOKUP($A108,Table2[],15,FALSE))</f>
        <v>Municipal</v>
      </c>
      <c r="P108" s="82" t="str">
        <f>IF(VLOOKUP($A108,Table2[],16,FALSE)=0,"",VLOOKUP($A108,Table2[],16,FALSE))</f>
        <v/>
      </c>
      <c r="Q108" s="83" t="str">
        <f>IF(ISNA(VLOOKUP($A108,Table3[],6,FALSE)),"None",VLOOKUP($A108,Table3[],6,FALSE))</f>
        <v>None</v>
      </c>
      <c r="R108" s="83" t="str">
        <f>IF(ISNA(VLOOKUP($A108,Table3[],7,FALSE)),"Unknown",VLOOKUP($A108,Table3[],7,FALSE))</f>
        <v>Unknown</v>
      </c>
      <c r="S108" s="83" t="str">
        <f>IF(ISNA(VLOOKUP($A108,Table3[],8,FALSE)),"None",VLOOKUP($A108,Table3[],8,FALSE))</f>
        <v>None</v>
      </c>
      <c r="T108" s="84" t="str">
        <f>IF(ISNA(VLOOKUP($A108,Table3[],13,FALSE)),"Unknown",VLOOKUP($A108,Table3[],13,FALSE))</f>
        <v>Unknown</v>
      </c>
      <c r="U108" s="85" t="str">
        <f>IF(ISNA(VLOOKUP($A108,Table3[],14,FALSE)),"Unknown",VLOOKUP($A108,Table3[],14,FALSE))</f>
        <v>Unknown</v>
      </c>
      <c r="V108" s="84">
        <f>IF(ISNA(VLOOKUP($A108,Table3[],21,FALSE)),0,VLOOKUP($A108,Table3[],21,FALSE))</f>
        <v>0</v>
      </c>
      <c r="W108" s="85">
        <f>IF(ISNA(VLOOKUP($A108,Table3[],22,FALSE)),0,VLOOKUP($A108,Table3[],22,FALSE))</f>
        <v>0</v>
      </c>
    </row>
    <row r="109" spans="1:23" s="73" customFormat="1" x14ac:dyDescent="0.25">
      <c r="A109" s="35">
        <v>77</v>
      </c>
      <c r="B109" s="138" t="str">
        <f>VLOOKUP(A109,Registry!$A$4:$AA$241,2,FALSE)</f>
        <v>Sunset Terrace Estates</v>
      </c>
      <c r="C109" s="138" t="str">
        <f>VLOOKUP(A109,Registry!$A$4:$AA$241,3,FALSE)</f>
        <v>Franklin</v>
      </c>
      <c r="D109" s="138" t="str">
        <f>VLOOKUP(A109,Registry!$A$4:$AA$241,4,FALSE)</f>
        <v>Swanton</v>
      </c>
      <c r="E109" s="138">
        <f>IF(VLOOKUP(A109,Registry!$A$4:$AA$241,7,FALSE)=0,"",VLOOKUP(A109,Registry!$A$4:$AA$241,7,FALSE))</f>
        <v>1970</v>
      </c>
      <c r="F109" s="138" t="str">
        <f>IF(VLOOKUP(A109,Registry!$A$4:$AA$241,20,FALSE)=0,"",VLOOKUP(A109,Registry!$A$4:$AA$241,20,FALSE))</f>
        <v>Non-profit</v>
      </c>
      <c r="G109" s="138">
        <f>VLOOKUP(A109,Registry!$A$4:$AA$241,21,FALSE)</f>
        <v>17</v>
      </c>
      <c r="H109" s="81">
        <f>VLOOKUP($A109,Table4[],36,FALSE)</f>
        <v>1</v>
      </c>
      <c r="I109" s="129">
        <f>VLOOKUP($A109,Table4[],41,FALSE)</f>
        <v>7.3362476203906082E-2</v>
      </c>
      <c r="J109" s="81">
        <f>VLOOKUP($A109,Table4[],30,FALSE)</f>
        <v>-5.8823529411764705E-2</v>
      </c>
      <c r="K109" s="82">
        <f>VLOOKUP($A109,Table4[],17,FALSE)</f>
        <v>0</v>
      </c>
      <c r="L109" s="82">
        <f>VLOOKUP($A109,Table4[],18,FALSE)</f>
        <v>-1</v>
      </c>
      <c r="M109" s="82" t="str">
        <f>IF(VLOOKUP($A109,Table2[],8,FALSE)=0,"",VLOOKUP($A109,Table2[],8,FALSE))</f>
        <v xml:space="preserve">Community </v>
      </c>
      <c r="N109" s="82">
        <f>VLOOKUP($A109,Table2[],14,FALSE)</f>
        <v>0</v>
      </c>
      <c r="O109" s="82" t="str">
        <f>IF(VLOOKUP($A109,Table2[],15,FALSE)=0,"",VLOOKUP($A109,Table2[],15,FALSE))</f>
        <v/>
      </c>
      <c r="P109" s="82" t="str">
        <f>IF(VLOOKUP($A109,Table2[],16,FALSE)=0,"",VLOOKUP($A109,Table2[],16,FALSE))</f>
        <v>MH-6-0011</v>
      </c>
      <c r="Q109" s="83" t="str">
        <f>IF(ISNA(VLOOKUP($A109,Table3[],6,FALSE)),"None",VLOOKUP($A109,Table3[],6,FALSE))</f>
        <v>None</v>
      </c>
      <c r="R109" s="83" t="str">
        <f>IF(ISNA(VLOOKUP($A109,Table3[],7,FALSE)),"Unknown",VLOOKUP($A109,Table3[],7,FALSE))</f>
        <v>Unknown</v>
      </c>
      <c r="S109" s="83" t="str">
        <f>IF(ISNA(VLOOKUP($A109,Table3[],8,FALSE)),"None",VLOOKUP($A109,Table3[],8,FALSE))</f>
        <v>None</v>
      </c>
      <c r="T109" s="84" t="str">
        <f>IF(ISNA(VLOOKUP($A109,Table3[],13,FALSE)),"Unknown",VLOOKUP($A109,Table3[],13,FALSE))</f>
        <v>Unknown</v>
      </c>
      <c r="U109" s="85" t="str">
        <f>IF(ISNA(VLOOKUP($A109,Table3[],14,FALSE)),"Unknown",VLOOKUP($A109,Table3[],14,FALSE))</f>
        <v>Unknown</v>
      </c>
      <c r="V109" s="84">
        <f>IF(ISNA(VLOOKUP($A109,Table3[],21,FALSE)),0,VLOOKUP($A109,Table3[],21,FALSE))</f>
        <v>0</v>
      </c>
      <c r="W109" s="85">
        <f>IF(ISNA(VLOOKUP($A109,Table3[],22,FALSE)),0,VLOOKUP($A109,Table3[],22,FALSE))</f>
        <v>0</v>
      </c>
    </row>
    <row r="110" spans="1:23" s="73" customFormat="1" x14ac:dyDescent="0.25">
      <c r="A110" s="35">
        <v>250</v>
      </c>
      <c r="B110" s="138" t="str">
        <f>VLOOKUP(A110,Registry!$A$4:$AA$241,2,FALSE)</f>
        <v>Blair Trailer Park</v>
      </c>
      <c r="C110" s="138" t="str">
        <f>VLOOKUP(A110,Registry!$A$4:$AA$241,3,FALSE)</f>
        <v>Grand Isle</v>
      </c>
      <c r="D110" s="138" t="str">
        <f>VLOOKUP(A110,Registry!$A$4:$AA$241,4,FALSE)</f>
        <v>Alburgh</v>
      </c>
      <c r="E110" s="138">
        <f>IF(VLOOKUP(A110,Registry!$A$4:$AA$241,7,FALSE)=0,"",VLOOKUP(A110,Registry!$A$4:$AA$241,7,FALSE))</f>
        <v>1982</v>
      </c>
      <c r="F110" s="138" t="str">
        <f>IF(VLOOKUP(A110,Registry!$A$4:$AA$241,20,FALSE)=0,"",VLOOKUP(A110,Registry!$A$4:$AA$241,20,FALSE))</f>
        <v>For profit</v>
      </c>
      <c r="G110" s="138">
        <f>VLOOKUP(A110,Registry!$A$4:$AA$241,21,FALSE)</f>
        <v>8</v>
      </c>
      <c r="H110" s="81">
        <f>VLOOKUP($A110,Table4[],36,FALSE)</f>
        <v>0.125</v>
      </c>
      <c r="I110" s="129">
        <f>VLOOKUP($A110,Table4[],41,FALSE)</f>
        <v>0</v>
      </c>
      <c r="J110" s="81">
        <f>VLOOKUP($A110,Table4[],30,FALSE)</f>
        <v>0</v>
      </c>
      <c r="K110" s="82">
        <f>VLOOKUP($A110,Table4[],17,FALSE)</f>
        <v>0</v>
      </c>
      <c r="L110" s="82">
        <f>VLOOKUP($A110,Table4[],18,FALSE)</f>
        <v>1</v>
      </c>
      <c r="M110" s="82" t="str">
        <f>IF(VLOOKUP($A110,Table2[],8,FALSE)=0,"",VLOOKUP($A110,Table2[],8,FALSE))</f>
        <v>Municipal</v>
      </c>
      <c r="N110" s="82">
        <f>VLOOKUP($A110,Table2[],14,FALSE)</f>
        <v>0</v>
      </c>
      <c r="O110" s="82" t="str">
        <f>IF(VLOOKUP($A110,Table2[],15,FALSE)=0,"",VLOOKUP($A110,Table2[],15,FALSE))</f>
        <v>Municipal</v>
      </c>
      <c r="P110" s="82" t="str">
        <f>IF(VLOOKUP($A110,Table2[],16,FALSE)=0,"",VLOOKUP($A110,Table2[],16,FALSE))</f>
        <v/>
      </c>
      <c r="Q110" s="83" t="str">
        <f>IF(ISNA(VLOOKUP($A110,Table3[],6,FALSE)),"None",VLOOKUP($A110,Table3[],6,FALSE))</f>
        <v>None</v>
      </c>
      <c r="R110" s="83" t="str">
        <f>IF(ISNA(VLOOKUP($A110,Table3[],7,FALSE)),"Unknown",VLOOKUP($A110,Table3[],7,FALSE))</f>
        <v>Unknown</v>
      </c>
      <c r="S110" s="83" t="str">
        <f>IF(ISNA(VLOOKUP($A110,Table3[],8,FALSE)),"None",VLOOKUP($A110,Table3[],8,FALSE))</f>
        <v>None</v>
      </c>
      <c r="T110" s="84" t="str">
        <f>IF(ISNA(VLOOKUP($A110,Table3[],13,FALSE)),"Unknown",VLOOKUP($A110,Table3[],13,FALSE))</f>
        <v>Unknown</v>
      </c>
      <c r="U110" s="85" t="str">
        <f>IF(ISNA(VLOOKUP($A110,Table3[],14,FALSE)),"Unknown",VLOOKUP($A110,Table3[],14,FALSE))</f>
        <v>Unknown</v>
      </c>
      <c r="V110" s="84">
        <f>IF(ISNA(VLOOKUP($A110,Table3[],21,FALSE)),0,VLOOKUP($A110,Table3[],21,FALSE))</f>
        <v>0</v>
      </c>
      <c r="W110" s="85">
        <f>IF(ISNA(VLOOKUP($A110,Table3[],22,FALSE)),0,VLOOKUP($A110,Table3[],22,FALSE))</f>
        <v>0</v>
      </c>
    </row>
    <row r="111" spans="1:23" s="73" customFormat="1" x14ac:dyDescent="0.25">
      <c r="A111" s="35">
        <v>136</v>
      </c>
      <c r="B111" s="138" t="str">
        <f>VLOOKUP(A111,Registry!$A$4:$AA$241,2,FALSE)</f>
        <v>Cooper's Bay Mobile Home Park</v>
      </c>
      <c r="C111" s="138" t="str">
        <f>VLOOKUP(A111,Registry!$A$4:$AA$241,3,FALSE)</f>
        <v>Grand Isle</v>
      </c>
      <c r="D111" s="138" t="str">
        <f>VLOOKUP(A111,Registry!$A$4:$AA$241,4,FALSE)</f>
        <v>Grand Isle</v>
      </c>
      <c r="E111" s="138">
        <f>IF(VLOOKUP(A111,Registry!$A$4:$AA$241,7,FALSE)=0,"",VLOOKUP(A111,Registry!$A$4:$AA$241,7,FALSE))</f>
        <v>1954</v>
      </c>
      <c r="F111" s="138" t="str">
        <f>IF(VLOOKUP(A111,Registry!$A$4:$AA$241,20,FALSE)=0,"",VLOOKUP(A111,Registry!$A$4:$AA$241,20,FALSE))</f>
        <v>Non-profit</v>
      </c>
      <c r="G111" s="138">
        <f>VLOOKUP(A111,Registry!$A$4:$AA$241,21,FALSE)</f>
        <v>24</v>
      </c>
      <c r="H111" s="81">
        <f>VLOOKUP($A111,Table4[],36,FALSE)</f>
        <v>1</v>
      </c>
      <c r="I111" s="129">
        <f>VLOOKUP($A111,Table4[],41,FALSE)</f>
        <v>6.5476190476190479E-2</v>
      </c>
      <c r="J111" s="81">
        <f>VLOOKUP($A111,Table4[],30,FALSE)</f>
        <v>0</v>
      </c>
      <c r="K111" s="82">
        <f>VLOOKUP($A111,Table4[],17,FALSE)</f>
        <v>0</v>
      </c>
      <c r="L111" s="82">
        <f>VLOOKUP($A111,Table4[],18,FALSE)</f>
        <v>0</v>
      </c>
      <c r="M111" s="82" t="str">
        <f>IF(VLOOKUP($A111,Table2[],8,FALSE)=0,"",VLOOKUP($A111,Table2[],8,FALSE))</f>
        <v>Municipal</v>
      </c>
      <c r="N111" s="82">
        <f>VLOOKUP($A111,Table2[],14,FALSE)</f>
        <v>0</v>
      </c>
      <c r="O111" s="82" t="str">
        <f>IF(VLOOKUP($A111,Table2[],15,FALSE)=0,"",VLOOKUP($A111,Table2[],15,FALSE))</f>
        <v>Individual On-Site</v>
      </c>
      <c r="P111" s="82" t="str">
        <f>IF(VLOOKUP($A111,Table2[],16,FALSE)=0,"",VLOOKUP($A111,Table2[],16,FALSE))</f>
        <v/>
      </c>
      <c r="Q111" s="83" t="str">
        <f>IF(ISNA(VLOOKUP($A111,Table3[],6,FALSE)),"None",VLOOKUP($A111,Table3[],6,FALSE))</f>
        <v>None</v>
      </c>
      <c r="R111" s="83" t="str">
        <f>IF(ISNA(VLOOKUP($A111,Table3[],7,FALSE)),"Unknown",VLOOKUP($A111,Table3[],7,FALSE))</f>
        <v>Unknown</v>
      </c>
      <c r="S111" s="83" t="str">
        <f>IF(ISNA(VLOOKUP($A111,Table3[],8,FALSE)),"None",VLOOKUP($A111,Table3[],8,FALSE))</f>
        <v>None</v>
      </c>
      <c r="T111" s="84" t="str">
        <f>IF(ISNA(VLOOKUP($A111,Table3[],13,FALSE)),"Unknown",VLOOKUP($A111,Table3[],13,FALSE))</f>
        <v>Unknown</v>
      </c>
      <c r="U111" s="85" t="str">
        <f>IF(ISNA(VLOOKUP($A111,Table3[],14,FALSE)),"Unknown",VLOOKUP($A111,Table3[],14,FALSE))</f>
        <v>Unknown</v>
      </c>
      <c r="V111" s="84">
        <f>IF(ISNA(VLOOKUP($A111,Table3[],21,FALSE)),0,VLOOKUP($A111,Table3[],21,FALSE))</f>
        <v>0</v>
      </c>
      <c r="W111" s="85">
        <f>IF(ISNA(VLOOKUP($A111,Table3[],22,FALSE)),0,VLOOKUP($A111,Table3[],22,FALSE))</f>
        <v>0</v>
      </c>
    </row>
    <row r="112" spans="1:23" s="73" customFormat="1" x14ac:dyDescent="0.25">
      <c r="A112" s="35">
        <v>298</v>
      </c>
      <c r="B112" s="138" t="str">
        <f>VLOOKUP(A112,Registry!$A$4:$AA$241,2,FALSE)</f>
        <v>Harvey MHP</v>
      </c>
      <c r="C112" s="138" t="str">
        <f>VLOOKUP(A112,Registry!$A$4:$AA$241,3,FALSE)</f>
        <v>Lamoille</v>
      </c>
      <c r="D112" s="138" t="str">
        <f>VLOOKUP(A112,Registry!$A$4:$AA$241,4,FALSE)</f>
        <v>Eden</v>
      </c>
      <c r="E112" s="138">
        <f>IF(VLOOKUP(A112,Registry!$A$4:$AA$241,7,FALSE)=0,"",VLOOKUP(A112,Registry!$A$4:$AA$241,7,FALSE))</f>
        <v>1998</v>
      </c>
      <c r="F112" s="138" t="str">
        <f>IF(VLOOKUP(A112,Registry!$A$4:$AA$241,20,FALSE)=0,"",VLOOKUP(A112,Registry!$A$4:$AA$241,20,FALSE))</f>
        <v>For profit</v>
      </c>
      <c r="G112" s="138">
        <f>VLOOKUP(A112,Registry!$A$4:$AA$241,21,FALSE)</f>
        <v>4</v>
      </c>
      <c r="H112" s="81">
        <f>VLOOKUP($A112,Table4[],36,FALSE)</f>
        <v>1</v>
      </c>
      <c r="I112" s="129">
        <f>VLOOKUP($A112,Table4[],41,FALSE)</f>
        <v>6.6666666666666666E-2</v>
      </c>
      <c r="J112" s="81">
        <f>VLOOKUP($A112,Table4[],30,FALSE)</f>
        <v>0</v>
      </c>
      <c r="K112" s="82">
        <f>VLOOKUP($A112,Table4[],17,FALSE)</f>
        <v>0</v>
      </c>
      <c r="L112" s="82">
        <f>VLOOKUP($A112,Table4[],18,FALSE)</f>
        <v>0</v>
      </c>
      <c r="M112" s="82" t="str">
        <f>IF(VLOOKUP($A112,Table2[],8,FALSE)=0,"",VLOOKUP($A112,Table2[],8,FALSE))</f>
        <v>Small-Scale (potable, &lt;25 users)</v>
      </c>
      <c r="N112" s="82">
        <f>VLOOKUP($A112,Table2[],14,FALSE)</f>
        <v>0</v>
      </c>
      <c r="O112" s="82" t="str">
        <f>IF(VLOOKUP($A112,Table2[],15,FALSE)=0,"",VLOOKUP($A112,Table2[],15,FALSE))</f>
        <v>On-Site</v>
      </c>
      <c r="P112" s="82" t="str">
        <f>IF(VLOOKUP($A112,Table2[],16,FALSE)=0,"",VLOOKUP($A112,Table2[],16,FALSE))</f>
        <v/>
      </c>
      <c r="Q112" s="83" t="str">
        <f>IF(ISNA(VLOOKUP($A112,Table3[],6,FALSE)),"None",VLOOKUP($A112,Table3[],6,FALSE))</f>
        <v>None</v>
      </c>
      <c r="R112" s="83" t="str">
        <f>IF(ISNA(VLOOKUP($A112,Table3[],7,FALSE)),"Unknown",VLOOKUP($A112,Table3[],7,FALSE))</f>
        <v>Unknown</v>
      </c>
      <c r="S112" s="83" t="str">
        <f>IF(ISNA(VLOOKUP($A112,Table3[],8,FALSE)),"None",VLOOKUP($A112,Table3[],8,FALSE))</f>
        <v>None</v>
      </c>
      <c r="T112" s="84" t="str">
        <f>IF(ISNA(VLOOKUP($A112,Table3[],13,FALSE)),"Unknown",VLOOKUP($A112,Table3[],13,FALSE))</f>
        <v>Unknown</v>
      </c>
      <c r="U112" s="85" t="str">
        <f>IF(ISNA(VLOOKUP($A112,Table3[],14,FALSE)),"Unknown",VLOOKUP($A112,Table3[],14,FALSE))</f>
        <v>Unknown</v>
      </c>
      <c r="V112" s="84">
        <f>IF(ISNA(VLOOKUP($A112,Table3[],21,FALSE)),0,VLOOKUP($A112,Table3[],21,FALSE))</f>
        <v>0</v>
      </c>
      <c r="W112" s="85">
        <f>IF(ISNA(VLOOKUP($A112,Table3[],22,FALSE)),0,VLOOKUP($A112,Table3[],22,FALSE))</f>
        <v>0</v>
      </c>
    </row>
    <row r="113" spans="1:23" s="73" customFormat="1" x14ac:dyDescent="0.25">
      <c r="A113" s="35">
        <v>168</v>
      </c>
      <c r="B113" s="138" t="str">
        <f>VLOOKUP(A113,Registry!$A$4:$AA$241,2,FALSE)</f>
        <v>Sterling View Cooperative Community, Inc.</v>
      </c>
      <c r="C113" s="138" t="str">
        <f>VLOOKUP(A113,Registry!$A$4:$AA$241,3,FALSE)</f>
        <v>Lamoille</v>
      </c>
      <c r="D113" s="138" t="str">
        <f>VLOOKUP(A113,Registry!$A$4:$AA$241,4,FALSE)</f>
        <v>Hyde Park</v>
      </c>
      <c r="E113" s="138">
        <f>IF(VLOOKUP(A113,Registry!$A$4:$AA$241,7,FALSE)=0,"",VLOOKUP(A113,Registry!$A$4:$AA$241,7,FALSE))</f>
        <v>1988</v>
      </c>
      <c r="F113" s="138" t="str">
        <f>IF(VLOOKUP(A113,Registry!$A$4:$AA$241,20,FALSE)=0,"",VLOOKUP(A113,Registry!$A$4:$AA$241,20,FALSE))</f>
        <v>Cooperative</v>
      </c>
      <c r="G113" s="138">
        <f>VLOOKUP(A113,Registry!$A$4:$AA$241,21,FALSE)</f>
        <v>113</v>
      </c>
      <c r="H113" s="81">
        <f>VLOOKUP($A113,Table4[],36,FALSE)</f>
        <v>1</v>
      </c>
      <c r="I113" s="129">
        <f>VLOOKUP($A113,Table4[],41,FALSE)</f>
        <v>0.30685920577617326</v>
      </c>
      <c r="J113" s="81">
        <f>VLOOKUP($A113,Table4[],30,FALSE)</f>
        <v>0</v>
      </c>
      <c r="K113" s="82">
        <f>VLOOKUP($A113,Table4[],17,FALSE)</f>
        <v>-14</v>
      </c>
      <c r="L113" s="82">
        <f>VLOOKUP($A113,Table4[],18,FALSE)</f>
        <v>0</v>
      </c>
      <c r="M113" s="82" t="str">
        <f>IF(VLOOKUP($A113,Table2[],8,FALSE)=0,"",VLOOKUP($A113,Table2[],8,FALSE))</f>
        <v xml:space="preserve">Community </v>
      </c>
      <c r="N113" s="82">
        <f>VLOOKUP($A113,Table2[],14,FALSE)</f>
        <v>6</v>
      </c>
      <c r="O113" s="82" t="str">
        <f>IF(VLOOKUP($A113,Table2[],15,FALSE)=0,"",VLOOKUP($A113,Table2[],15,FALSE))</f>
        <v>On-site</v>
      </c>
      <c r="P113" s="82" t="str">
        <f>IF(VLOOKUP($A113,Table2[],16,FALSE)=0,"",VLOOKUP($A113,Table2[],16,FALSE))</f>
        <v>MH-5-0006</v>
      </c>
      <c r="Q113" s="83" t="str">
        <f>IF(ISNA(VLOOKUP($A113,Table3[],6,FALSE)),"None",VLOOKUP($A113,Table3[],6,FALSE))</f>
        <v>None</v>
      </c>
      <c r="R113" s="83" t="str">
        <f>IF(ISNA(VLOOKUP($A113,Table3[],7,FALSE)),"Unknown",VLOOKUP($A113,Table3[],7,FALSE))</f>
        <v>Unknown</v>
      </c>
      <c r="S113" s="83" t="str">
        <f>IF(ISNA(VLOOKUP($A113,Table3[],8,FALSE)),"None",VLOOKUP($A113,Table3[],8,FALSE))</f>
        <v>None</v>
      </c>
      <c r="T113" s="84" t="str">
        <f>IF(ISNA(VLOOKUP($A113,Table3[],13,FALSE)),"Unknown",VLOOKUP($A113,Table3[],13,FALSE))</f>
        <v>Unknown</v>
      </c>
      <c r="U113" s="85" t="str">
        <f>IF(ISNA(VLOOKUP($A113,Table3[],14,FALSE)),"Unknown",VLOOKUP($A113,Table3[],14,FALSE))</f>
        <v>Unknown</v>
      </c>
      <c r="V113" s="84">
        <f>IF(ISNA(VLOOKUP($A113,Table3[],21,FALSE)),0,VLOOKUP($A113,Table3[],21,FALSE))</f>
        <v>0</v>
      </c>
      <c r="W113" s="85">
        <f>IF(ISNA(VLOOKUP($A113,Table3[],22,FALSE)),0,VLOOKUP($A113,Table3[],22,FALSE))</f>
        <v>0</v>
      </c>
    </row>
    <row r="114" spans="1:23" s="73" customFormat="1" x14ac:dyDescent="0.25">
      <c r="A114" s="35">
        <v>121</v>
      </c>
      <c r="B114" s="138" t="str">
        <f>VLOOKUP(A114,Registry!$A$4:$AA$241,2,FALSE)</f>
        <v>Highland Heights MHP</v>
      </c>
      <c r="C114" s="138" t="str">
        <f>VLOOKUP(A114,Registry!$A$4:$AA$241,3,FALSE)</f>
        <v>Lamoille</v>
      </c>
      <c r="D114" s="138" t="str">
        <f>VLOOKUP(A114,Registry!$A$4:$AA$241,4,FALSE)</f>
        <v>Johnson</v>
      </c>
      <c r="E114" s="138">
        <f>IF(VLOOKUP(A114,Registry!$A$4:$AA$241,7,FALSE)=0,"",VLOOKUP(A114,Registry!$A$4:$AA$241,7,FALSE))</f>
        <v>1966</v>
      </c>
      <c r="F114" s="138" t="str">
        <f>IF(VLOOKUP(A114,Registry!$A$4:$AA$241,20,FALSE)=0,"",VLOOKUP(A114,Registry!$A$4:$AA$241,20,FALSE))</f>
        <v>For profit</v>
      </c>
      <c r="G114" s="138">
        <f>VLOOKUP(A114,Registry!$A$4:$AA$241,21,FALSE)</f>
        <v>46</v>
      </c>
      <c r="H114" s="81">
        <f>VLOOKUP($A114,Table4[],36,FALSE)</f>
        <v>1</v>
      </c>
      <c r="I114" s="129">
        <f>VLOOKUP($A114,Table4[],41,FALSE)</f>
        <v>0.11538461538461539</v>
      </c>
      <c r="J114" s="81">
        <f>VLOOKUP($A114,Table4[],30,FALSE)</f>
        <v>-8.6956521739130432E-2</v>
      </c>
      <c r="K114" s="82">
        <f>VLOOKUP($A114,Table4[],17,FALSE)</f>
        <v>-1</v>
      </c>
      <c r="L114" s="82">
        <f>VLOOKUP($A114,Table4[],18,FALSE)</f>
        <v>0</v>
      </c>
      <c r="M114" s="82" t="str">
        <f>IF(VLOOKUP($A114,Table2[],8,FALSE)=0,"",VLOOKUP($A114,Table2[],8,FALSE))</f>
        <v>Municipal</v>
      </c>
      <c r="N114" s="82">
        <f>VLOOKUP($A114,Table2[],14,FALSE)</f>
        <v>0</v>
      </c>
      <c r="O114" s="82" t="str">
        <f>IF(VLOOKUP($A114,Table2[],15,FALSE)=0,"",VLOOKUP($A114,Table2[],15,FALSE))</f>
        <v>Community On-Site</v>
      </c>
      <c r="P114" s="82" t="str">
        <f>IF(VLOOKUP($A114,Table2[],16,FALSE)=0,"",VLOOKUP($A114,Table2[],16,FALSE))</f>
        <v>MH-5-0017, WW-5-6731, EC-5-3521</v>
      </c>
      <c r="Q114" s="83" t="str">
        <f>IF(ISNA(VLOOKUP($A114,Table3[],6,FALSE)),"None",VLOOKUP($A114,Table3[],6,FALSE))</f>
        <v>100 Year Flood Plain</v>
      </c>
      <c r="R114" s="83" t="str">
        <f>IF(ISNA(VLOOKUP($A114,Table3[],7,FALSE)),"Unknown",VLOOKUP($A114,Table3[],7,FALSE))</f>
        <v>Unknown</v>
      </c>
      <c r="S114" s="83" t="str">
        <f>IF(ISNA(VLOOKUP($A114,Table3[],8,FALSE)),"None",VLOOKUP($A114,Table3[],8,FALSE))</f>
        <v>100 Year Flood Plain</v>
      </c>
      <c r="T114" s="84">
        <f>IF(ISNA(VLOOKUP($A114,Table3[],13,FALSE)),"Unknown",VLOOKUP($A114,Table3[],13,FALSE))</f>
        <v>0</v>
      </c>
      <c r="U114" s="85">
        <f>IF(ISNA(VLOOKUP($A114,Table3[],14,FALSE)),"Unknown",VLOOKUP($A114,Table3[],14,FALSE))</f>
        <v>0</v>
      </c>
      <c r="V114" s="84">
        <f>IF(ISNA(VLOOKUP($A114,Table3[],21,FALSE)),0,VLOOKUP($A114,Table3[],21,FALSE))</f>
        <v>21</v>
      </c>
      <c r="W114" s="85">
        <f>IF(ISNA(VLOOKUP($A114,Table3[],22,FALSE)),0,VLOOKUP($A114,Table3[],22,FALSE))</f>
        <v>0.45652173913043476</v>
      </c>
    </row>
    <row r="115" spans="1:23" s="73" customFormat="1" x14ac:dyDescent="0.25">
      <c r="A115" s="35">
        <v>167</v>
      </c>
      <c r="B115" s="138" t="str">
        <f>VLOOKUP(A115,Registry!$A$4:$AA$241,2,FALSE)</f>
        <v>Johnson Mobile Home Park</v>
      </c>
      <c r="C115" s="138" t="str">
        <f>VLOOKUP(A115,Registry!$A$4:$AA$241,3,FALSE)</f>
        <v>Lamoille</v>
      </c>
      <c r="D115" s="138" t="str">
        <f>VLOOKUP(A115,Registry!$A$4:$AA$241,4,FALSE)</f>
        <v>Johnson</v>
      </c>
      <c r="E115" s="138">
        <f>IF(VLOOKUP(A115,Registry!$A$4:$AA$241,7,FALSE)=0,"",VLOOKUP(A115,Registry!$A$4:$AA$241,7,FALSE))</f>
        <v>1965</v>
      </c>
      <c r="F115" s="138" t="str">
        <f>IF(VLOOKUP(A115,Registry!$A$4:$AA$241,20,FALSE)=0,"",VLOOKUP(A115,Registry!$A$4:$AA$241,20,FALSE))</f>
        <v>For profit</v>
      </c>
      <c r="G115" s="138">
        <f>VLOOKUP(A115,Registry!$A$4:$AA$241,21,FALSE)</f>
        <v>33</v>
      </c>
      <c r="H115" s="81">
        <f>VLOOKUP($A115,Table4[],36,FALSE)</f>
        <v>0.93939393939393945</v>
      </c>
      <c r="I115" s="129">
        <f>VLOOKUP($A115,Table4[],41,FALSE)</f>
        <v>9.8039215686274508E-2</v>
      </c>
      <c r="J115" s="81">
        <f>VLOOKUP($A115,Table4[],30,FALSE)</f>
        <v>-9.0909090909090912E-2</v>
      </c>
      <c r="K115" s="82">
        <f>VLOOKUP($A115,Table4[],17,FALSE)</f>
        <v>0</v>
      </c>
      <c r="L115" s="82">
        <f>VLOOKUP($A115,Table4[],18,FALSE)</f>
        <v>0</v>
      </c>
      <c r="M115" s="82" t="str">
        <f>IF(VLOOKUP($A115,Table2[],8,FALSE)=0,"",VLOOKUP($A115,Table2[],8,FALSE))</f>
        <v>Municipal</v>
      </c>
      <c r="N115" s="82">
        <f>VLOOKUP($A115,Table2[],14,FALSE)</f>
        <v>0</v>
      </c>
      <c r="O115" s="82" t="str">
        <f>IF(VLOOKUP($A115,Table2[],15,FALSE)=0,"",VLOOKUP($A115,Table2[],15,FALSE))</f>
        <v>Community On-Site</v>
      </c>
      <c r="P115" s="82" t="str">
        <f>IF(VLOOKUP($A115,Table2[],16,FALSE)=0,"",VLOOKUP($A115,Table2[],16,FALSE))</f>
        <v>WW-5-4262</v>
      </c>
      <c r="Q115" s="83" t="str">
        <f>IF(ISNA(VLOOKUP($A115,Table3[],6,FALSE)),"None",VLOOKUP($A115,Table3[],6,FALSE))</f>
        <v>100 Year Flood Plain</v>
      </c>
      <c r="R115" s="83" t="str">
        <f>IF(ISNA(VLOOKUP($A115,Table3[],7,FALSE)),"Unknown",VLOOKUP($A115,Table3[],7,FALSE))</f>
        <v>Unknown</v>
      </c>
      <c r="S115" s="83" t="str">
        <f>IF(ISNA(VLOOKUP($A115,Table3[],8,FALSE)),"None",VLOOKUP($A115,Table3[],8,FALSE))</f>
        <v>100 Year Flood Plain</v>
      </c>
      <c r="T115" s="84">
        <f>IF(ISNA(VLOOKUP($A115,Table3[],13,FALSE)),"Unknown",VLOOKUP($A115,Table3[],13,FALSE))</f>
        <v>0</v>
      </c>
      <c r="U115" s="85">
        <f>IF(ISNA(VLOOKUP($A115,Table3[],14,FALSE)),"Unknown",VLOOKUP($A115,Table3[],14,FALSE))</f>
        <v>0</v>
      </c>
      <c r="V115" s="84">
        <f>IF(ISNA(VLOOKUP($A115,Table3[],21,FALSE)),0,VLOOKUP($A115,Table3[],21,FALSE))</f>
        <v>4</v>
      </c>
      <c r="W115" s="85">
        <f>IF(ISNA(VLOOKUP($A115,Table3[],22,FALSE)),0,VLOOKUP($A115,Table3[],22,FALSE))</f>
        <v>0.12121212121212122</v>
      </c>
    </row>
    <row r="116" spans="1:23" s="73" customFormat="1" x14ac:dyDescent="0.25">
      <c r="A116" s="35">
        <v>165</v>
      </c>
      <c r="B116" s="138" t="str">
        <f>VLOOKUP(A116,Registry!$A$4:$AA$241,2,FALSE)</f>
        <v>Katy Win Mobile Home Development</v>
      </c>
      <c r="C116" s="138" t="str">
        <f>VLOOKUP(A116,Registry!$A$4:$AA$241,3,FALSE)</f>
        <v>Lamoille</v>
      </c>
      <c r="D116" s="138" t="str">
        <f>VLOOKUP(A116,Registry!$A$4:$AA$241,4,FALSE)</f>
        <v>Johnson</v>
      </c>
      <c r="E116" s="138">
        <f>IF(VLOOKUP(A116,Registry!$A$4:$AA$241,7,FALSE)=0,"",VLOOKUP(A116,Registry!$A$4:$AA$241,7,FALSE))</f>
        <v>1967</v>
      </c>
      <c r="F116" s="138" t="str">
        <f>IF(VLOOKUP(A116,Registry!$A$4:$AA$241,20,FALSE)=0,"",VLOOKUP(A116,Registry!$A$4:$AA$241,20,FALSE))</f>
        <v>For profit</v>
      </c>
      <c r="G116" s="138">
        <f>VLOOKUP(A116,Registry!$A$4:$AA$241,21,FALSE)</f>
        <v>47</v>
      </c>
      <c r="H116" s="81">
        <f>VLOOKUP($A116,Table4[],36,FALSE)</f>
        <v>0.95744680851063835</v>
      </c>
      <c r="I116" s="129">
        <f>VLOOKUP($A116,Table4[],41,FALSE)</f>
        <v>0.10384615384615385</v>
      </c>
      <c r="J116" s="81">
        <f>VLOOKUP($A116,Table4[],30,FALSE)</f>
        <v>0</v>
      </c>
      <c r="K116" s="82">
        <f>VLOOKUP($A116,Table4[],17,FALSE)</f>
        <v>-3</v>
      </c>
      <c r="L116" s="82">
        <f>VLOOKUP($A116,Table4[],18,FALSE)</f>
        <v>-1</v>
      </c>
      <c r="M116" s="82" t="str">
        <f>IF(VLOOKUP($A116,Table2[],8,FALSE)=0,"",VLOOKUP($A116,Table2[],8,FALSE))</f>
        <v>Municipal</v>
      </c>
      <c r="N116" s="82">
        <f>VLOOKUP($A116,Table2[],14,FALSE)</f>
        <v>0</v>
      </c>
      <c r="O116" s="82" t="str">
        <f>IF(VLOOKUP($A116,Table2[],15,FALSE)=0,"",VLOOKUP($A116,Table2[],15,FALSE))</f>
        <v>Municipal</v>
      </c>
      <c r="P116" s="82" t="str">
        <f>IF(VLOOKUP($A116,Table2[],16,FALSE)=0,"",VLOOKUP($A116,Table2[],16,FALSE))</f>
        <v>MH-5-0005</v>
      </c>
      <c r="Q116" s="83" t="str">
        <f>IF(ISNA(VLOOKUP($A116,Table3[],6,FALSE)),"None",VLOOKUP($A116,Table3[],6,FALSE))</f>
        <v>None</v>
      </c>
      <c r="R116" s="83" t="str">
        <f>IF(ISNA(VLOOKUP($A116,Table3[],7,FALSE)),"Unknown",VLOOKUP($A116,Table3[],7,FALSE))</f>
        <v>Unknown</v>
      </c>
      <c r="S116" s="83" t="str">
        <f>IF(ISNA(VLOOKUP($A116,Table3[],8,FALSE)),"None",VLOOKUP($A116,Table3[],8,FALSE))</f>
        <v>None</v>
      </c>
      <c r="T116" s="84" t="str">
        <f>IF(ISNA(VLOOKUP($A116,Table3[],13,FALSE)),"Unknown",VLOOKUP($A116,Table3[],13,FALSE))</f>
        <v>Unknown</v>
      </c>
      <c r="U116" s="85" t="str">
        <f>IF(ISNA(VLOOKUP($A116,Table3[],14,FALSE)),"Unknown",VLOOKUP($A116,Table3[],14,FALSE))</f>
        <v>Unknown</v>
      </c>
      <c r="V116" s="84">
        <f>IF(ISNA(VLOOKUP($A116,Table3[],21,FALSE)),0,VLOOKUP($A116,Table3[],21,FALSE))</f>
        <v>0</v>
      </c>
      <c r="W116" s="85">
        <f>IF(ISNA(VLOOKUP($A116,Table3[],22,FALSE)),0,VLOOKUP($A116,Table3[],22,FALSE))</f>
        <v>0</v>
      </c>
    </row>
    <row r="117" spans="1:23" s="73" customFormat="1" x14ac:dyDescent="0.25">
      <c r="A117" s="35">
        <v>164</v>
      </c>
      <c r="B117" s="138" t="str">
        <f>VLOOKUP(A117,Registry!$A$4:$AA$241,2,FALSE)</f>
        <v>Mountain View Park</v>
      </c>
      <c r="C117" s="138" t="str">
        <f>VLOOKUP(A117,Registry!$A$4:$AA$241,3,FALSE)</f>
        <v>Lamoille</v>
      </c>
      <c r="D117" s="138" t="str">
        <f>VLOOKUP(A117,Registry!$A$4:$AA$241,4,FALSE)</f>
        <v>Johnson</v>
      </c>
      <c r="E117" s="138">
        <f>IF(VLOOKUP(A117,Registry!$A$4:$AA$241,7,FALSE)=0,"",VLOOKUP(A117,Registry!$A$4:$AA$241,7,FALSE))</f>
        <v>1963</v>
      </c>
      <c r="F117" s="138" t="str">
        <f>IF(VLOOKUP(A117,Registry!$A$4:$AA$241,20,FALSE)=0,"",VLOOKUP(A117,Registry!$A$4:$AA$241,20,FALSE))</f>
        <v>For profit</v>
      </c>
      <c r="G117" s="138">
        <f>VLOOKUP(A117,Registry!$A$4:$AA$241,21,FALSE)</f>
        <v>31</v>
      </c>
      <c r="H117" s="81">
        <f>VLOOKUP($A117,Table4[],36,FALSE)</f>
        <v>0.87096774193548387</v>
      </c>
      <c r="I117" s="129">
        <f>VLOOKUP($A117,Table4[],41,FALSE)</f>
        <v>0.11513157894736842</v>
      </c>
      <c r="J117" s="81">
        <f>VLOOKUP($A117,Table4[],30,FALSE)</f>
        <v>6.4516129032258063E-2</v>
      </c>
      <c r="K117" s="82">
        <f>VLOOKUP($A117,Table4[],17,FALSE)</f>
        <v>0</v>
      </c>
      <c r="L117" s="82">
        <f>VLOOKUP($A117,Table4[],18,FALSE)</f>
        <v>0</v>
      </c>
      <c r="M117" s="82" t="str">
        <f>IF(VLOOKUP($A117,Table2[],8,FALSE)=0,"",VLOOKUP($A117,Table2[],8,FALSE))</f>
        <v xml:space="preserve">Community </v>
      </c>
      <c r="N117" s="82">
        <f>VLOOKUP($A117,Table2[],14,FALSE)</f>
        <v>1</v>
      </c>
      <c r="O117" s="82" t="str">
        <f>IF(VLOOKUP($A117,Table2[],15,FALSE)=0,"",VLOOKUP($A117,Table2[],15,FALSE))</f>
        <v>Municipal</v>
      </c>
      <c r="P117" s="82" t="str">
        <f>IF(VLOOKUP($A117,Table2[],16,FALSE)=0,"",VLOOKUP($A117,Table2[],16,FALSE))</f>
        <v>MH-5-0010, WW-5-3880</v>
      </c>
      <c r="Q117" s="83" t="str">
        <f>IF(ISNA(VLOOKUP($A117,Table3[],6,FALSE)),"None",VLOOKUP($A117,Table3[],6,FALSE))</f>
        <v>None</v>
      </c>
      <c r="R117" s="83" t="str">
        <f>IF(ISNA(VLOOKUP($A117,Table3[],7,FALSE)),"Unknown",VLOOKUP($A117,Table3[],7,FALSE))</f>
        <v>Unknown</v>
      </c>
      <c r="S117" s="83" t="str">
        <f>IF(ISNA(VLOOKUP($A117,Table3[],8,FALSE)),"None",VLOOKUP($A117,Table3[],8,FALSE))</f>
        <v>None</v>
      </c>
      <c r="T117" s="84" t="str">
        <f>IF(ISNA(VLOOKUP($A117,Table3[],13,FALSE)),"Unknown",VLOOKUP($A117,Table3[],13,FALSE))</f>
        <v>Unknown</v>
      </c>
      <c r="U117" s="85" t="str">
        <f>IF(ISNA(VLOOKUP($A117,Table3[],14,FALSE)),"Unknown",VLOOKUP($A117,Table3[],14,FALSE))</f>
        <v>Unknown</v>
      </c>
      <c r="V117" s="84">
        <f>IF(ISNA(VLOOKUP($A117,Table3[],21,FALSE)),0,VLOOKUP($A117,Table3[],21,FALSE))</f>
        <v>0</v>
      </c>
      <c r="W117" s="85">
        <f>IF(ISNA(VLOOKUP($A117,Table3[],22,FALSE)),0,VLOOKUP($A117,Table3[],22,FALSE))</f>
        <v>0</v>
      </c>
    </row>
    <row r="118" spans="1:23" s="73" customFormat="1" x14ac:dyDescent="0.25">
      <c r="A118" s="35">
        <v>169</v>
      </c>
      <c r="B118" s="138" t="str">
        <f>VLOOKUP(A118,Registry!$A$4:$AA$241,2,FALSE)</f>
        <v>Pinecrest Mobile Home Park</v>
      </c>
      <c r="C118" s="138" t="str">
        <f>VLOOKUP(A118,Registry!$A$4:$AA$241,3,FALSE)</f>
        <v>Lamoille</v>
      </c>
      <c r="D118" s="138" t="str">
        <f>VLOOKUP(A118,Registry!$A$4:$AA$241,4,FALSE)</f>
        <v>Morristown</v>
      </c>
      <c r="E118" s="138">
        <f>IF(VLOOKUP(A118,Registry!$A$4:$AA$241,7,FALSE)=0,"",VLOOKUP(A118,Registry!$A$4:$AA$241,7,FALSE))</f>
        <v>1969</v>
      </c>
      <c r="F118" s="138" t="str">
        <f>IF(VLOOKUP(A118,Registry!$A$4:$AA$241,20,FALSE)=0,"",VLOOKUP(A118,Registry!$A$4:$AA$241,20,FALSE))</f>
        <v>For profit</v>
      </c>
      <c r="G118" s="138">
        <f>VLOOKUP(A118,Registry!$A$4:$AA$241,21,FALSE)</f>
        <v>53</v>
      </c>
      <c r="H118" s="81">
        <f>VLOOKUP($A118,Table4[],36,FALSE)</f>
        <v>0.90566037735849059</v>
      </c>
      <c r="I118" s="129">
        <f>VLOOKUP($A118,Table4[],41,FALSE)</f>
        <v>7.7809798270893377E-2</v>
      </c>
      <c r="J118" s="81">
        <f>VLOOKUP($A118,Table4[],30,FALSE)</f>
        <v>-5.6603773584905662E-2</v>
      </c>
      <c r="K118" s="82">
        <f>VLOOKUP($A118,Table4[],17,FALSE)</f>
        <v>0</v>
      </c>
      <c r="L118" s="82">
        <f>VLOOKUP($A118,Table4[],18,FALSE)</f>
        <v>2</v>
      </c>
      <c r="M118" s="82" t="str">
        <f>IF(VLOOKUP($A118,Table2[],8,FALSE)=0,"",VLOOKUP($A118,Table2[],8,FALSE))</f>
        <v xml:space="preserve">Community </v>
      </c>
      <c r="N118" s="82">
        <f>VLOOKUP($A118,Table2[],14,FALSE)</f>
        <v>0</v>
      </c>
      <c r="O118" s="82" t="str">
        <f>IF(VLOOKUP($A118,Table2[],15,FALSE)=0,"",VLOOKUP($A118,Table2[],15,FALSE))</f>
        <v>Community On-Site</v>
      </c>
      <c r="P118" s="82" t="str">
        <f>IF(VLOOKUP($A118,Table2[],16,FALSE)=0,"",VLOOKUP($A118,Table2[],16,FALSE))</f>
        <v>MH-5-0004, WW-5-6413</v>
      </c>
      <c r="Q118" s="83" t="str">
        <f>IF(ISNA(VLOOKUP($A118,Table3[],6,FALSE)),"None",VLOOKUP($A118,Table3[],6,FALSE))</f>
        <v>None</v>
      </c>
      <c r="R118" s="83" t="str">
        <f>IF(ISNA(VLOOKUP($A118,Table3[],7,FALSE)),"Unknown",VLOOKUP($A118,Table3[],7,FALSE))</f>
        <v>Unknown</v>
      </c>
      <c r="S118" s="83" t="str">
        <f>IF(ISNA(VLOOKUP($A118,Table3[],8,FALSE)),"None",VLOOKUP($A118,Table3[],8,FALSE))</f>
        <v>None</v>
      </c>
      <c r="T118" s="84" t="str">
        <f>IF(ISNA(VLOOKUP($A118,Table3[],13,FALSE)),"Unknown",VLOOKUP($A118,Table3[],13,FALSE))</f>
        <v>Unknown</v>
      </c>
      <c r="U118" s="85" t="str">
        <f>IF(ISNA(VLOOKUP($A118,Table3[],14,FALSE)),"Unknown",VLOOKUP($A118,Table3[],14,FALSE))</f>
        <v>Unknown</v>
      </c>
      <c r="V118" s="84">
        <f>IF(ISNA(VLOOKUP($A118,Table3[],21,FALSE)),0,VLOOKUP($A118,Table3[],21,FALSE))</f>
        <v>0</v>
      </c>
      <c r="W118" s="85">
        <f>IF(ISNA(VLOOKUP($A118,Table3[],22,FALSE)),0,VLOOKUP($A118,Table3[],22,FALSE))</f>
        <v>0</v>
      </c>
    </row>
    <row r="119" spans="1:23" s="73" customFormat="1" x14ac:dyDescent="0.25">
      <c r="A119" s="35">
        <v>133</v>
      </c>
      <c r="B119" s="138" t="str">
        <f>VLOOKUP(A119,Registry!$A$4:$AA$241,2,FALSE)</f>
        <v>Whistle Stop Mobile Home Park</v>
      </c>
      <c r="C119" s="138" t="str">
        <f>VLOOKUP(A119,Registry!$A$4:$AA$241,3,FALSE)</f>
        <v>Orange</v>
      </c>
      <c r="D119" s="138" t="str">
        <f>VLOOKUP(A119,Registry!$A$4:$AA$241,4,FALSE)</f>
        <v>Bradford</v>
      </c>
      <c r="E119" s="138">
        <f>IF(VLOOKUP(A119,Registry!$A$4:$AA$241,7,FALSE)=0,"",VLOOKUP(A119,Registry!$A$4:$AA$241,7,FALSE))</f>
        <v>1970</v>
      </c>
      <c r="F119" s="138" t="str">
        <f>IF(VLOOKUP(A119,Registry!$A$4:$AA$241,20,FALSE)=0,"",VLOOKUP(A119,Registry!$A$4:$AA$241,20,FALSE))</f>
        <v>Non-profit</v>
      </c>
      <c r="G119" s="138">
        <f>VLOOKUP(A119,Registry!$A$4:$AA$241,21,FALSE)</f>
        <v>12</v>
      </c>
      <c r="H119" s="81">
        <f>VLOOKUP($A119,Table4[],36,FALSE)</f>
        <v>0.75</v>
      </c>
      <c r="I119" s="129">
        <f>VLOOKUP($A119,Table4[],41,FALSE)</f>
        <v>6.3604240282685506E-2</v>
      </c>
      <c r="J119" s="81">
        <f>VLOOKUP($A119,Table4[],30,FALSE)</f>
        <v>-0.25</v>
      </c>
      <c r="K119" s="82">
        <f>VLOOKUP($A119,Table4[],17,FALSE)</f>
        <v>3</v>
      </c>
      <c r="L119" s="82">
        <f>VLOOKUP($A119,Table4[],18,FALSE)</f>
        <v>0</v>
      </c>
      <c r="M119" s="82" t="str">
        <f>IF(VLOOKUP($A119,Table2[],8,FALSE)=0,"",VLOOKUP($A119,Table2[],8,FALSE))</f>
        <v>Municipal</v>
      </c>
      <c r="N119" s="82">
        <f>VLOOKUP($A119,Table2[],14,FALSE)</f>
        <v>0</v>
      </c>
      <c r="O119" s="82" t="str">
        <f>IF(VLOOKUP($A119,Table2[],15,FALSE)=0,"",VLOOKUP($A119,Table2[],15,FALSE))</f>
        <v>Municipal</v>
      </c>
      <c r="P119" s="82" t="str">
        <f>IF(VLOOKUP($A119,Table2[],16,FALSE)=0,"",VLOOKUP($A119,Table2[],16,FALSE))</f>
        <v/>
      </c>
      <c r="Q119" s="83" t="str">
        <f>IF(ISNA(VLOOKUP($A119,Table3[],6,FALSE)),"None",VLOOKUP($A119,Table3[],6,FALSE))</f>
        <v>None</v>
      </c>
      <c r="R119" s="83" t="str">
        <f>IF(ISNA(VLOOKUP($A119,Table3[],7,FALSE)),"Unknown",VLOOKUP($A119,Table3[],7,FALSE))</f>
        <v>Unknown</v>
      </c>
      <c r="S119" s="83" t="str">
        <f>IF(ISNA(VLOOKUP($A119,Table3[],8,FALSE)),"None",VLOOKUP($A119,Table3[],8,FALSE))</f>
        <v>None</v>
      </c>
      <c r="T119" s="84">
        <f>IF(ISNA(VLOOKUP($A119,Table3[],13,FALSE)),"Unknown",VLOOKUP($A119,Table3[],13,FALSE))</f>
        <v>0</v>
      </c>
      <c r="U119" s="85">
        <f>IF(ISNA(VLOOKUP($A119,Table3[],14,FALSE)),"Unknown",VLOOKUP($A119,Table3[],14,FALSE))</f>
        <v>0</v>
      </c>
      <c r="V119" s="84">
        <f>IF(ISNA(VLOOKUP($A119,Table3[],21,FALSE)),0,VLOOKUP($A119,Table3[],21,FALSE))</f>
        <v>0</v>
      </c>
      <c r="W119" s="85">
        <f>IF(ISNA(VLOOKUP($A119,Table3[],22,FALSE)),0,VLOOKUP($A119,Table3[],22,FALSE))</f>
        <v>0</v>
      </c>
    </row>
    <row r="120" spans="1:23" s="73" customFormat="1" x14ac:dyDescent="0.25">
      <c r="A120" s="35">
        <v>78</v>
      </c>
      <c r="B120" s="138" t="str">
        <f>VLOOKUP(A120,Registry!$A$4:$AA$241,2,FALSE)</f>
        <v>Mobile Acres Mobile Home Park</v>
      </c>
      <c r="C120" s="138" t="str">
        <f>VLOOKUP(A120,Registry!$A$4:$AA$241,3,FALSE)</f>
        <v>Orange</v>
      </c>
      <c r="D120" s="138" t="str">
        <f>VLOOKUP(A120,Registry!$A$4:$AA$241,4,FALSE)</f>
        <v>Braintree</v>
      </c>
      <c r="E120" s="138">
        <f>IF(VLOOKUP(A120,Registry!$A$4:$AA$241,7,FALSE)=0,"",VLOOKUP(A120,Registry!$A$4:$AA$241,7,FALSE))</f>
        <v>1969</v>
      </c>
      <c r="F120" s="138" t="str">
        <f>IF(VLOOKUP(A120,Registry!$A$4:$AA$241,20,FALSE)=0,"",VLOOKUP(A120,Registry!$A$4:$AA$241,20,FALSE))</f>
        <v>Non-profit</v>
      </c>
      <c r="G120" s="138">
        <f>VLOOKUP(A120,Registry!$A$4:$AA$241,21,FALSE)</f>
        <v>95</v>
      </c>
      <c r="H120" s="81">
        <f>VLOOKUP($A120,Table4[],36,FALSE)</f>
        <v>0.78947368421052633</v>
      </c>
      <c r="I120" s="129">
        <f>VLOOKUP($A120,Table4[],41,FALSE)</f>
        <v>0.11311053984575835</v>
      </c>
      <c r="J120" s="81">
        <f>VLOOKUP($A120,Table4[],30,FALSE)</f>
        <v>0</v>
      </c>
      <c r="K120" s="82">
        <f>VLOOKUP($A120,Table4[],17,FALSE)</f>
        <v>-1</v>
      </c>
      <c r="L120" s="82">
        <f>VLOOKUP($A120,Table4[],18,FALSE)</f>
        <v>0</v>
      </c>
      <c r="M120" s="82" t="str">
        <f>IF(VLOOKUP($A120,Table2[],8,FALSE)=0,"",VLOOKUP($A120,Table2[],8,FALSE))</f>
        <v xml:space="preserve">Community </v>
      </c>
      <c r="N120" s="82">
        <f>VLOOKUP($A120,Table2[],14,FALSE)</f>
        <v>0</v>
      </c>
      <c r="O120" s="82" t="str">
        <f>IF(VLOOKUP($A120,Table2[],15,FALSE)=0,"",VLOOKUP($A120,Table2[],15,FALSE))</f>
        <v>Individual On-Site</v>
      </c>
      <c r="P120" s="82" t="str">
        <f>IF(VLOOKUP($A120,Table2[],16,FALSE)=0,"",VLOOKUP($A120,Table2[],16,FALSE))</f>
        <v/>
      </c>
      <c r="Q120" s="83" t="str">
        <f>IF(ISNA(VLOOKUP($A120,Table3[],6,FALSE)),"None",VLOOKUP($A120,Table3[],6,FALSE))</f>
        <v>100 Year Flood Plain</v>
      </c>
      <c r="R120" s="83" t="str">
        <f>IF(ISNA(VLOOKUP($A120,Table3[],7,FALSE)),"Unknown",VLOOKUP($A120,Table3[],7,FALSE))</f>
        <v>Unknown</v>
      </c>
      <c r="S120" s="83" t="str">
        <f>IF(ISNA(VLOOKUP($A120,Table3[],8,FALSE)),"None",VLOOKUP($A120,Table3[],8,FALSE))</f>
        <v>100 Year Flood Plain</v>
      </c>
      <c r="T120" s="84">
        <f>IF(ISNA(VLOOKUP($A120,Table3[],13,FALSE)),"Unknown",VLOOKUP($A120,Table3[],13,FALSE))</f>
        <v>0</v>
      </c>
      <c r="U120" s="85">
        <f>IF(ISNA(VLOOKUP($A120,Table3[],14,FALSE)),"Unknown",VLOOKUP($A120,Table3[],14,FALSE))</f>
        <v>0</v>
      </c>
      <c r="V120" s="84">
        <f>IF(ISNA(VLOOKUP($A120,Table3[],21,FALSE)),0,VLOOKUP($A120,Table3[],21,FALSE))</f>
        <v>2</v>
      </c>
      <c r="W120" s="85">
        <f>IF(ISNA(VLOOKUP($A120,Table3[],22,FALSE)),0,VLOOKUP($A120,Table3[],22,FALSE))</f>
        <v>2.1052631578947368E-2</v>
      </c>
    </row>
    <row r="121" spans="1:23" s="73" customFormat="1" x14ac:dyDescent="0.25">
      <c r="A121" s="35">
        <v>303</v>
      </c>
      <c r="B121" s="138" t="str">
        <f>VLOOKUP(A121,Registry!$A$4:$AA$241,2,FALSE)</f>
        <v>Meadowbrook MHP</v>
      </c>
      <c r="C121" s="138" t="str">
        <f>VLOOKUP(A121,Registry!$A$4:$AA$241,3,FALSE)</f>
        <v>Orange</v>
      </c>
      <c r="D121" s="138" t="str">
        <f>VLOOKUP(A121,Registry!$A$4:$AA$241,4,FALSE)</f>
        <v>Orange</v>
      </c>
      <c r="E121" s="138">
        <f>IF(VLOOKUP(A121,Registry!$A$4:$AA$241,7,FALSE)=0,"",VLOOKUP(A121,Registry!$A$4:$AA$241,7,FALSE))</f>
        <v>2001</v>
      </c>
      <c r="F121" s="138" t="str">
        <f>IF(VLOOKUP(A121,Registry!$A$4:$AA$241,20,FALSE)=0,"",VLOOKUP(A121,Registry!$A$4:$AA$241,20,FALSE))</f>
        <v>For profit</v>
      </c>
      <c r="G121" s="138">
        <f>VLOOKUP(A121,Registry!$A$4:$AA$241,21,FALSE)</f>
        <v>8</v>
      </c>
      <c r="H121" s="81">
        <f>VLOOKUP($A121,Table4[],36,FALSE)</f>
        <v>1</v>
      </c>
      <c r="I121" s="129">
        <f>VLOOKUP($A121,Table4[],41,FALSE)</f>
        <v>0</v>
      </c>
      <c r="J121" s="81">
        <f>VLOOKUP($A121,Table4[],30,FALSE)</f>
        <v>0</v>
      </c>
      <c r="K121" s="82">
        <f>VLOOKUP($A121,Table4[],17,FALSE)</f>
        <v>0</v>
      </c>
      <c r="L121" s="82">
        <f>VLOOKUP($A121,Table4[],18,FALSE)</f>
        <v>0</v>
      </c>
      <c r="M121" s="82" t="str">
        <f>IF(VLOOKUP($A121,Table2[],8,FALSE)=0,"",VLOOKUP($A121,Table2[],8,FALSE))</f>
        <v>Small-Scale (potable, &lt;25 users)</v>
      </c>
      <c r="N121" s="82">
        <f>VLOOKUP($A121,Table2[],14,FALSE)</f>
        <v>0</v>
      </c>
      <c r="O121" s="82" t="str">
        <f>IF(VLOOKUP($A121,Table2[],15,FALSE)=0,"",VLOOKUP($A121,Table2[],15,FALSE))</f>
        <v>On-Site</v>
      </c>
      <c r="P121" s="82" t="str">
        <f>IF(VLOOKUP($A121,Table2[],16,FALSE)=0,"",VLOOKUP($A121,Table2[],16,FALSE))</f>
        <v>MH-5-0015</v>
      </c>
      <c r="Q121" s="83" t="str">
        <f>IF(ISNA(VLOOKUP($A121,Table3[],6,FALSE)),"None",VLOOKUP($A121,Table3[],6,FALSE))</f>
        <v>None</v>
      </c>
      <c r="R121" s="83" t="str">
        <f>IF(ISNA(VLOOKUP($A121,Table3[],7,FALSE)),"Unknown",VLOOKUP($A121,Table3[],7,FALSE))</f>
        <v>Unknown</v>
      </c>
      <c r="S121" s="83" t="str">
        <f>IF(ISNA(VLOOKUP($A121,Table3[],8,FALSE)),"None",VLOOKUP($A121,Table3[],8,FALSE))</f>
        <v>None</v>
      </c>
      <c r="T121" s="84" t="str">
        <f>IF(ISNA(VLOOKUP($A121,Table3[],13,FALSE)),"Unknown",VLOOKUP($A121,Table3[],13,FALSE))</f>
        <v>Unknown</v>
      </c>
      <c r="U121" s="85" t="str">
        <f>IF(ISNA(VLOOKUP($A121,Table3[],14,FALSE)),"Unknown",VLOOKUP($A121,Table3[],14,FALSE))</f>
        <v>Unknown</v>
      </c>
      <c r="V121" s="84">
        <f>IF(ISNA(VLOOKUP($A121,Table3[],21,FALSE)),0,VLOOKUP($A121,Table3[],21,FALSE))</f>
        <v>0</v>
      </c>
      <c r="W121" s="85">
        <f>IF(ISNA(VLOOKUP($A121,Table3[],22,FALSE)),0,VLOOKUP($A121,Table3[],22,FALSE))</f>
        <v>0</v>
      </c>
    </row>
    <row r="122" spans="1:23" s="73" customFormat="1" x14ac:dyDescent="0.25">
      <c r="A122" s="35">
        <v>22</v>
      </c>
      <c r="B122" s="138" t="str">
        <f>VLOOKUP(A122,Registry!$A$4:$AA$241,2,FALSE)</f>
        <v>Armstrong Mobile Home Park</v>
      </c>
      <c r="C122" s="138" t="str">
        <f>VLOOKUP(A122,Registry!$A$4:$AA$241,3,FALSE)</f>
        <v>Orange</v>
      </c>
      <c r="D122" s="138" t="str">
        <f>VLOOKUP(A122,Registry!$A$4:$AA$241,4,FALSE)</f>
        <v>Randolph</v>
      </c>
      <c r="E122" s="138">
        <f>IF(VLOOKUP(A122,Registry!$A$4:$AA$241,7,FALSE)=0,"",VLOOKUP(A122,Registry!$A$4:$AA$241,7,FALSE))</f>
        <v>1968</v>
      </c>
      <c r="F122" s="138" t="str">
        <f>IF(VLOOKUP(A122,Registry!$A$4:$AA$241,20,FALSE)=0,"",VLOOKUP(A122,Registry!$A$4:$AA$241,20,FALSE))</f>
        <v>Non-profit</v>
      </c>
      <c r="G122" s="138">
        <f>VLOOKUP(A122,Registry!$A$4:$AA$241,21,FALSE)</f>
        <v>16</v>
      </c>
      <c r="H122" s="81">
        <f>VLOOKUP($A122,Table4[],36,FALSE)</f>
        <v>0.9375</v>
      </c>
      <c r="I122" s="129">
        <f>VLOOKUP($A122,Table4[],41,FALSE)</f>
        <v>8.0597014925373134E-2</v>
      </c>
      <c r="J122" s="81">
        <f>VLOOKUP($A122,Table4[],30,FALSE)</f>
        <v>0</v>
      </c>
      <c r="K122" s="82">
        <f>VLOOKUP($A122,Table4[],17,FALSE)</f>
        <v>1</v>
      </c>
      <c r="L122" s="82">
        <f>VLOOKUP($A122,Table4[],18,FALSE)</f>
        <v>0</v>
      </c>
      <c r="M122" s="82" t="str">
        <f>IF(VLOOKUP($A122,Table2[],8,FALSE)=0,"",VLOOKUP($A122,Table2[],8,FALSE))</f>
        <v xml:space="preserve">Community </v>
      </c>
      <c r="N122" s="82">
        <f>VLOOKUP($A122,Table2[],14,FALSE)</f>
        <v>0</v>
      </c>
      <c r="O122" s="82" t="str">
        <f>IF(VLOOKUP($A122,Table2[],15,FALSE)=0,"",VLOOKUP($A122,Table2[],15,FALSE))</f>
        <v>Community On-Site</v>
      </c>
      <c r="P122" s="82" t="str">
        <f>IF(VLOOKUP($A122,Table2[],16,FALSE)=0,"",VLOOKUP($A122,Table2[],16,FALSE))</f>
        <v>WW-3-10169</v>
      </c>
      <c r="Q122" s="83" t="str">
        <f>IF(ISNA(VLOOKUP($A122,Table3[],6,FALSE)),"None",VLOOKUP($A122,Table3[],6,FALSE))</f>
        <v>None</v>
      </c>
      <c r="R122" s="83" t="str">
        <f>IF(ISNA(VLOOKUP($A122,Table3[],7,FALSE)),"Unknown",VLOOKUP($A122,Table3[],7,FALSE))</f>
        <v>Unknown</v>
      </c>
      <c r="S122" s="83" t="str">
        <f>IF(ISNA(VLOOKUP($A122,Table3[],8,FALSE)),"None",VLOOKUP($A122,Table3[],8,FALSE))</f>
        <v>None</v>
      </c>
      <c r="T122" s="84" t="str">
        <f>IF(ISNA(VLOOKUP($A122,Table3[],13,FALSE)),"Unknown",VLOOKUP($A122,Table3[],13,FALSE))</f>
        <v>Unknown</v>
      </c>
      <c r="U122" s="85" t="str">
        <f>IF(ISNA(VLOOKUP($A122,Table3[],14,FALSE)),"Unknown",VLOOKUP($A122,Table3[],14,FALSE))</f>
        <v>Unknown</v>
      </c>
      <c r="V122" s="84">
        <f>IF(ISNA(VLOOKUP($A122,Table3[],21,FALSE)),0,VLOOKUP($A122,Table3[],21,FALSE))</f>
        <v>0</v>
      </c>
      <c r="W122" s="85">
        <f>IF(ISNA(VLOOKUP($A122,Table3[],22,FALSE)),0,VLOOKUP($A122,Table3[],22,FALSE))</f>
        <v>0</v>
      </c>
    </row>
    <row r="123" spans="1:23" s="73" customFormat="1" x14ac:dyDescent="0.25">
      <c r="A123" s="35">
        <v>226</v>
      </c>
      <c r="B123" s="138" t="str">
        <f>VLOOKUP(A123,Registry!$A$4:$AA$241,2,FALSE)</f>
        <v>Carriage Barn Park</v>
      </c>
      <c r="C123" s="138" t="str">
        <f>VLOOKUP(A123,Registry!$A$4:$AA$241,3,FALSE)</f>
        <v>Orange</v>
      </c>
      <c r="D123" s="138" t="str">
        <f>VLOOKUP(A123,Registry!$A$4:$AA$241,4,FALSE)</f>
        <v>Randolph</v>
      </c>
      <c r="E123" s="138" t="str">
        <f>IF(VLOOKUP(A123,Registry!$A$4:$AA$241,7,FALSE)=0,"",VLOOKUP(A123,Registry!$A$4:$AA$241,7,FALSE))</f>
        <v/>
      </c>
      <c r="F123" s="138" t="str">
        <f>IF(VLOOKUP(A123,Registry!$A$4:$AA$241,20,FALSE)=0,"",VLOOKUP(A123,Registry!$A$4:$AA$241,20,FALSE))</f>
        <v>For profit</v>
      </c>
      <c r="G123" s="138">
        <f>VLOOKUP(A123,Registry!$A$4:$AA$241,21,FALSE)</f>
        <v>7</v>
      </c>
      <c r="H123" s="81">
        <f>VLOOKUP($A123,Table4[],36,FALSE)</f>
        <v>1</v>
      </c>
      <c r="I123" s="129">
        <f>VLOOKUP($A123,Table4[],41,FALSE)</f>
        <v>0</v>
      </c>
      <c r="J123" s="81">
        <f>VLOOKUP($A123,Table4[],30,FALSE)</f>
        <v>0</v>
      </c>
      <c r="K123" s="82">
        <f>VLOOKUP($A123,Table4[],17,FALSE)</f>
        <v>0</v>
      </c>
      <c r="L123" s="82">
        <f>VLOOKUP($A123,Table4[],18,FALSE)</f>
        <v>0</v>
      </c>
      <c r="M123" s="82" t="str">
        <f>IF(VLOOKUP($A123,Table2[],8,FALSE)=0,"",VLOOKUP($A123,Table2[],8,FALSE))</f>
        <v>Municipal</v>
      </c>
      <c r="N123" s="82">
        <f>VLOOKUP($A123,Table2[],14,FALSE)</f>
        <v>0</v>
      </c>
      <c r="O123" s="82" t="str">
        <f>IF(VLOOKUP($A123,Table2[],15,FALSE)=0,"",VLOOKUP($A123,Table2[],15,FALSE))</f>
        <v>On-site</v>
      </c>
      <c r="P123" s="82" t="str">
        <f>IF(VLOOKUP($A123,Table2[],16,FALSE)=0,"",VLOOKUP($A123,Table2[],16,FALSE))</f>
        <v/>
      </c>
      <c r="Q123" s="83" t="str">
        <f>IF(ISNA(VLOOKUP($A123,Table3[],6,FALSE)),"None",VLOOKUP($A123,Table3[],6,FALSE))</f>
        <v>None</v>
      </c>
      <c r="R123" s="83" t="str">
        <f>IF(ISNA(VLOOKUP($A123,Table3[],7,FALSE)),"Unknown",VLOOKUP($A123,Table3[],7,FALSE))</f>
        <v>Unknown</v>
      </c>
      <c r="S123" s="83" t="str">
        <f>IF(ISNA(VLOOKUP($A123,Table3[],8,FALSE)),"None",VLOOKUP($A123,Table3[],8,FALSE))</f>
        <v>None</v>
      </c>
      <c r="T123" s="84" t="str">
        <f>IF(ISNA(VLOOKUP($A123,Table3[],13,FALSE)),"Unknown",VLOOKUP($A123,Table3[],13,FALSE))</f>
        <v>Unknown</v>
      </c>
      <c r="U123" s="85" t="str">
        <f>IF(ISNA(VLOOKUP($A123,Table3[],14,FALSE)),"Unknown",VLOOKUP($A123,Table3[],14,FALSE))</f>
        <v>Unknown</v>
      </c>
      <c r="V123" s="84">
        <f>IF(ISNA(VLOOKUP($A123,Table3[],21,FALSE)),0,VLOOKUP($A123,Table3[],21,FALSE))</f>
        <v>0</v>
      </c>
      <c r="W123" s="85">
        <f>IF(ISNA(VLOOKUP($A123,Table3[],22,FALSE)),0,VLOOKUP($A123,Table3[],22,FALSE))</f>
        <v>0</v>
      </c>
    </row>
    <row r="124" spans="1:23" s="73" customFormat="1" x14ac:dyDescent="0.25">
      <c r="A124" s="35">
        <v>21</v>
      </c>
      <c r="B124" s="138" t="str">
        <f>VLOOKUP(A124,Registry!$A$4:$AA$241,2,FALSE)</f>
        <v>Cowdrey MHP</v>
      </c>
      <c r="C124" s="138" t="str">
        <f>VLOOKUP(A124,Registry!$A$4:$AA$241,3,FALSE)</f>
        <v>Orange</v>
      </c>
      <c r="D124" s="138" t="str">
        <f>VLOOKUP(A124,Registry!$A$4:$AA$241,4,FALSE)</f>
        <v>Randolph</v>
      </c>
      <c r="E124" s="138">
        <f>IF(VLOOKUP(A124,Registry!$A$4:$AA$241,7,FALSE)=0,"",VLOOKUP(A124,Registry!$A$4:$AA$241,7,FALSE))</f>
        <v>1960</v>
      </c>
      <c r="F124" s="138" t="str">
        <f>IF(VLOOKUP(A124,Registry!$A$4:$AA$241,20,FALSE)=0,"",VLOOKUP(A124,Registry!$A$4:$AA$241,20,FALSE))</f>
        <v>For profit</v>
      </c>
      <c r="G124" s="138">
        <f>VLOOKUP(A124,Registry!$A$4:$AA$241,21,FALSE)</f>
        <v>10</v>
      </c>
      <c r="H124" s="81">
        <f>VLOOKUP($A124,Table4[],36,FALSE)</f>
        <v>0.9</v>
      </c>
      <c r="I124" s="129" t="str">
        <f>VLOOKUP($A124,Table4[],41,FALSE)</f>
        <v>-</v>
      </c>
      <c r="J124" s="81">
        <f>VLOOKUP($A124,Table4[],30,FALSE)</f>
        <v>0</v>
      </c>
      <c r="K124" s="82">
        <f>VLOOKUP($A124,Table4[],17,FALSE)</f>
        <v>0</v>
      </c>
      <c r="L124" s="82">
        <f>VLOOKUP($A124,Table4[],18,FALSE)</f>
        <v>0</v>
      </c>
      <c r="M124" s="82" t="str">
        <f>IF(VLOOKUP($A124,Table2[],8,FALSE)=0,"",VLOOKUP($A124,Table2[],8,FALSE))</f>
        <v>Municipal</v>
      </c>
      <c r="N124" s="82">
        <f>VLOOKUP($A124,Table2[],14,FALSE)</f>
        <v>0</v>
      </c>
      <c r="O124" s="82" t="str">
        <f>IF(VLOOKUP($A124,Table2[],15,FALSE)=0,"",VLOOKUP($A124,Table2[],15,FALSE))</f>
        <v>Community On-Site</v>
      </c>
      <c r="P124" s="82" t="str">
        <f>IF(VLOOKUP($A124,Table2[],16,FALSE)=0,"",VLOOKUP($A124,Table2[],16,FALSE))</f>
        <v/>
      </c>
      <c r="Q124" s="83" t="str">
        <f>IF(ISNA(VLOOKUP($A124,Table3[],6,FALSE)),"None",VLOOKUP($A124,Table3[],6,FALSE))</f>
        <v>Floodway</v>
      </c>
      <c r="R124" s="83" t="str">
        <f>IF(ISNA(VLOOKUP($A124,Table3[],7,FALSE)),"Unknown",VLOOKUP($A124,Table3[],7,FALSE))</f>
        <v>Extreme</v>
      </c>
      <c r="S124" s="83" t="str">
        <f>IF(ISNA(VLOOKUP($A124,Table3[],8,FALSE)),"None",VLOOKUP($A124,Table3[],8,FALSE))</f>
        <v>Floodway</v>
      </c>
      <c r="T124" s="84">
        <f>IF(ISNA(VLOOKUP($A124,Table3[],13,FALSE)),"Unknown",VLOOKUP($A124,Table3[],13,FALSE))</f>
        <v>6</v>
      </c>
      <c r="U124" s="85">
        <f>IF(ISNA(VLOOKUP($A124,Table3[],14,FALSE)),"Unknown",VLOOKUP($A124,Table3[],14,FALSE))</f>
        <v>0.6</v>
      </c>
      <c r="V124" s="84">
        <f>IF(ISNA(VLOOKUP($A124,Table3[],21,FALSE)),0,VLOOKUP($A124,Table3[],21,FALSE))</f>
        <v>3</v>
      </c>
      <c r="W124" s="85">
        <f>IF(ISNA(VLOOKUP($A124,Table3[],22,FALSE)),0,VLOOKUP($A124,Table3[],22,FALSE))</f>
        <v>0.3</v>
      </c>
    </row>
    <row r="125" spans="1:23" s="73" customFormat="1" x14ac:dyDescent="0.25">
      <c r="A125" s="35">
        <v>20</v>
      </c>
      <c r="B125" s="138" t="str">
        <f>VLOOKUP(A125,Registry!$A$4:$AA$241,2,FALSE)</f>
        <v>Greene's Mobile Home Park</v>
      </c>
      <c r="C125" s="138" t="str">
        <f>VLOOKUP(A125,Registry!$A$4:$AA$241,3,FALSE)</f>
        <v>Orange</v>
      </c>
      <c r="D125" s="138" t="str">
        <f>VLOOKUP(A125,Registry!$A$4:$AA$241,4,FALSE)</f>
        <v>Randolph</v>
      </c>
      <c r="E125" s="138">
        <f>IF(VLOOKUP(A125,Registry!$A$4:$AA$241,7,FALSE)=0,"",VLOOKUP(A125,Registry!$A$4:$AA$241,7,FALSE))</f>
        <v>1966</v>
      </c>
      <c r="F125" s="138" t="str">
        <f>IF(VLOOKUP(A125,Registry!$A$4:$AA$241,20,FALSE)=0,"",VLOOKUP(A125,Registry!$A$4:$AA$241,20,FALSE))</f>
        <v>For profit</v>
      </c>
      <c r="G125" s="138">
        <f>VLOOKUP(A125,Registry!$A$4:$AA$241,21,FALSE)</f>
        <v>14</v>
      </c>
      <c r="H125" s="81">
        <f>VLOOKUP($A125,Table4[],36,FALSE)</f>
        <v>0.14285714285714285</v>
      </c>
      <c r="I125" s="129">
        <f>VLOOKUP($A125,Table4[],41,FALSE)</f>
        <v>0</v>
      </c>
      <c r="J125" s="81">
        <f>VLOOKUP($A125,Table4[],30,FALSE)</f>
        <v>0</v>
      </c>
      <c r="K125" s="82">
        <f>VLOOKUP($A125,Table4[],17,FALSE)</f>
        <v>0</v>
      </c>
      <c r="L125" s="82">
        <f>VLOOKUP($A125,Table4[],18,FALSE)</f>
        <v>2</v>
      </c>
      <c r="M125" s="82" t="str">
        <f>IF(VLOOKUP($A125,Table2[],8,FALSE)=0,"",VLOOKUP($A125,Table2[],8,FALSE))</f>
        <v xml:space="preserve">Community </v>
      </c>
      <c r="N125" s="82">
        <f>VLOOKUP($A125,Table2[],14,FALSE)</f>
        <v>2</v>
      </c>
      <c r="O125" s="82" t="str">
        <f>IF(VLOOKUP($A125,Table2[],15,FALSE)=0,"",VLOOKUP($A125,Table2[],15,FALSE))</f>
        <v/>
      </c>
      <c r="P125" s="82" t="str">
        <f>IF(VLOOKUP($A125,Table2[],16,FALSE)=0,"",VLOOKUP($A125,Table2[],16,FALSE))</f>
        <v/>
      </c>
      <c r="Q125" s="83" t="str">
        <f>IF(ISNA(VLOOKUP($A125,Table3[],6,FALSE)),"None",VLOOKUP($A125,Table3[],6,FALSE))</f>
        <v>None</v>
      </c>
      <c r="R125" s="83" t="str">
        <f>IF(ISNA(VLOOKUP($A125,Table3[],7,FALSE)),"Unknown",VLOOKUP($A125,Table3[],7,FALSE))</f>
        <v>Unknown</v>
      </c>
      <c r="S125" s="83" t="str">
        <f>IF(ISNA(VLOOKUP($A125,Table3[],8,FALSE)),"None",VLOOKUP($A125,Table3[],8,FALSE))</f>
        <v>None</v>
      </c>
      <c r="T125" s="84" t="str">
        <f>IF(ISNA(VLOOKUP($A125,Table3[],13,FALSE)),"Unknown",VLOOKUP($A125,Table3[],13,FALSE))</f>
        <v>Unknown</v>
      </c>
      <c r="U125" s="85" t="str">
        <f>IF(ISNA(VLOOKUP($A125,Table3[],14,FALSE)),"Unknown",VLOOKUP($A125,Table3[],14,FALSE))</f>
        <v>Unknown</v>
      </c>
      <c r="V125" s="84">
        <f>IF(ISNA(VLOOKUP($A125,Table3[],21,FALSE)),0,VLOOKUP($A125,Table3[],21,FALSE))</f>
        <v>0</v>
      </c>
      <c r="W125" s="85">
        <f>IF(ISNA(VLOOKUP($A125,Table3[],22,FALSE)),0,VLOOKUP($A125,Table3[],22,FALSE))</f>
        <v>0</v>
      </c>
    </row>
    <row r="126" spans="1:23" s="73" customFormat="1" x14ac:dyDescent="0.25">
      <c r="A126" s="35">
        <v>18</v>
      </c>
      <c r="B126" s="138" t="str">
        <f>VLOOKUP(A126,Registry!$A$4:$AA$241,2,FALSE)</f>
        <v>Jacobs Mobile Home Park</v>
      </c>
      <c r="C126" s="138" t="str">
        <f>VLOOKUP(A126,Registry!$A$4:$AA$241,3,FALSE)</f>
        <v>Orange</v>
      </c>
      <c r="D126" s="138" t="str">
        <f>VLOOKUP(A126,Registry!$A$4:$AA$241,4,FALSE)</f>
        <v>Randolph</v>
      </c>
      <c r="E126" s="138">
        <f>IF(VLOOKUP(A126,Registry!$A$4:$AA$241,7,FALSE)=0,"",VLOOKUP(A126,Registry!$A$4:$AA$241,7,FALSE))</f>
        <v>1960</v>
      </c>
      <c r="F126" s="138" t="str">
        <f>IF(VLOOKUP(A126,Registry!$A$4:$AA$241,20,FALSE)=0,"",VLOOKUP(A126,Registry!$A$4:$AA$241,20,FALSE))</f>
        <v>Non-profit</v>
      </c>
      <c r="G126" s="138">
        <f>VLOOKUP(A126,Registry!$A$4:$AA$241,21,FALSE)</f>
        <v>19</v>
      </c>
      <c r="H126" s="81">
        <f>VLOOKUP($A126,Table4[],36,FALSE)</f>
        <v>1</v>
      </c>
      <c r="I126" s="129">
        <f>VLOOKUP($A126,Table4[],41,FALSE)</f>
        <v>5.1020408163265307E-2</v>
      </c>
      <c r="J126" s="81">
        <f>VLOOKUP($A126,Table4[],30,FALSE)</f>
        <v>0</v>
      </c>
      <c r="K126" s="82">
        <f>VLOOKUP($A126,Table4[],17,FALSE)</f>
        <v>0</v>
      </c>
      <c r="L126" s="82">
        <f>VLOOKUP($A126,Table4[],18,FALSE)</f>
        <v>0</v>
      </c>
      <c r="M126" s="82" t="str">
        <f>IF(VLOOKUP($A126,Table2[],8,FALSE)=0,"",VLOOKUP($A126,Table2[],8,FALSE))</f>
        <v>Municipal</v>
      </c>
      <c r="N126" s="82">
        <f>VLOOKUP($A126,Table2[],14,FALSE)</f>
        <v>0</v>
      </c>
      <c r="O126" s="82" t="str">
        <f>IF(VLOOKUP($A126,Table2[],15,FALSE)=0,"",VLOOKUP($A126,Table2[],15,FALSE))</f>
        <v>Municipal</v>
      </c>
      <c r="P126" s="82" t="str">
        <f>IF(VLOOKUP($A126,Table2[],16,FALSE)=0,"",VLOOKUP($A126,Table2[],16,FALSE))</f>
        <v/>
      </c>
      <c r="Q126" s="83" t="str">
        <f>IF(ISNA(VLOOKUP($A126,Table3[],6,FALSE)),"None",VLOOKUP($A126,Table3[],6,FALSE))</f>
        <v>None</v>
      </c>
      <c r="R126" s="83" t="str">
        <f>IF(ISNA(VLOOKUP($A126,Table3[],7,FALSE)),"Unknown",VLOOKUP($A126,Table3[],7,FALSE))</f>
        <v>Unknown</v>
      </c>
      <c r="S126" s="83" t="str">
        <f>IF(ISNA(VLOOKUP($A126,Table3[],8,FALSE)),"None",VLOOKUP($A126,Table3[],8,FALSE))</f>
        <v>None</v>
      </c>
      <c r="T126" s="84" t="str">
        <f>IF(ISNA(VLOOKUP($A126,Table3[],13,FALSE)),"Unknown",VLOOKUP($A126,Table3[],13,FALSE))</f>
        <v>Unknown</v>
      </c>
      <c r="U126" s="85" t="str">
        <f>IF(ISNA(VLOOKUP($A126,Table3[],14,FALSE)),"Unknown",VLOOKUP($A126,Table3[],14,FALSE))</f>
        <v>Unknown</v>
      </c>
      <c r="V126" s="84">
        <f>IF(ISNA(VLOOKUP($A126,Table3[],21,FALSE)),0,VLOOKUP($A126,Table3[],21,FALSE))</f>
        <v>0</v>
      </c>
      <c r="W126" s="85">
        <f>IF(ISNA(VLOOKUP($A126,Table3[],22,FALSE)),0,VLOOKUP($A126,Table3[],22,FALSE))</f>
        <v>0</v>
      </c>
    </row>
    <row r="127" spans="1:23" s="73" customFormat="1" x14ac:dyDescent="0.25">
      <c r="A127" s="35">
        <v>174</v>
      </c>
      <c r="B127" s="138" t="str">
        <f>VLOOKUP(A127,Registry!$A$4:$AA$241,2,FALSE)</f>
        <v>Washington North MHP</v>
      </c>
      <c r="C127" s="138" t="str">
        <f>VLOOKUP(A127,Registry!$A$4:$AA$241,3,FALSE)</f>
        <v>Orange</v>
      </c>
      <c r="D127" s="138" t="str">
        <f>VLOOKUP(A127,Registry!$A$4:$AA$241,4,FALSE)</f>
        <v>Washington</v>
      </c>
      <c r="E127" s="138">
        <f>IF(VLOOKUP(A127,Registry!$A$4:$AA$241,7,FALSE)=0,"",VLOOKUP(A127,Registry!$A$4:$AA$241,7,FALSE))</f>
        <v>1977</v>
      </c>
      <c r="F127" s="138" t="str">
        <f>IF(VLOOKUP(A127,Registry!$A$4:$AA$241,20,FALSE)=0,"",VLOOKUP(A127,Registry!$A$4:$AA$241,20,FALSE))</f>
        <v>For profit</v>
      </c>
      <c r="G127" s="138">
        <f>VLOOKUP(A127,Registry!$A$4:$AA$241,21,FALSE)</f>
        <v>20</v>
      </c>
      <c r="H127" s="81">
        <f>VLOOKUP($A127,Table4[],36,FALSE)</f>
        <v>0.9</v>
      </c>
      <c r="I127" s="129">
        <f>VLOOKUP($A127,Table4[],41,FALSE)</f>
        <v>0.10852713178294573</v>
      </c>
      <c r="J127" s="81">
        <f>VLOOKUP($A127,Table4[],30,FALSE)</f>
        <v>0</v>
      </c>
      <c r="K127" s="82">
        <f>VLOOKUP($A127,Table4[],17,FALSE)</f>
        <v>-2</v>
      </c>
      <c r="L127" s="82">
        <f>VLOOKUP($A127,Table4[],18,FALSE)</f>
        <v>2</v>
      </c>
      <c r="M127" s="82" t="str">
        <f>IF(VLOOKUP($A127,Table2[],8,FALSE)=0,"",VLOOKUP($A127,Table2[],8,FALSE))</f>
        <v xml:space="preserve">Community </v>
      </c>
      <c r="N127" s="82">
        <f>VLOOKUP($A127,Table2[],14,FALSE)</f>
        <v>2</v>
      </c>
      <c r="O127" s="82" t="str">
        <f>IF(VLOOKUP($A127,Table2[],15,FALSE)=0,"",VLOOKUP($A127,Table2[],15,FALSE))</f>
        <v>Community On-Site</v>
      </c>
      <c r="P127" s="82" t="str">
        <f>IF(VLOOKUP($A127,Table2[],16,FALSE)=0,"",VLOOKUP($A127,Table2[],16,FALSE))</f>
        <v>MH-5-0011</v>
      </c>
      <c r="Q127" s="83" t="str">
        <f>IF(ISNA(VLOOKUP($A127,Table3[],6,FALSE)),"None",VLOOKUP($A127,Table3[],6,FALSE))</f>
        <v>None</v>
      </c>
      <c r="R127" s="83" t="str">
        <f>IF(ISNA(VLOOKUP($A127,Table3[],7,FALSE)),"Unknown",VLOOKUP($A127,Table3[],7,FALSE))</f>
        <v>Unknown</v>
      </c>
      <c r="S127" s="83" t="str">
        <f>IF(ISNA(VLOOKUP($A127,Table3[],8,FALSE)),"None",VLOOKUP($A127,Table3[],8,FALSE))</f>
        <v>None</v>
      </c>
      <c r="T127" s="84" t="str">
        <f>IF(ISNA(VLOOKUP($A127,Table3[],13,FALSE)),"Unknown",VLOOKUP($A127,Table3[],13,FALSE))</f>
        <v>Unknown</v>
      </c>
      <c r="U127" s="85" t="str">
        <f>IF(ISNA(VLOOKUP($A127,Table3[],14,FALSE)),"Unknown",VLOOKUP($A127,Table3[],14,FALSE))</f>
        <v>Unknown</v>
      </c>
      <c r="V127" s="84">
        <f>IF(ISNA(VLOOKUP($A127,Table3[],21,FALSE)),0,VLOOKUP($A127,Table3[],21,FALSE))</f>
        <v>0</v>
      </c>
      <c r="W127" s="85">
        <f>IF(ISNA(VLOOKUP($A127,Table3[],22,FALSE)),0,VLOOKUP($A127,Table3[],22,FALSE))</f>
        <v>0</v>
      </c>
    </row>
    <row r="128" spans="1:23" s="73" customFormat="1" x14ac:dyDescent="0.25">
      <c r="A128" s="35">
        <v>19</v>
      </c>
      <c r="B128" s="138" t="str">
        <f>VLOOKUP(A128,Registry!$A$4:$AA$241,2,FALSE)</f>
        <v>Cold Springs Trailer Park</v>
      </c>
      <c r="C128" s="138" t="str">
        <f>VLOOKUP(A128,Registry!$A$4:$AA$241,3,FALSE)</f>
        <v>Orange</v>
      </c>
      <c r="D128" s="138" t="str">
        <f>VLOOKUP(A128,Registry!$A$4:$AA$241,4,FALSE)</f>
        <v>West Fairlee</v>
      </c>
      <c r="E128" s="138">
        <f>IF(VLOOKUP(A128,Registry!$A$4:$AA$241,7,FALSE)=0,"",VLOOKUP(A128,Registry!$A$4:$AA$241,7,FALSE))</f>
        <v>1950</v>
      </c>
      <c r="F128" s="138" t="str">
        <f>IF(VLOOKUP(A128,Registry!$A$4:$AA$241,20,FALSE)=0,"",VLOOKUP(A128,Registry!$A$4:$AA$241,20,FALSE))</f>
        <v>For profit</v>
      </c>
      <c r="G128" s="138">
        <f>VLOOKUP(A128,Registry!$A$4:$AA$241,21,FALSE)</f>
        <v>16</v>
      </c>
      <c r="H128" s="81">
        <f>VLOOKUP($A128,Table4[],36,FALSE)</f>
        <v>0.4375</v>
      </c>
      <c r="I128" s="129">
        <f>VLOOKUP($A128,Table4[],41,FALSE)</f>
        <v>0</v>
      </c>
      <c r="J128" s="81">
        <f>VLOOKUP($A128,Table4[],30,FALSE)</f>
        <v>0.25</v>
      </c>
      <c r="K128" s="82">
        <f>VLOOKUP($A128,Table4[],17,FALSE)</f>
        <v>0</v>
      </c>
      <c r="L128" s="82">
        <f>VLOOKUP($A128,Table4[],18,FALSE)</f>
        <v>-2</v>
      </c>
      <c r="M128" s="82" t="str">
        <f>IF(VLOOKUP($A128,Table2[],8,FALSE)=0,"",VLOOKUP($A128,Table2[],8,FALSE))</f>
        <v xml:space="preserve">Community </v>
      </c>
      <c r="N128" s="82">
        <f>VLOOKUP($A128,Table2[],14,FALSE)</f>
        <v>0</v>
      </c>
      <c r="O128" s="82" t="str">
        <f>IF(VLOOKUP($A128,Table2[],15,FALSE)=0,"",VLOOKUP($A128,Table2[],15,FALSE))</f>
        <v>Community On-Site</v>
      </c>
      <c r="P128" s="82" t="str">
        <f>IF(VLOOKUP($A128,Table2[],16,FALSE)=0,"",VLOOKUP($A128,Table2[],16,FALSE))</f>
        <v/>
      </c>
      <c r="Q128" s="83" t="str">
        <f>IF(ISNA(VLOOKUP($A128,Table3[],6,FALSE)),"None",VLOOKUP($A128,Table3[],6,FALSE))</f>
        <v>None</v>
      </c>
      <c r="R128" s="83" t="str">
        <f>IF(ISNA(VLOOKUP($A128,Table3[],7,FALSE)),"Unknown",VLOOKUP($A128,Table3[],7,FALSE))</f>
        <v>Unknown</v>
      </c>
      <c r="S128" s="83" t="str">
        <f>IF(ISNA(VLOOKUP($A128,Table3[],8,FALSE)),"None",VLOOKUP($A128,Table3[],8,FALSE))</f>
        <v>None</v>
      </c>
      <c r="T128" s="84" t="str">
        <f>IF(ISNA(VLOOKUP($A128,Table3[],13,FALSE)),"Unknown",VLOOKUP($A128,Table3[],13,FALSE))</f>
        <v>Unknown</v>
      </c>
      <c r="U128" s="85" t="str">
        <f>IF(ISNA(VLOOKUP($A128,Table3[],14,FALSE)),"Unknown",VLOOKUP($A128,Table3[],14,FALSE))</f>
        <v>Unknown</v>
      </c>
      <c r="V128" s="84">
        <f>IF(ISNA(VLOOKUP($A128,Table3[],21,FALSE)),0,VLOOKUP($A128,Table3[],21,FALSE))</f>
        <v>0</v>
      </c>
      <c r="W128" s="85">
        <f>IF(ISNA(VLOOKUP($A128,Table3[],22,FALSE)),0,VLOOKUP($A128,Table3[],22,FALSE))</f>
        <v>0</v>
      </c>
    </row>
    <row r="129" spans="1:23" s="73" customFormat="1" x14ac:dyDescent="0.25">
      <c r="A129" s="35">
        <v>297</v>
      </c>
      <c r="B129" s="138" t="str">
        <f>VLOOKUP(A129,Registry!$A$4:$AA$241,2,FALSE)</f>
        <v>Bilodeau MHP</v>
      </c>
      <c r="C129" s="138" t="str">
        <f>VLOOKUP(A129,Registry!$A$4:$AA$241,3,FALSE)</f>
        <v>Orange</v>
      </c>
      <c r="D129" s="138" t="str">
        <f>VLOOKUP(A129,Registry!$A$4:$AA$241,4,FALSE)</f>
        <v>Williamstown</v>
      </c>
      <c r="E129" s="138">
        <f>IF(VLOOKUP(A129,Registry!$A$4:$AA$241,7,FALSE)=0,"",VLOOKUP(A129,Registry!$A$4:$AA$241,7,FALSE))</f>
        <v>1997</v>
      </c>
      <c r="F129" s="138" t="str">
        <f>IF(VLOOKUP(A129,Registry!$A$4:$AA$241,20,FALSE)=0,"",VLOOKUP(A129,Registry!$A$4:$AA$241,20,FALSE))</f>
        <v>For profit</v>
      </c>
      <c r="G129" s="138">
        <f>VLOOKUP(A129,Registry!$A$4:$AA$241,21,FALSE)</f>
        <v>7</v>
      </c>
      <c r="H129" s="81">
        <f>VLOOKUP($A129,Table4[],36,FALSE)</f>
        <v>0</v>
      </c>
      <c r="I129" s="129" t="str">
        <f>VLOOKUP($A129,Table4[],41,FALSE)</f>
        <v>-</v>
      </c>
      <c r="J129" s="81">
        <f>VLOOKUP($A129,Table4[],30,FALSE)</f>
        <v>0</v>
      </c>
      <c r="K129" s="82">
        <f>VLOOKUP($A129,Table4[],17,FALSE)</f>
        <v>-4</v>
      </c>
      <c r="L129" s="82">
        <f>VLOOKUP($A129,Table4[],18,FALSE)</f>
        <v>0</v>
      </c>
      <c r="M129" s="82" t="str">
        <f>IF(VLOOKUP($A129,Table2[],8,FALSE)=0,"",VLOOKUP($A129,Table2[],8,FALSE))</f>
        <v>Municipal</v>
      </c>
      <c r="N129" s="82">
        <f>VLOOKUP($A129,Table2[],14,FALSE)</f>
        <v>0</v>
      </c>
      <c r="O129" s="82" t="str">
        <f>IF(VLOOKUP($A129,Table2[],15,FALSE)=0,"",VLOOKUP($A129,Table2[],15,FALSE))</f>
        <v>Municipal</v>
      </c>
      <c r="P129" s="82" t="str">
        <f>IF(VLOOKUP($A129,Table2[],16,FALSE)=0,"",VLOOKUP($A129,Table2[],16,FALSE))</f>
        <v/>
      </c>
      <c r="Q129" s="83" t="str">
        <f>IF(ISNA(VLOOKUP($A129,Table3[],6,FALSE)),"None",VLOOKUP($A129,Table3[],6,FALSE))</f>
        <v>None</v>
      </c>
      <c r="R129" s="83" t="str">
        <f>IF(ISNA(VLOOKUP($A129,Table3[],7,FALSE)),"Unknown",VLOOKUP($A129,Table3[],7,FALSE))</f>
        <v>Unknown</v>
      </c>
      <c r="S129" s="83" t="str">
        <f>IF(ISNA(VLOOKUP($A129,Table3[],8,FALSE)),"None",VLOOKUP($A129,Table3[],8,FALSE))</f>
        <v>None</v>
      </c>
      <c r="T129" s="84" t="str">
        <f>IF(ISNA(VLOOKUP($A129,Table3[],13,FALSE)),"Unknown",VLOOKUP($A129,Table3[],13,FALSE))</f>
        <v>Unknown</v>
      </c>
      <c r="U129" s="85" t="str">
        <f>IF(ISNA(VLOOKUP($A129,Table3[],14,FALSE)),"Unknown",VLOOKUP($A129,Table3[],14,FALSE))</f>
        <v>Unknown</v>
      </c>
      <c r="V129" s="84">
        <f>IF(ISNA(VLOOKUP($A129,Table3[],21,FALSE)),0,VLOOKUP($A129,Table3[],21,FALSE))</f>
        <v>0</v>
      </c>
      <c r="W129" s="85">
        <f>IF(ISNA(VLOOKUP($A129,Table3[],22,FALSE)),0,VLOOKUP($A129,Table3[],22,FALSE))</f>
        <v>0</v>
      </c>
    </row>
    <row r="130" spans="1:23" s="73" customFormat="1" x14ac:dyDescent="0.25">
      <c r="A130" s="35">
        <v>191</v>
      </c>
      <c r="B130" s="138" t="str">
        <f>VLOOKUP(A130,Registry!$A$4:$AA$241,2,FALSE)</f>
        <v>Buttles Trailer Park</v>
      </c>
      <c r="C130" s="138" t="str">
        <f>VLOOKUP(A130,Registry!$A$4:$AA$241,3,FALSE)</f>
        <v>Orange</v>
      </c>
      <c r="D130" s="138" t="str">
        <f>VLOOKUP(A130,Registry!$A$4:$AA$241,4,FALSE)</f>
        <v>Williamstown</v>
      </c>
      <c r="E130" s="138">
        <f>IF(VLOOKUP(A130,Registry!$A$4:$AA$241,7,FALSE)=0,"",VLOOKUP(A130,Registry!$A$4:$AA$241,7,FALSE))</f>
        <v>1970</v>
      </c>
      <c r="F130" s="138" t="str">
        <f>IF(VLOOKUP(A130,Registry!$A$4:$AA$241,20,FALSE)=0,"",VLOOKUP(A130,Registry!$A$4:$AA$241,20,FALSE))</f>
        <v>For profit</v>
      </c>
      <c r="G130" s="138">
        <f>VLOOKUP(A130,Registry!$A$4:$AA$241,21,FALSE)</f>
        <v>4</v>
      </c>
      <c r="H130" s="81">
        <f>VLOOKUP($A130,Table4[],36,FALSE)</f>
        <v>0.25</v>
      </c>
      <c r="I130" s="129">
        <f>VLOOKUP($A130,Table4[],41,FALSE)</f>
        <v>7.6140133835685714E-2</v>
      </c>
      <c r="J130" s="81">
        <f>VLOOKUP($A130,Table4[],30,FALSE)</f>
        <v>0</v>
      </c>
      <c r="K130" s="82">
        <f>VLOOKUP($A130,Table4[],17,FALSE)</f>
        <v>0</v>
      </c>
      <c r="L130" s="82">
        <f>VLOOKUP($A130,Table4[],18,FALSE)</f>
        <v>-1</v>
      </c>
      <c r="M130" s="82" t="str">
        <f>IF(VLOOKUP($A130,Table2[],8,FALSE)=0,"",VLOOKUP($A130,Table2[],8,FALSE))</f>
        <v/>
      </c>
      <c r="N130" s="82">
        <f>VLOOKUP($A130,Table2[],14,FALSE)</f>
        <v>0</v>
      </c>
      <c r="O130" s="82" t="str">
        <f>IF(VLOOKUP($A130,Table2[],15,FALSE)=0,"",VLOOKUP($A130,Table2[],15,FALSE))</f>
        <v/>
      </c>
      <c r="P130" s="82" t="str">
        <f>IF(VLOOKUP($A130,Table2[],16,FALSE)=0,"",VLOOKUP($A130,Table2[],16,FALSE))</f>
        <v/>
      </c>
      <c r="Q130" s="83" t="str">
        <f>IF(ISNA(VLOOKUP($A130,Table3[],6,FALSE)),"None",VLOOKUP($A130,Table3[],6,FALSE))</f>
        <v>None</v>
      </c>
      <c r="R130" s="83" t="str">
        <f>IF(ISNA(VLOOKUP($A130,Table3[],7,FALSE)),"Unknown",VLOOKUP($A130,Table3[],7,FALSE))</f>
        <v>Unknown</v>
      </c>
      <c r="S130" s="83" t="str">
        <f>IF(ISNA(VLOOKUP($A130,Table3[],8,FALSE)),"None",VLOOKUP($A130,Table3[],8,FALSE))</f>
        <v>None</v>
      </c>
      <c r="T130" s="84" t="str">
        <f>IF(ISNA(VLOOKUP($A130,Table3[],13,FALSE)),"Unknown",VLOOKUP($A130,Table3[],13,FALSE))</f>
        <v>Unknown</v>
      </c>
      <c r="U130" s="85" t="str">
        <f>IF(ISNA(VLOOKUP($A130,Table3[],14,FALSE)),"Unknown",VLOOKUP($A130,Table3[],14,FALSE))</f>
        <v>Unknown</v>
      </c>
      <c r="V130" s="84">
        <f>IF(ISNA(VLOOKUP($A130,Table3[],21,FALSE)),0,VLOOKUP($A130,Table3[],21,FALSE))</f>
        <v>0</v>
      </c>
      <c r="W130" s="85">
        <f>IF(ISNA(VLOOKUP($A130,Table3[],22,FALSE)),0,VLOOKUP($A130,Table3[],22,FALSE))</f>
        <v>0</v>
      </c>
    </row>
    <row r="131" spans="1:23" s="73" customFormat="1" x14ac:dyDescent="0.25">
      <c r="A131" s="35">
        <v>306</v>
      </c>
      <c r="B131" s="138" t="str">
        <f>VLOOKUP(A131,Registry!$A$4:$AA$241,2,FALSE)</f>
        <v>Jamieson MHP</v>
      </c>
      <c r="C131" s="138" t="str">
        <f>VLOOKUP(A131,Registry!$A$4:$AA$241,3,FALSE)</f>
        <v>Orange</v>
      </c>
      <c r="D131" s="138" t="str">
        <f>VLOOKUP(A131,Registry!$A$4:$AA$241,4,FALSE)</f>
        <v>Williamstown</v>
      </c>
      <c r="E131" s="138">
        <f>IF(VLOOKUP(A131,Registry!$A$4:$AA$241,7,FALSE)=0,"",VLOOKUP(A131,Registry!$A$4:$AA$241,7,FALSE))</f>
        <v>1991</v>
      </c>
      <c r="F131" s="138" t="str">
        <f>IF(VLOOKUP(A131,Registry!$A$4:$AA$241,20,FALSE)=0,"",VLOOKUP(A131,Registry!$A$4:$AA$241,20,FALSE))</f>
        <v>For profit</v>
      </c>
      <c r="G131" s="138">
        <f>VLOOKUP(A131,Registry!$A$4:$AA$241,21,FALSE)</f>
        <v>11</v>
      </c>
      <c r="H131" s="81">
        <f>VLOOKUP($A131,Table4[],36,FALSE)</f>
        <v>1</v>
      </c>
      <c r="I131" s="129">
        <f>VLOOKUP($A131,Table4[],41,FALSE)</f>
        <v>0.05</v>
      </c>
      <c r="J131" s="81">
        <f>VLOOKUP($A131,Table4[],30,FALSE)</f>
        <v>0</v>
      </c>
      <c r="K131" s="82">
        <f>VLOOKUP($A131,Table4[],17,FALSE)</f>
        <v>1</v>
      </c>
      <c r="L131" s="82">
        <f>VLOOKUP($A131,Table4[],18,FALSE)</f>
        <v>0</v>
      </c>
      <c r="M131" s="82" t="str">
        <f>IF(VLOOKUP($A131,Table2[],8,FALSE)=0,"",VLOOKUP($A131,Table2[],8,FALSE))</f>
        <v>Municipal</v>
      </c>
      <c r="N131" s="82">
        <f>VLOOKUP($A131,Table2[],14,FALSE)</f>
        <v>0</v>
      </c>
      <c r="O131" s="82" t="str">
        <f>IF(VLOOKUP($A131,Table2[],15,FALSE)=0,"",VLOOKUP($A131,Table2[],15,FALSE))</f>
        <v>Municipal</v>
      </c>
      <c r="P131" s="82" t="str">
        <f>IF(VLOOKUP($A131,Table2[],16,FALSE)=0,"",VLOOKUP($A131,Table2[],16,FALSE))</f>
        <v/>
      </c>
      <c r="Q131" s="83" t="str">
        <f>IF(ISNA(VLOOKUP($A131,Table3[],6,FALSE)),"None",VLOOKUP($A131,Table3[],6,FALSE))</f>
        <v>None</v>
      </c>
      <c r="R131" s="83" t="str">
        <f>IF(ISNA(VLOOKUP($A131,Table3[],7,FALSE)),"Unknown",VLOOKUP($A131,Table3[],7,FALSE))</f>
        <v>High</v>
      </c>
      <c r="S131" s="83" t="str">
        <f>IF(ISNA(VLOOKUP($A131,Table3[],8,FALSE)),"None",VLOOKUP($A131,Table3[],8,FALSE))</f>
        <v>None</v>
      </c>
      <c r="T131" s="84">
        <f>IF(ISNA(VLOOKUP($A131,Table3[],13,FALSE)),"Unknown",VLOOKUP($A131,Table3[],13,FALSE))</f>
        <v>10</v>
      </c>
      <c r="U131" s="85">
        <f>IF(ISNA(VLOOKUP($A131,Table3[],14,FALSE)),"Unknown",VLOOKUP($A131,Table3[],14,FALSE))</f>
        <v>0.90909090909090906</v>
      </c>
      <c r="V131" s="84">
        <f>IF(ISNA(VLOOKUP($A131,Table3[],21,FALSE)),0,VLOOKUP($A131,Table3[],21,FALSE))</f>
        <v>0</v>
      </c>
      <c r="W131" s="85">
        <f>IF(ISNA(VLOOKUP($A131,Table3[],22,FALSE)),0,VLOOKUP($A131,Table3[],22,FALSE))</f>
        <v>0</v>
      </c>
    </row>
    <row r="132" spans="1:23" s="73" customFormat="1" x14ac:dyDescent="0.25">
      <c r="A132" s="35">
        <v>163</v>
      </c>
      <c r="B132" s="138" t="str">
        <f>VLOOKUP(A132,Registry!$A$4:$AA$241,2,FALSE)</f>
        <v>Limehurst Mobile Home Park</v>
      </c>
      <c r="C132" s="138" t="str">
        <f>VLOOKUP(A132,Registry!$A$4:$AA$241,3,FALSE)</f>
        <v>Orange</v>
      </c>
      <c r="D132" s="138" t="str">
        <f>VLOOKUP(A132,Registry!$A$4:$AA$241,4,FALSE)</f>
        <v>Williamstown</v>
      </c>
      <c r="E132" s="138">
        <f>IF(VLOOKUP(A132,Registry!$A$4:$AA$241,7,FALSE)=0,"",VLOOKUP(A132,Registry!$A$4:$AA$241,7,FALSE))</f>
        <v>1975</v>
      </c>
      <c r="F132" s="138" t="str">
        <f>IF(VLOOKUP(A132,Registry!$A$4:$AA$241,20,FALSE)=0,"",VLOOKUP(A132,Registry!$A$4:$AA$241,20,FALSE))</f>
        <v>Non-profit</v>
      </c>
      <c r="G132" s="138">
        <f>VLOOKUP(A132,Registry!$A$4:$AA$241,21,FALSE)</f>
        <v>33</v>
      </c>
      <c r="H132" s="81">
        <f>VLOOKUP($A132,Table4[],36,FALSE)</f>
        <v>1</v>
      </c>
      <c r="I132" s="129">
        <f>VLOOKUP($A132,Table4[],41,FALSE)</f>
        <v>9.1503267973856203E-2</v>
      </c>
      <c r="J132" s="81">
        <f>VLOOKUP($A132,Table4[],30,FALSE)</f>
        <v>3.0303030303030304E-2</v>
      </c>
      <c r="K132" s="82">
        <f>VLOOKUP($A132,Table4[],17,FALSE)</f>
        <v>0</v>
      </c>
      <c r="L132" s="82">
        <f>VLOOKUP($A132,Table4[],18,FALSE)</f>
        <v>0</v>
      </c>
      <c r="M132" s="82" t="str">
        <f>IF(VLOOKUP($A132,Table2[],8,FALSE)=0,"",VLOOKUP($A132,Table2[],8,FALSE))</f>
        <v xml:space="preserve">Community </v>
      </c>
      <c r="N132" s="82">
        <f>VLOOKUP($A132,Table2[],14,FALSE)</f>
        <v>1</v>
      </c>
      <c r="O132" s="82" t="str">
        <f>IF(VLOOKUP($A132,Table2[],15,FALSE)=0,"",VLOOKUP($A132,Table2[],15,FALSE))</f>
        <v>Community On-Site</v>
      </c>
      <c r="P132" s="82" t="str">
        <f>IF(VLOOKUP($A132,Table2[],16,FALSE)=0,"",VLOOKUP($A132,Table2[],16,FALSE))</f>
        <v>MH-5-0019, WW-5-6011</v>
      </c>
      <c r="Q132" s="83" t="str">
        <f>IF(ISNA(VLOOKUP($A132,Table3[],6,FALSE)),"None",VLOOKUP($A132,Table3[],6,FALSE))</f>
        <v>None</v>
      </c>
      <c r="R132" s="83" t="str">
        <f>IF(ISNA(VLOOKUP($A132,Table3[],7,FALSE)),"Unknown",VLOOKUP($A132,Table3[],7,FALSE))</f>
        <v>Unknown</v>
      </c>
      <c r="S132" s="83" t="str">
        <f>IF(ISNA(VLOOKUP($A132,Table3[],8,FALSE)),"None",VLOOKUP($A132,Table3[],8,FALSE))</f>
        <v>None</v>
      </c>
      <c r="T132" s="84" t="str">
        <f>IF(ISNA(VLOOKUP($A132,Table3[],13,FALSE)),"Unknown",VLOOKUP($A132,Table3[],13,FALSE))</f>
        <v>Unknown</v>
      </c>
      <c r="U132" s="85" t="str">
        <f>IF(ISNA(VLOOKUP($A132,Table3[],14,FALSE)),"Unknown",VLOOKUP($A132,Table3[],14,FALSE))</f>
        <v>Unknown</v>
      </c>
      <c r="V132" s="84">
        <f>IF(ISNA(VLOOKUP($A132,Table3[],21,FALSE)),0,VLOOKUP($A132,Table3[],21,FALSE))</f>
        <v>0</v>
      </c>
      <c r="W132" s="85">
        <f>IF(ISNA(VLOOKUP($A132,Table3[],22,FALSE)),0,VLOOKUP($A132,Table3[],22,FALSE))</f>
        <v>0</v>
      </c>
    </row>
    <row r="133" spans="1:23" s="73" customFormat="1" x14ac:dyDescent="0.25">
      <c r="A133" s="35">
        <v>140</v>
      </c>
      <c r="B133" s="138" t="str">
        <f>VLOOKUP(A133,Registry!$A$4:$AA$241,2,FALSE)</f>
        <v>Northwind Mobile Home Park</v>
      </c>
      <c r="C133" s="138" t="str">
        <f>VLOOKUP(A133,Registry!$A$4:$AA$241,3,FALSE)</f>
        <v>Orange</v>
      </c>
      <c r="D133" s="138" t="str">
        <f>VLOOKUP(A133,Registry!$A$4:$AA$241,4,FALSE)</f>
        <v>Williamstown</v>
      </c>
      <c r="E133" s="138">
        <f>IF(VLOOKUP(A133,Registry!$A$4:$AA$241,7,FALSE)=0,"",VLOOKUP(A133,Registry!$A$4:$AA$241,7,FALSE))</f>
        <v>1994</v>
      </c>
      <c r="F133" s="138" t="str">
        <f>IF(VLOOKUP(A133,Registry!$A$4:$AA$241,20,FALSE)=0,"",VLOOKUP(A133,Registry!$A$4:$AA$241,20,FALSE))</f>
        <v>Non-profit</v>
      </c>
      <c r="G133" s="138">
        <f>VLOOKUP(A133,Registry!$A$4:$AA$241,21,FALSE)</f>
        <v>6</v>
      </c>
      <c r="H133" s="81">
        <f>VLOOKUP($A133,Table4[],36,FALSE)</f>
        <v>1</v>
      </c>
      <c r="I133" s="129">
        <f>VLOOKUP($A133,Table4[],41,FALSE)</f>
        <v>6.5217391304347824E-2</v>
      </c>
      <c r="J133" s="81">
        <f>VLOOKUP($A133,Table4[],30,FALSE)</f>
        <v>0</v>
      </c>
      <c r="K133" s="82">
        <f>VLOOKUP($A133,Table4[],17,FALSE)</f>
        <v>0</v>
      </c>
      <c r="L133" s="82">
        <f>VLOOKUP($A133,Table4[],18,FALSE)</f>
        <v>0</v>
      </c>
      <c r="M133" s="82" t="str">
        <f>IF(VLOOKUP($A133,Table2[],8,FALSE)=0,"",VLOOKUP($A133,Table2[],8,FALSE))</f>
        <v>Municipal</v>
      </c>
      <c r="N133" s="82">
        <f>VLOOKUP($A133,Table2[],14,FALSE)</f>
        <v>0</v>
      </c>
      <c r="O133" s="82" t="str">
        <f>IF(VLOOKUP($A133,Table2[],15,FALSE)=0,"",VLOOKUP($A133,Table2[],15,FALSE))</f>
        <v>Municipal</v>
      </c>
      <c r="P133" s="82" t="str">
        <f>IF(VLOOKUP($A133,Table2[],16,FALSE)=0,"",VLOOKUP($A133,Table2[],16,FALSE))</f>
        <v>MH-5-0013</v>
      </c>
      <c r="Q133" s="83" t="str">
        <f>IF(ISNA(VLOOKUP($A133,Table3[],6,FALSE)),"None",VLOOKUP($A133,Table3[],6,FALSE))</f>
        <v>None</v>
      </c>
      <c r="R133" s="83" t="str">
        <f>IF(ISNA(VLOOKUP($A133,Table3[],7,FALSE)),"Unknown",VLOOKUP($A133,Table3[],7,FALSE))</f>
        <v>Unknown</v>
      </c>
      <c r="S133" s="83" t="str">
        <f>IF(ISNA(VLOOKUP($A133,Table3[],8,FALSE)),"None",VLOOKUP($A133,Table3[],8,FALSE))</f>
        <v>None</v>
      </c>
      <c r="T133" s="84" t="str">
        <f>IF(ISNA(VLOOKUP($A133,Table3[],13,FALSE)),"Unknown",VLOOKUP($A133,Table3[],13,FALSE))</f>
        <v>Unknown</v>
      </c>
      <c r="U133" s="85" t="str">
        <f>IF(ISNA(VLOOKUP($A133,Table3[],14,FALSE)),"Unknown",VLOOKUP($A133,Table3[],14,FALSE))</f>
        <v>Unknown</v>
      </c>
      <c r="V133" s="84">
        <f>IF(ISNA(VLOOKUP($A133,Table3[],21,FALSE)),0,VLOOKUP($A133,Table3[],21,FALSE))</f>
        <v>0</v>
      </c>
      <c r="W133" s="85">
        <f>IF(ISNA(VLOOKUP($A133,Table3[],22,FALSE)),0,VLOOKUP($A133,Table3[],22,FALSE))</f>
        <v>0</v>
      </c>
    </row>
    <row r="134" spans="1:23" s="73" customFormat="1" x14ac:dyDescent="0.25">
      <c r="A134" s="35">
        <v>190</v>
      </c>
      <c r="B134" s="138" t="str">
        <f>VLOOKUP(A134,Registry!$A$4:$AA$241,2,FALSE)</f>
        <v>Fairview Estates</v>
      </c>
      <c r="C134" s="138" t="str">
        <f>VLOOKUP(A134,Registry!$A$4:$AA$241,3,FALSE)</f>
        <v>Orleans</v>
      </c>
      <c r="D134" s="138" t="str">
        <f>VLOOKUP(A134,Registry!$A$4:$AA$241,4,FALSE)</f>
        <v>Barton</v>
      </c>
      <c r="E134" s="138">
        <f>IF(VLOOKUP(A134,Registry!$A$4:$AA$241,7,FALSE)=0,"",VLOOKUP(A134,Registry!$A$4:$AA$241,7,FALSE))</f>
        <v>1961</v>
      </c>
      <c r="F134" s="138" t="str">
        <f>IF(VLOOKUP(A134,Registry!$A$4:$AA$241,20,FALSE)=0,"",VLOOKUP(A134,Registry!$A$4:$AA$241,20,FALSE))</f>
        <v>For profit</v>
      </c>
      <c r="G134" s="138">
        <f>VLOOKUP(A134,Registry!$A$4:$AA$241,21,FALSE)</f>
        <v>32</v>
      </c>
      <c r="H134" s="81">
        <f>VLOOKUP($A134,Table4[],36,FALSE)</f>
        <v>1</v>
      </c>
      <c r="I134" s="129">
        <f>VLOOKUP($A134,Table4[],41,FALSE)</f>
        <v>0.15384615384615385</v>
      </c>
      <c r="J134" s="81">
        <f>VLOOKUP($A134,Table4[],30,FALSE)</f>
        <v>-3.125E-2</v>
      </c>
      <c r="K134" s="82">
        <f>VLOOKUP($A134,Table4[],17,FALSE)</f>
        <v>2</v>
      </c>
      <c r="L134" s="82">
        <f>VLOOKUP($A134,Table4[],18,FALSE)</f>
        <v>0</v>
      </c>
      <c r="M134" s="82" t="str">
        <f>IF(VLOOKUP($A134,Table2[],8,FALSE)=0,"",VLOOKUP($A134,Table2[],8,FALSE))</f>
        <v>Municipal</v>
      </c>
      <c r="N134" s="82">
        <f>VLOOKUP($A134,Table2[],14,FALSE)</f>
        <v>0</v>
      </c>
      <c r="O134" s="82" t="str">
        <f>IF(VLOOKUP($A134,Table2[],15,FALSE)=0,"",VLOOKUP($A134,Table2[],15,FALSE))</f>
        <v>Municipal</v>
      </c>
      <c r="P134" s="82" t="str">
        <f>IF(VLOOKUP($A134,Table2[],16,FALSE)=0,"",VLOOKUP($A134,Table2[],16,FALSE))</f>
        <v/>
      </c>
      <c r="Q134" s="83" t="str">
        <f>IF(ISNA(VLOOKUP($A134,Table3[],6,FALSE)),"None",VLOOKUP($A134,Table3[],6,FALSE))</f>
        <v>None</v>
      </c>
      <c r="R134" s="83" t="str">
        <f>IF(ISNA(VLOOKUP($A134,Table3[],7,FALSE)),"Unknown",VLOOKUP($A134,Table3[],7,FALSE))</f>
        <v>Unknown</v>
      </c>
      <c r="S134" s="83" t="str">
        <f>IF(ISNA(VLOOKUP($A134,Table3[],8,FALSE)),"None",VLOOKUP($A134,Table3[],8,FALSE))</f>
        <v>None</v>
      </c>
      <c r="T134" s="84" t="str">
        <f>IF(ISNA(VLOOKUP($A134,Table3[],13,FALSE)),"Unknown",VLOOKUP($A134,Table3[],13,FALSE))</f>
        <v>Unknown</v>
      </c>
      <c r="U134" s="85" t="str">
        <f>IF(ISNA(VLOOKUP($A134,Table3[],14,FALSE)),"Unknown",VLOOKUP($A134,Table3[],14,FALSE))</f>
        <v>Unknown</v>
      </c>
      <c r="V134" s="84">
        <f>IF(ISNA(VLOOKUP($A134,Table3[],21,FALSE)),0,VLOOKUP($A134,Table3[],21,FALSE))</f>
        <v>0</v>
      </c>
      <c r="W134" s="85">
        <f>IF(ISNA(VLOOKUP($A134,Table3[],22,FALSE)),0,VLOOKUP($A134,Table3[],22,FALSE))</f>
        <v>0</v>
      </c>
    </row>
    <row r="135" spans="1:23" s="73" customFormat="1" x14ac:dyDescent="0.25">
      <c r="A135" s="35">
        <v>309</v>
      </c>
      <c r="B135" s="138" t="str">
        <f>VLOOKUP(A135,Registry!$A$4:$AA$241,2,FALSE)</f>
        <v>Kelley MHP</v>
      </c>
      <c r="C135" s="138" t="str">
        <f>VLOOKUP(A135,Registry!$A$4:$AA$241,3,FALSE)</f>
        <v>Orleans</v>
      </c>
      <c r="D135" s="138" t="str">
        <f>VLOOKUP(A135,Registry!$A$4:$AA$241,4,FALSE)</f>
        <v>Coventry</v>
      </c>
      <c r="E135" s="138">
        <f>IF(VLOOKUP(A135,Registry!$A$4:$AA$241,7,FALSE)=0,"",VLOOKUP(A135,Registry!$A$4:$AA$241,7,FALSE))</f>
        <v>1976</v>
      </c>
      <c r="F135" s="138" t="str">
        <f>IF(VLOOKUP(A135,Registry!$A$4:$AA$241,20,FALSE)=0,"",VLOOKUP(A135,Registry!$A$4:$AA$241,20,FALSE))</f>
        <v>For profit</v>
      </c>
      <c r="G135" s="138">
        <f>VLOOKUP(A135,Registry!$A$4:$AA$241,21,FALSE)</f>
        <v>6</v>
      </c>
      <c r="H135" s="81">
        <f>VLOOKUP($A135,Table4[],36,FALSE)</f>
        <v>1</v>
      </c>
      <c r="I135" s="129">
        <f>VLOOKUP($A135,Table4[],41,FALSE)</f>
        <v>6.3829787234042548E-2</v>
      </c>
      <c r="J135" s="81">
        <f>VLOOKUP($A135,Table4[],30,FALSE)</f>
        <v>0</v>
      </c>
      <c r="K135" s="82">
        <f>VLOOKUP($A135,Table4[],17,FALSE)</f>
        <v>-1</v>
      </c>
      <c r="L135" s="82">
        <f>VLOOKUP($A135,Table4[],18,FALSE)</f>
        <v>0</v>
      </c>
      <c r="M135" s="82" t="str">
        <f>IF(VLOOKUP($A135,Table2[],8,FALSE)=0,"",VLOOKUP($A135,Table2[],8,FALSE))</f>
        <v/>
      </c>
      <c r="N135" s="82">
        <f>VLOOKUP($A135,Table2[],14,FALSE)</f>
        <v>0</v>
      </c>
      <c r="O135" s="82" t="str">
        <f>IF(VLOOKUP($A135,Table2[],15,FALSE)=0,"",VLOOKUP($A135,Table2[],15,FALSE))</f>
        <v/>
      </c>
      <c r="P135" s="82" t="str">
        <f>IF(VLOOKUP($A135,Table2[],16,FALSE)=0,"",VLOOKUP($A135,Table2[],16,FALSE))</f>
        <v/>
      </c>
      <c r="Q135" s="83" t="str">
        <f>IF(ISNA(VLOOKUP($A135,Table3[],6,FALSE)),"None",VLOOKUP($A135,Table3[],6,FALSE))</f>
        <v>None</v>
      </c>
      <c r="R135" s="83" t="str">
        <f>IF(ISNA(VLOOKUP($A135,Table3[],7,FALSE)),"Unknown",VLOOKUP($A135,Table3[],7,FALSE))</f>
        <v>Unknown</v>
      </c>
      <c r="S135" s="83" t="str">
        <f>IF(ISNA(VLOOKUP($A135,Table3[],8,FALSE)),"None",VLOOKUP($A135,Table3[],8,FALSE))</f>
        <v>None</v>
      </c>
      <c r="T135" s="84" t="str">
        <f>IF(ISNA(VLOOKUP($A135,Table3[],13,FALSE)),"Unknown",VLOOKUP($A135,Table3[],13,FALSE))</f>
        <v>Unknown</v>
      </c>
      <c r="U135" s="85" t="str">
        <f>IF(ISNA(VLOOKUP($A135,Table3[],14,FALSE)),"Unknown",VLOOKUP($A135,Table3[],14,FALSE))</f>
        <v>Unknown</v>
      </c>
      <c r="V135" s="84">
        <f>IF(ISNA(VLOOKUP($A135,Table3[],21,FALSE)),0,VLOOKUP($A135,Table3[],21,FALSE))</f>
        <v>0</v>
      </c>
      <c r="W135" s="85">
        <f>IF(ISNA(VLOOKUP($A135,Table3[],22,FALSE)),0,VLOOKUP($A135,Table3[],22,FALSE))</f>
        <v>0</v>
      </c>
    </row>
    <row r="136" spans="1:23" s="73" customFormat="1" x14ac:dyDescent="0.25">
      <c r="A136" s="35">
        <v>286</v>
      </c>
      <c r="B136" s="138" t="str">
        <f>VLOOKUP(A136,Registry!$A$4:$AA$241,2,FALSE)</f>
        <v>Nadeau Trailer Park</v>
      </c>
      <c r="C136" s="138" t="str">
        <f>VLOOKUP(A136,Registry!$A$4:$AA$241,3,FALSE)</f>
        <v>Orleans</v>
      </c>
      <c r="D136" s="138" t="str">
        <f>VLOOKUP(A136,Registry!$A$4:$AA$241,4,FALSE)</f>
        <v>Coventry</v>
      </c>
      <c r="E136" s="138">
        <f>IF(VLOOKUP(A136,Registry!$A$4:$AA$241,7,FALSE)=0,"",VLOOKUP(A136,Registry!$A$4:$AA$241,7,FALSE))</f>
        <v>1964</v>
      </c>
      <c r="F136" s="138" t="str">
        <f>IF(VLOOKUP(A136,Registry!$A$4:$AA$241,20,FALSE)=0,"",VLOOKUP(A136,Registry!$A$4:$AA$241,20,FALSE))</f>
        <v>For profit</v>
      </c>
      <c r="G136" s="138">
        <f>VLOOKUP(A136,Registry!$A$4:$AA$241,21,FALSE)</f>
        <v>16</v>
      </c>
      <c r="H136" s="81">
        <f>VLOOKUP($A136,Table4[],36,FALSE)</f>
        <v>0.8125</v>
      </c>
      <c r="I136" s="129">
        <f>VLOOKUP($A136,Table4[],41,FALSE)</f>
        <v>0.1</v>
      </c>
      <c r="J136" s="81">
        <f>VLOOKUP($A136,Table4[],30,FALSE)</f>
        <v>-0.125</v>
      </c>
      <c r="K136" s="82">
        <f>VLOOKUP($A136,Table4[],17,FALSE)</f>
        <v>0</v>
      </c>
      <c r="L136" s="82">
        <f>VLOOKUP($A136,Table4[],18,FALSE)</f>
        <v>0</v>
      </c>
      <c r="M136" s="82" t="str">
        <f>IF(VLOOKUP($A136,Table2[],8,FALSE)=0,"",VLOOKUP($A136,Table2[],8,FALSE))</f>
        <v/>
      </c>
      <c r="N136" s="82">
        <f>VLOOKUP($A136,Table2[],14,FALSE)</f>
        <v>0</v>
      </c>
      <c r="O136" s="82" t="str">
        <f>IF(VLOOKUP($A136,Table2[],15,FALSE)=0,"",VLOOKUP($A136,Table2[],15,FALSE))</f>
        <v>Community On-Site</v>
      </c>
      <c r="P136" s="82" t="str">
        <f>IF(VLOOKUP($A136,Table2[],16,FALSE)=0,"",VLOOKUP($A136,Table2[],16,FALSE))</f>
        <v/>
      </c>
      <c r="Q136" s="83" t="str">
        <f>IF(ISNA(VLOOKUP($A136,Table3[],6,FALSE)),"None",VLOOKUP($A136,Table3[],6,FALSE))</f>
        <v>None</v>
      </c>
      <c r="R136" s="83" t="str">
        <f>IF(ISNA(VLOOKUP($A136,Table3[],7,FALSE)),"Unknown",VLOOKUP($A136,Table3[],7,FALSE))</f>
        <v>Unknown</v>
      </c>
      <c r="S136" s="83" t="str">
        <f>IF(ISNA(VLOOKUP($A136,Table3[],8,FALSE)),"None",VLOOKUP($A136,Table3[],8,FALSE))</f>
        <v>None</v>
      </c>
      <c r="T136" s="84" t="str">
        <f>IF(ISNA(VLOOKUP($A136,Table3[],13,FALSE)),"Unknown",VLOOKUP($A136,Table3[],13,FALSE))</f>
        <v>Unknown</v>
      </c>
      <c r="U136" s="85" t="str">
        <f>IF(ISNA(VLOOKUP($A136,Table3[],14,FALSE)),"Unknown",VLOOKUP($A136,Table3[],14,FALSE))</f>
        <v>Unknown</v>
      </c>
      <c r="V136" s="84">
        <f>IF(ISNA(VLOOKUP($A136,Table3[],21,FALSE)),0,VLOOKUP($A136,Table3[],21,FALSE))</f>
        <v>0</v>
      </c>
      <c r="W136" s="85">
        <f>IF(ISNA(VLOOKUP($A136,Table3[],22,FALSE)),0,VLOOKUP($A136,Table3[],22,FALSE))</f>
        <v>0</v>
      </c>
    </row>
    <row r="137" spans="1:23" s="73" customFormat="1" x14ac:dyDescent="0.25">
      <c r="A137" s="35">
        <v>227</v>
      </c>
      <c r="B137" s="138" t="str">
        <f>VLOOKUP(A137,Registry!$A$4:$AA$241,2,FALSE)</f>
        <v>Derby Center Mobile Court</v>
      </c>
      <c r="C137" s="138" t="str">
        <f>VLOOKUP(A137,Registry!$A$4:$AA$241,3,FALSE)</f>
        <v>Orleans</v>
      </c>
      <c r="D137" s="138" t="str">
        <f>VLOOKUP(A137,Registry!$A$4:$AA$241,4,FALSE)</f>
        <v>Derby</v>
      </c>
      <c r="E137" s="138">
        <f>IF(VLOOKUP(A137,Registry!$A$4:$AA$241,7,FALSE)=0,"",VLOOKUP(A137,Registry!$A$4:$AA$241,7,FALSE))</f>
        <v>1965</v>
      </c>
      <c r="F137" s="138" t="str">
        <f>IF(VLOOKUP(A137,Registry!$A$4:$AA$241,20,FALSE)=0,"",VLOOKUP(A137,Registry!$A$4:$AA$241,20,FALSE))</f>
        <v>For profit</v>
      </c>
      <c r="G137" s="138">
        <f>VLOOKUP(A137,Registry!$A$4:$AA$241,21,FALSE)</f>
        <v>11</v>
      </c>
      <c r="H137" s="81">
        <f>VLOOKUP($A137,Table4[],36,FALSE)</f>
        <v>1</v>
      </c>
      <c r="I137" s="129" t="str">
        <f>VLOOKUP($A137,Table4[],41,FALSE)</f>
        <v>-</v>
      </c>
      <c r="J137" s="81">
        <f>VLOOKUP($A137,Table4[],30,FALSE)</f>
        <v>0</v>
      </c>
      <c r="K137" s="82">
        <f>VLOOKUP($A137,Table4[],17,FALSE)</f>
        <v>0</v>
      </c>
      <c r="L137" s="82">
        <f>VLOOKUP($A137,Table4[],18,FALSE)</f>
        <v>0</v>
      </c>
      <c r="M137" s="82" t="str">
        <f>IF(VLOOKUP($A137,Table2[],8,FALSE)=0,"",VLOOKUP($A137,Table2[],8,FALSE))</f>
        <v>Municipal</v>
      </c>
      <c r="N137" s="82">
        <f>VLOOKUP($A137,Table2[],14,FALSE)</f>
        <v>0</v>
      </c>
      <c r="O137" s="82" t="str">
        <f>IF(VLOOKUP($A137,Table2[],15,FALSE)=0,"",VLOOKUP($A137,Table2[],15,FALSE))</f>
        <v>Municipal</v>
      </c>
      <c r="P137" s="82" t="str">
        <f>IF(VLOOKUP($A137,Table2[],16,FALSE)=0,"",VLOOKUP($A137,Table2[],16,FALSE))</f>
        <v/>
      </c>
      <c r="Q137" s="83" t="str">
        <f>IF(ISNA(VLOOKUP($A137,Table3[],6,FALSE)),"None",VLOOKUP($A137,Table3[],6,FALSE))</f>
        <v>None</v>
      </c>
      <c r="R137" s="83" t="str">
        <f>IF(ISNA(VLOOKUP($A137,Table3[],7,FALSE)),"Unknown",VLOOKUP($A137,Table3[],7,FALSE))</f>
        <v>Unknown</v>
      </c>
      <c r="S137" s="83" t="str">
        <f>IF(ISNA(VLOOKUP($A137,Table3[],8,FALSE)),"None",VLOOKUP($A137,Table3[],8,FALSE))</f>
        <v>None</v>
      </c>
      <c r="T137" s="84" t="str">
        <f>IF(ISNA(VLOOKUP($A137,Table3[],13,FALSE)),"Unknown",VLOOKUP($A137,Table3[],13,FALSE))</f>
        <v>Unknown</v>
      </c>
      <c r="U137" s="85" t="str">
        <f>IF(ISNA(VLOOKUP($A137,Table3[],14,FALSE)),"Unknown",VLOOKUP($A137,Table3[],14,FALSE))</f>
        <v>Unknown</v>
      </c>
      <c r="V137" s="84">
        <f>IF(ISNA(VLOOKUP($A137,Table3[],21,FALSE)),0,VLOOKUP($A137,Table3[],21,FALSE))</f>
        <v>0</v>
      </c>
      <c r="W137" s="85">
        <f>IF(ISNA(VLOOKUP($A137,Table3[],22,FALSE)),0,VLOOKUP($A137,Table3[],22,FALSE))</f>
        <v>0</v>
      </c>
    </row>
    <row r="138" spans="1:23" s="73" customFormat="1" x14ac:dyDescent="0.25">
      <c r="A138" s="35">
        <v>255</v>
      </c>
      <c r="B138" s="138" t="str">
        <f>VLOOKUP(A138,Registry!$A$4:$AA$241,2,FALSE)</f>
        <v>Derby Mobile Home Park</v>
      </c>
      <c r="C138" s="138" t="str">
        <f>VLOOKUP(A138,Registry!$A$4:$AA$241,3,FALSE)</f>
        <v>Orleans</v>
      </c>
      <c r="D138" s="138" t="str">
        <f>VLOOKUP(A138,Registry!$A$4:$AA$241,4,FALSE)</f>
        <v>Derby</v>
      </c>
      <c r="E138" s="138">
        <f>IF(VLOOKUP(A138,Registry!$A$4:$AA$241,7,FALSE)=0,"",VLOOKUP(A138,Registry!$A$4:$AA$241,7,FALSE))</f>
        <v>1998</v>
      </c>
      <c r="F138" s="138" t="str">
        <f>IF(VLOOKUP(A138,Registry!$A$4:$AA$241,20,FALSE)=0,"",VLOOKUP(A138,Registry!$A$4:$AA$241,20,FALSE))</f>
        <v>Non-profit</v>
      </c>
      <c r="G138" s="138">
        <f>VLOOKUP(A138,Registry!$A$4:$AA$241,21,FALSE)</f>
        <v>102</v>
      </c>
      <c r="H138" s="81">
        <f>VLOOKUP($A138,Table4[],36,FALSE)</f>
        <v>0.96078431372549022</v>
      </c>
      <c r="I138" s="129">
        <f>VLOOKUP($A138,Table4[],41,FALSE)</f>
        <v>9.0379008746355682E-2</v>
      </c>
      <c r="J138" s="81">
        <f>VLOOKUP($A138,Table4[],30,FALSE)</f>
        <v>9.8039215686274508E-3</v>
      </c>
      <c r="K138" s="82">
        <f>VLOOKUP($A138,Table4[],17,FALSE)</f>
        <v>0</v>
      </c>
      <c r="L138" s="82">
        <f>VLOOKUP($A138,Table4[],18,FALSE)</f>
        <v>0</v>
      </c>
      <c r="M138" s="82" t="str">
        <f>IF(VLOOKUP($A138,Table2[],8,FALSE)=0,"",VLOOKUP($A138,Table2[],8,FALSE))</f>
        <v>Consecutive Community</v>
      </c>
      <c r="N138" s="82">
        <f>VLOOKUP($A138,Table2[],14,FALSE)</f>
        <v>0</v>
      </c>
      <c r="O138" s="82" t="str">
        <f>IF(VLOOKUP($A138,Table2[],15,FALSE)=0,"",VLOOKUP($A138,Table2[],15,FALSE))</f>
        <v>Municipal</v>
      </c>
      <c r="P138" s="82" t="str">
        <f>IF(VLOOKUP($A138,Table2[],16,FALSE)=0,"",VLOOKUP($A138,Table2[],16,FALSE))</f>
        <v>MH-7-0006</v>
      </c>
      <c r="Q138" s="83" t="str">
        <f>IF(ISNA(VLOOKUP($A138,Table3[],6,FALSE)),"None",VLOOKUP($A138,Table3[],6,FALSE))</f>
        <v>None</v>
      </c>
      <c r="R138" s="83" t="str">
        <f>IF(ISNA(VLOOKUP($A138,Table3[],7,FALSE)),"Unknown",VLOOKUP($A138,Table3[],7,FALSE))</f>
        <v>Unknown</v>
      </c>
      <c r="S138" s="83" t="str">
        <f>IF(ISNA(VLOOKUP($A138,Table3[],8,FALSE)),"None",VLOOKUP($A138,Table3[],8,FALSE))</f>
        <v>None</v>
      </c>
      <c r="T138" s="84" t="str">
        <f>IF(ISNA(VLOOKUP($A138,Table3[],13,FALSE)),"Unknown",VLOOKUP($A138,Table3[],13,FALSE))</f>
        <v>Unknown</v>
      </c>
      <c r="U138" s="85" t="str">
        <f>IF(ISNA(VLOOKUP($A138,Table3[],14,FALSE)),"Unknown",VLOOKUP($A138,Table3[],14,FALSE))</f>
        <v>Unknown</v>
      </c>
      <c r="V138" s="84">
        <f>IF(ISNA(VLOOKUP($A138,Table3[],21,FALSE)),0,VLOOKUP($A138,Table3[],21,FALSE))</f>
        <v>0</v>
      </c>
      <c r="W138" s="85">
        <f>IF(ISNA(VLOOKUP($A138,Table3[],22,FALSE)),0,VLOOKUP($A138,Table3[],22,FALSE))</f>
        <v>0</v>
      </c>
    </row>
    <row r="139" spans="1:23" s="73" customFormat="1" x14ac:dyDescent="0.25">
      <c r="A139" s="35">
        <v>192</v>
      </c>
      <c r="B139" s="138" t="str">
        <f>VLOOKUP(A139,Registry!$A$4:$AA$241,2,FALSE)</f>
        <v>Shattuck Hill Mobile Home Park</v>
      </c>
      <c r="C139" s="138" t="str">
        <f>VLOOKUP(A139,Registry!$A$4:$AA$241,3,FALSE)</f>
        <v>Orleans</v>
      </c>
      <c r="D139" s="138" t="str">
        <f>VLOOKUP(A139,Registry!$A$4:$AA$241,4,FALSE)</f>
        <v>Derby</v>
      </c>
      <c r="E139" s="138">
        <f>IF(VLOOKUP(A139,Registry!$A$4:$AA$241,7,FALSE)=0,"",VLOOKUP(A139,Registry!$A$4:$AA$241,7,FALSE))</f>
        <v>1969</v>
      </c>
      <c r="F139" s="138" t="str">
        <f>IF(VLOOKUP(A139,Registry!$A$4:$AA$241,20,FALSE)=0,"",VLOOKUP(A139,Registry!$A$4:$AA$241,20,FALSE))</f>
        <v>Non-profit</v>
      </c>
      <c r="G139" s="138">
        <f>VLOOKUP(A139,Registry!$A$4:$AA$241,21,FALSE)</f>
        <v>48</v>
      </c>
      <c r="H139" s="81">
        <f>VLOOKUP($A139,Table4[],36,FALSE)</f>
        <v>0.97916666666666663</v>
      </c>
      <c r="I139" s="129">
        <f>VLOOKUP($A139,Table4[],41,FALSE)</f>
        <v>6.8548387096774188E-2</v>
      </c>
      <c r="J139" s="81">
        <f>VLOOKUP($A139,Table4[],30,FALSE)</f>
        <v>2.0833333333333332E-2</v>
      </c>
      <c r="K139" s="82">
        <f>VLOOKUP($A139,Table4[],17,FALSE)</f>
        <v>0</v>
      </c>
      <c r="L139" s="82">
        <f>VLOOKUP($A139,Table4[],18,FALSE)</f>
        <v>0</v>
      </c>
      <c r="M139" s="82" t="str">
        <f>IF(VLOOKUP($A139,Table2[],8,FALSE)=0,"",VLOOKUP($A139,Table2[],8,FALSE))</f>
        <v>Consecutive Community</v>
      </c>
      <c r="N139" s="82">
        <f>VLOOKUP($A139,Table2[],14,FALSE)</f>
        <v>0</v>
      </c>
      <c r="O139" s="82" t="str">
        <f>IF(VLOOKUP($A139,Table2[],15,FALSE)=0,"",VLOOKUP($A139,Table2[],15,FALSE))</f>
        <v>Community On-Site</v>
      </c>
      <c r="P139" s="82" t="str">
        <f>IF(VLOOKUP($A139,Table2[],16,FALSE)=0,"",VLOOKUP($A139,Table2[],16,FALSE))</f>
        <v>MH-7-0007</v>
      </c>
      <c r="Q139" s="83" t="str">
        <f>IF(ISNA(VLOOKUP($A139,Table3[],6,FALSE)),"None",VLOOKUP($A139,Table3[],6,FALSE))</f>
        <v>None</v>
      </c>
      <c r="R139" s="83" t="str">
        <f>IF(ISNA(VLOOKUP($A139,Table3[],7,FALSE)),"Unknown",VLOOKUP($A139,Table3[],7,FALSE))</f>
        <v>Unknown</v>
      </c>
      <c r="S139" s="83" t="str">
        <f>IF(ISNA(VLOOKUP($A139,Table3[],8,FALSE)),"None",VLOOKUP($A139,Table3[],8,FALSE))</f>
        <v>None</v>
      </c>
      <c r="T139" s="84" t="str">
        <f>IF(ISNA(VLOOKUP($A139,Table3[],13,FALSE)),"Unknown",VLOOKUP($A139,Table3[],13,FALSE))</f>
        <v>Unknown</v>
      </c>
      <c r="U139" s="85" t="str">
        <f>IF(ISNA(VLOOKUP($A139,Table3[],14,FALSE)),"Unknown",VLOOKUP($A139,Table3[],14,FALSE))</f>
        <v>Unknown</v>
      </c>
      <c r="V139" s="84">
        <f>IF(ISNA(VLOOKUP($A139,Table3[],21,FALSE)),0,VLOOKUP($A139,Table3[],21,FALSE))</f>
        <v>0</v>
      </c>
      <c r="W139" s="85">
        <f>IF(ISNA(VLOOKUP($A139,Table3[],22,FALSE)),0,VLOOKUP($A139,Table3[],22,FALSE))</f>
        <v>0</v>
      </c>
    </row>
    <row r="140" spans="1:23" s="73" customFormat="1" x14ac:dyDescent="0.25">
      <c r="A140" s="35">
        <v>147</v>
      </c>
      <c r="B140" s="138" t="str">
        <f>VLOOKUP(A140,Registry!$A$4:$AA$241,2,FALSE)</f>
        <v>Brookdale Manor LLC</v>
      </c>
      <c r="C140" s="138" t="str">
        <f>VLOOKUP(A140,Registry!$A$4:$AA$241,3,FALSE)</f>
        <v>Rutland</v>
      </c>
      <c r="D140" s="138" t="str">
        <f>VLOOKUP(A140,Registry!$A$4:$AA$241,4,FALSE)</f>
        <v>Brandon</v>
      </c>
      <c r="E140" s="138">
        <f>IF(VLOOKUP(A140,Registry!$A$4:$AA$241,7,FALSE)=0,"",VLOOKUP(A140,Registry!$A$4:$AA$241,7,FALSE))</f>
        <v>1970</v>
      </c>
      <c r="F140" s="138" t="str">
        <f>IF(VLOOKUP(A140,Registry!$A$4:$AA$241,20,FALSE)=0,"",VLOOKUP(A140,Registry!$A$4:$AA$241,20,FALSE))</f>
        <v>For profit</v>
      </c>
      <c r="G140" s="138">
        <f>VLOOKUP(A140,Registry!$A$4:$AA$241,21,FALSE)</f>
        <v>17</v>
      </c>
      <c r="H140" s="81">
        <f>VLOOKUP($A140,Table4[],36,FALSE)</f>
        <v>1</v>
      </c>
      <c r="I140" s="129">
        <f>VLOOKUP($A140,Table4[],41,FALSE)</f>
        <v>4.2553191489361701E-2</v>
      </c>
      <c r="J140" s="81">
        <f>VLOOKUP($A140,Table4[],30,FALSE)</f>
        <v>0</v>
      </c>
      <c r="K140" s="82">
        <f>VLOOKUP($A140,Table4[],17,FALSE)</f>
        <v>0</v>
      </c>
      <c r="L140" s="82">
        <f>VLOOKUP($A140,Table4[],18,FALSE)</f>
        <v>0</v>
      </c>
      <c r="M140" s="82" t="str">
        <f>IF(VLOOKUP($A140,Table2[],8,FALSE)=0,"",VLOOKUP($A140,Table2[],8,FALSE))</f>
        <v>Municipal</v>
      </c>
      <c r="N140" s="82">
        <f>VLOOKUP($A140,Table2[],14,FALSE)</f>
        <v>0</v>
      </c>
      <c r="O140" s="82" t="str">
        <f>IF(VLOOKUP($A140,Table2[],15,FALSE)=0,"",VLOOKUP($A140,Table2[],15,FALSE))</f>
        <v>Municipal</v>
      </c>
      <c r="P140" s="82" t="str">
        <f>IF(VLOOKUP($A140,Table2[],16,FALSE)=0,"",VLOOKUP($A140,Table2[],16,FALSE))</f>
        <v>MH-1-0018</v>
      </c>
      <c r="Q140" s="83" t="str">
        <f>IF(ISNA(VLOOKUP($A140,Table3[],6,FALSE)),"None",VLOOKUP($A140,Table3[],6,FALSE))</f>
        <v>None</v>
      </c>
      <c r="R140" s="83" t="str">
        <f>IF(ISNA(VLOOKUP($A140,Table3[],7,FALSE)),"Unknown",VLOOKUP($A140,Table3[],7,FALSE))</f>
        <v>Unknown</v>
      </c>
      <c r="S140" s="83" t="str">
        <f>IF(ISNA(VLOOKUP($A140,Table3[],8,FALSE)),"None",VLOOKUP($A140,Table3[],8,FALSE))</f>
        <v>None</v>
      </c>
      <c r="T140" s="84" t="str">
        <f>IF(ISNA(VLOOKUP($A140,Table3[],13,FALSE)),"Unknown",VLOOKUP($A140,Table3[],13,FALSE))</f>
        <v>Unknown</v>
      </c>
      <c r="U140" s="85" t="str">
        <f>IF(ISNA(VLOOKUP($A140,Table3[],14,FALSE)),"Unknown",VLOOKUP($A140,Table3[],14,FALSE))</f>
        <v>Unknown</v>
      </c>
      <c r="V140" s="84">
        <f>IF(ISNA(VLOOKUP($A140,Table3[],21,FALSE)),0,VLOOKUP($A140,Table3[],21,FALSE))</f>
        <v>0</v>
      </c>
      <c r="W140" s="85">
        <f>IF(ISNA(VLOOKUP($A140,Table3[],22,FALSE)),0,VLOOKUP($A140,Table3[],22,FALSE))</f>
        <v>0</v>
      </c>
    </row>
    <row r="141" spans="1:23" s="73" customFormat="1" x14ac:dyDescent="0.25">
      <c r="A141" s="35">
        <v>150</v>
      </c>
      <c r="B141" s="138" t="str">
        <f>VLOOKUP(A141,Registry!$A$4:$AA$241,2,FALSE)</f>
        <v>Forest Dale Mobile Home Park</v>
      </c>
      <c r="C141" s="138" t="str">
        <f>VLOOKUP(A141,Registry!$A$4:$AA$241,3,FALSE)</f>
        <v>Rutland</v>
      </c>
      <c r="D141" s="138" t="str">
        <f>VLOOKUP(A141,Registry!$A$4:$AA$241,4,FALSE)</f>
        <v>Brandon</v>
      </c>
      <c r="E141" s="138">
        <f>IF(VLOOKUP(A141,Registry!$A$4:$AA$241,7,FALSE)=0,"",VLOOKUP(A141,Registry!$A$4:$AA$241,7,FALSE))</f>
        <v>1970</v>
      </c>
      <c r="F141" s="138" t="str">
        <f>IF(VLOOKUP(A141,Registry!$A$4:$AA$241,20,FALSE)=0,"",VLOOKUP(A141,Registry!$A$4:$AA$241,20,FALSE))</f>
        <v>For profit</v>
      </c>
      <c r="G141" s="138">
        <f>VLOOKUP(A141,Registry!$A$4:$AA$241,21,FALSE)</f>
        <v>5</v>
      </c>
      <c r="H141" s="81">
        <f>VLOOKUP($A141,Table4[],36,FALSE)</f>
        <v>1</v>
      </c>
      <c r="I141" s="129">
        <f>VLOOKUP($A141,Table4[],41,FALSE)</f>
        <v>4.3252595155709339E-2</v>
      </c>
      <c r="J141" s="81">
        <f>VLOOKUP($A141,Table4[],30,FALSE)</f>
        <v>0</v>
      </c>
      <c r="K141" s="82">
        <f>VLOOKUP($A141,Table4[],17,FALSE)</f>
        <v>0</v>
      </c>
      <c r="L141" s="82">
        <f>VLOOKUP($A141,Table4[],18,FALSE)</f>
        <v>0</v>
      </c>
      <c r="M141" s="82" t="str">
        <f>IF(VLOOKUP($A141,Table2[],8,FALSE)=0,"",VLOOKUP($A141,Table2[],8,FALSE))</f>
        <v>Municipal</v>
      </c>
      <c r="N141" s="82">
        <f>VLOOKUP($A141,Table2[],14,FALSE)</f>
        <v>0</v>
      </c>
      <c r="O141" s="82" t="str">
        <f>IF(VLOOKUP($A141,Table2[],15,FALSE)=0,"",VLOOKUP($A141,Table2[],15,FALSE))</f>
        <v>Municipal</v>
      </c>
      <c r="P141" s="82" t="str">
        <f>IF(VLOOKUP($A141,Table2[],16,FALSE)=0,"",VLOOKUP($A141,Table2[],16,FALSE))</f>
        <v/>
      </c>
      <c r="Q141" s="83" t="str">
        <f>IF(ISNA(VLOOKUP($A141,Table3[],6,FALSE)),"None",VLOOKUP($A141,Table3[],6,FALSE))</f>
        <v>Floodway</v>
      </c>
      <c r="R141" s="83" t="str">
        <f>IF(ISNA(VLOOKUP($A141,Table3[],7,FALSE)),"Unknown",VLOOKUP($A141,Table3[],7,FALSE))</f>
        <v>Unknown</v>
      </c>
      <c r="S141" s="83" t="str">
        <f>IF(ISNA(VLOOKUP($A141,Table3[],8,FALSE)),"None",VLOOKUP($A141,Table3[],8,FALSE))</f>
        <v>Floodway</v>
      </c>
      <c r="T141" s="84">
        <f>IF(ISNA(VLOOKUP($A141,Table3[],13,FALSE)),"Unknown",VLOOKUP($A141,Table3[],13,FALSE))</f>
        <v>5</v>
      </c>
      <c r="U141" s="85">
        <f>IF(ISNA(VLOOKUP($A141,Table3[],14,FALSE)),"Unknown",VLOOKUP($A141,Table3[],14,FALSE))</f>
        <v>1</v>
      </c>
      <c r="V141" s="84">
        <f>IF(ISNA(VLOOKUP($A141,Table3[],21,FALSE)),0,VLOOKUP($A141,Table3[],21,FALSE))</f>
        <v>6</v>
      </c>
      <c r="W141" s="85">
        <f>IF(ISNA(VLOOKUP($A141,Table3[],22,FALSE)),0,VLOOKUP($A141,Table3[],22,FALSE))</f>
        <v>1</v>
      </c>
    </row>
    <row r="142" spans="1:23" s="73" customFormat="1" x14ac:dyDescent="0.25">
      <c r="A142" s="35">
        <v>313</v>
      </c>
      <c r="B142" s="138" t="str">
        <f>VLOOKUP(A142,Registry!$A$4:$AA$241,2,FALSE)</f>
        <v>Forestdale Manor</v>
      </c>
      <c r="C142" s="138" t="str">
        <f>VLOOKUP(A142,Registry!$A$4:$AA$241,3,FALSE)</f>
        <v>Rutland</v>
      </c>
      <c r="D142" s="138" t="str">
        <f>VLOOKUP(A142,Registry!$A$4:$AA$241,4,FALSE)</f>
        <v>Brandon</v>
      </c>
      <c r="E142" s="138">
        <f>IF(VLOOKUP(A142,Registry!$A$4:$AA$241,7,FALSE)=0,"",VLOOKUP(A142,Registry!$A$4:$AA$241,7,FALSE))</f>
        <v>1970</v>
      </c>
      <c r="F142" s="138" t="str">
        <f>IF(VLOOKUP(A142,Registry!$A$4:$AA$241,20,FALSE)=0,"",VLOOKUP(A142,Registry!$A$4:$AA$241,20,FALSE))</f>
        <v>For profit</v>
      </c>
      <c r="G142" s="138">
        <f>VLOOKUP(A142,Registry!$A$4:$AA$241,21,FALSE)</f>
        <v>12</v>
      </c>
      <c r="H142" s="81">
        <f>VLOOKUP($A142,Table4[],36,FALSE)</f>
        <v>0.25</v>
      </c>
      <c r="I142" s="129">
        <f>VLOOKUP($A142,Table4[],41,FALSE)</f>
        <v>0</v>
      </c>
      <c r="J142" s="81">
        <f>VLOOKUP($A142,Table4[],30,FALSE)</f>
        <v>-8.3333333333333329E-2</v>
      </c>
      <c r="K142" s="82">
        <f>VLOOKUP($A142,Table4[],17,FALSE)</f>
        <v>0</v>
      </c>
      <c r="L142" s="82">
        <f>VLOOKUP($A142,Table4[],18,FALSE)</f>
        <v>9</v>
      </c>
      <c r="M142" s="82" t="str">
        <f>IF(VLOOKUP($A142,Table2[],8,FALSE)=0,"",VLOOKUP($A142,Table2[],8,FALSE))</f>
        <v>Municipal</v>
      </c>
      <c r="N142" s="82">
        <f>VLOOKUP($A142,Table2[],14,FALSE)</f>
        <v>0</v>
      </c>
      <c r="O142" s="82" t="str">
        <f>IF(VLOOKUP($A142,Table2[],15,FALSE)=0,"",VLOOKUP($A142,Table2[],15,FALSE))</f>
        <v>Municipal</v>
      </c>
      <c r="P142" s="82" t="str">
        <f>IF(VLOOKUP($A142,Table2[],16,FALSE)=0,"",VLOOKUP($A142,Table2[],16,FALSE))</f>
        <v/>
      </c>
      <c r="Q142" s="83" t="str">
        <f>IF(ISNA(VLOOKUP($A142,Table3[],6,FALSE)),"None",VLOOKUP($A142,Table3[],6,FALSE))</f>
        <v>None</v>
      </c>
      <c r="R142" s="83" t="str">
        <f>IF(ISNA(VLOOKUP($A142,Table3[],7,FALSE)),"Unknown",VLOOKUP($A142,Table3[],7,FALSE))</f>
        <v>Unknown</v>
      </c>
      <c r="S142" s="83" t="str">
        <f>IF(ISNA(VLOOKUP($A142,Table3[],8,FALSE)),"None",VLOOKUP($A142,Table3[],8,FALSE))</f>
        <v>None</v>
      </c>
      <c r="T142" s="84" t="str">
        <f>IF(ISNA(VLOOKUP($A142,Table3[],13,FALSE)),"Unknown",VLOOKUP($A142,Table3[],13,FALSE))</f>
        <v>Unknown</v>
      </c>
      <c r="U142" s="85" t="str">
        <f>IF(ISNA(VLOOKUP($A142,Table3[],14,FALSE)),"Unknown",VLOOKUP($A142,Table3[],14,FALSE))</f>
        <v>Unknown</v>
      </c>
      <c r="V142" s="84">
        <f>IF(ISNA(VLOOKUP($A142,Table3[],21,FALSE)),0,VLOOKUP($A142,Table3[],21,FALSE))</f>
        <v>0</v>
      </c>
      <c r="W142" s="85">
        <f>IF(ISNA(VLOOKUP($A142,Table3[],22,FALSE)),0,VLOOKUP($A142,Table3[],22,FALSE))</f>
        <v>0</v>
      </c>
    </row>
    <row r="143" spans="1:23" s="73" customFormat="1" x14ac:dyDescent="0.25">
      <c r="A143" s="35">
        <v>220</v>
      </c>
      <c r="B143" s="138" t="str">
        <f>VLOOKUP(A143,Registry!$A$4:$AA$241,2,FALSE)</f>
        <v>Pine Tree Park</v>
      </c>
      <c r="C143" s="138" t="str">
        <f>VLOOKUP(A143,Registry!$A$4:$AA$241,3,FALSE)</f>
        <v>Rutland</v>
      </c>
      <c r="D143" s="138" t="str">
        <f>VLOOKUP(A143,Registry!$A$4:$AA$241,4,FALSE)</f>
        <v>Brandon</v>
      </c>
      <c r="E143" s="138">
        <f>IF(VLOOKUP(A143,Registry!$A$4:$AA$241,7,FALSE)=0,"",VLOOKUP(A143,Registry!$A$4:$AA$241,7,FALSE))</f>
        <v>1970</v>
      </c>
      <c r="F143" s="138" t="str">
        <f>IF(VLOOKUP(A143,Registry!$A$4:$AA$241,20,FALSE)=0,"",VLOOKUP(A143,Registry!$A$4:$AA$241,20,FALSE))</f>
        <v>For profit</v>
      </c>
      <c r="G143" s="138">
        <f>VLOOKUP(A143,Registry!$A$4:$AA$241,21,FALSE)</f>
        <v>20</v>
      </c>
      <c r="H143" s="81">
        <f>VLOOKUP($A143,Table4[],36,FALSE)</f>
        <v>0.95</v>
      </c>
      <c r="I143" s="129">
        <f>VLOOKUP($A143,Table4[],41,FALSE)</f>
        <v>6.6666666666666666E-2</v>
      </c>
      <c r="J143" s="81">
        <f>VLOOKUP($A143,Table4[],30,FALSE)</f>
        <v>0.05</v>
      </c>
      <c r="K143" s="82">
        <f>VLOOKUP($A143,Table4[],17,FALSE)</f>
        <v>2</v>
      </c>
      <c r="L143" s="82">
        <f>VLOOKUP($A143,Table4[],18,FALSE)</f>
        <v>0</v>
      </c>
      <c r="M143" s="82" t="str">
        <f>IF(VLOOKUP($A143,Table2[],8,FALSE)=0,"",VLOOKUP($A143,Table2[],8,FALSE))</f>
        <v>Municipal</v>
      </c>
      <c r="N143" s="82">
        <f>VLOOKUP($A143,Table2[],14,FALSE)</f>
        <v>0</v>
      </c>
      <c r="O143" s="82" t="str">
        <f>IF(VLOOKUP($A143,Table2[],15,FALSE)=0,"",VLOOKUP($A143,Table2[],15,FALSE))</f>
        <v>On-Site</v>
      </c>
      <c r="P143" s="82" t="str">
        <f>IF(VLOOKUP($A143,Table2[],16,FALSE)=0,"",VLOOKUP($A143,Table2[],16,FALSE))</f>
        <v/>
      </c>
      <c r="Q143" s="83" t="str">
        <f>IF(ISNA(VLOOKUP($A143,Table3[],6,FALSE)),"None",VLOOKUP($A143,Table3[],6,FALSE))</f>
        <v>None</v>
      </c>
      <c r="R143" s="83" t="str">
        <f>IF(ISNA(VLOOKUP($A143,Table3[],7,FALSE)),"Unknown",VLOOKUP($A143,Table3[],7,FALSE))</f>
        <v>Unknown</v>
      </c>
      <c r="S143" s="83" t="str">
        <f>IF(ISNA(VLOOKUP($A143,Table3[],8,FALSE)),"None",VLOOKUP($A143,Table3[],8,FALSE))</f>
        <v>None</v>
      </c>
      <c r="T143" s="84" t="str">
        <f>IF(ISNA(VLOOKUP($A143,Table3[],13,FALSE)),"Unknown",VLOOKUP($A143,Table3[],13,FALSE))</f>
        <v>Unknown</v>
      </c>
      <c r="U143" s="85" t="str">
        <f>IF(ISNA(VLOOKUP($A143,Table3[],14,FALSE)),"Unknown",VLOOKUP($A143,Table3[],14,FALSE))</f>
        <v>Unknown</v>
      </c>
      <c r="V143" s="84">
        <f>IF(ISNA(VLOOKUP($A143,Table3[],21,FALSE)),0,VLOOKUP($A143,Table3[],21,FALSE))</f>
        <v>0</v>
      </c>
      <c r="W143" s="85">
        <f>IF(ISNA(VLOOKUP($A143,Table3[],22,FALSE)),0,VLOOKUP($A143,Table3[],22,FALSE))</f>
        <v>0</v>
      </c>
    </row>
    <row r="144" spans="1:23" s="73" customFormat="1" x14ac:dyDescent="0.25">
      <c r="A144" s="35">
        <v>210</v>
      </c>
      <c r="B144" s="138" t="str">
        <f>VLOOKUP(A144,Registry!$A$4:$AA$241,2,FALSE)</f>
        <v>Triangle Court MHP</v>
      </c>
      <c r="C144" s="138" t="str">
        <f>VLOOKUP(A144,Registry!$A$4:$AA$241,3,FALSE)</f>
        <v>Rutland</v>
      </c>
      <c r="D144" s="138" t="str">
        <f>VLOOKUP(A144,Registry!$A$4:$AA$241,4,FALSE)</f>
        <v>Brandon</v>
      </c>
      <c r="E144" s="138">
        <f>IF(VLOOKUP(A144,Registry!$A$4:$AA$241,7,FALSE)=0,"",VLOOKUP(A144,Registry!$A$4:$AA$241,7,FALSE))</f>
        <v>1986</v>
      </c>
      <c r="F144" s="138" t="str">
        <f>IF(VLOOKUP(A144,Registry!$A$4:$AA$241,20,FALSE)=0,"",VLOOKUP(A144,Registry!$A$4:$AA$241,20,FALSE))</f>
        <v>Cooperative</v>
      </c>
      <c r="G144" s="138">
        <f>VLOOKUP(A144,Registry!$A$4:$AA$241,21,FALSE)</f>
        <v>12</v>
      </c>
      <c r="H144" s="81">
        <f>VLOOKUP($A144,Table4[],36,FALSE)</f>
        <v>1</v>
      </c>
      <c r="I144" s="129">
        <f>VLOOKUP($A144,Table4[],41,FALSE)</f>
        <v>0</v>
      </c>
      <c r="J144" s="81">
        <f>VLOOKUP($A144,Table4[],30,FALSE)</f>
        <v>0</v>
      </c>
      <c r="K144" s="82">
        <f>VLOOKUP($A144,Table4[],17,FALSE)</f>
        <v>0</v>
      </c>
      <c r="L144" s="82">
        <f>VLOOKUP($A144,Table4[],18,FALSE)</f>
        <v>0</v>
      </c>
      <c r="M144" s="82" t="str">
        <f>IF(VLOOKUP($A144,Table2[],8,FALSE)=0,"",VLOOKUP($A144,Table2[],8,FALSE))</f>
        <v>Small-Scale (potable, &lt;25 users)</v>
      </c>
      <c r="N144" s="82">
        <f>VLOOKUP($A144,Table2[],14,FALSE)</f>
        <v>0</v>
      </c>
      <c r="O144" s="82" t="str">
        <f>IF(VLOOKUP($A144,Table2[],15,FALSE)=0,"",VLOOKUP($A144,Table2[],15,FALSE))</f>
        <v>On-Site</v>
      </c>
      <c r="P144" s="82" t="str">
        <f>IF(VLOOKUP($A144,Table2[],16,FALSE)=0,"",VLOOKUP($A144,Table2[],16,FALSE))</f>
        <v/>
      </c>
      <c r="Q144" s="83" t="str">
        <f>IF(ISNA(VLOOKUP($A144,Table3[],6,FALSE)),"None",VLOOKUP($A144,Table3[],6,FALSE))</f>
        <v>None</v>
      </c>
      <c r="R144" s="83" t="str">
        <f>IF(ISNA(VLOOKUP($A144,Table3[],7,FALSE)),"Unknown",VLOOKUP($A144,Table3[],7,FALSE))</f>
        <v>Unknown</v>
      </c>
      <c r="S144" s="83" t="str">
        <f>IF(ISNA(VLOOKUP($A144,Table3[],8,FALSE)),"None",VLOOKUP($A144,Table3[],8,FALSE))</f>
        <v>None</v>
      </c>
      <c r="T144" s="84" t="str">
        <f>IF(ISNA(VLOOKUP($A144,Table3[],13,FALSE)),"Unknown",VLOOKUP($A144,Table3[],13,FALSE))</f>
        <v>Unknown</v>
      </c>
      <c r="U144" s="85" t="str">
        <f>IF(ISNA(VLOOKUP($A144,Table3[],14,FALSE)),"Unknown",VLOOKUP($A144,Table3[],14,FALSE))</f>
        <v>Unknown</v>
      </c>
      <c r="V144" s="84">
        <f>IF(ISNA(VLOOKUP($A144,Table3[],21,FALSE)),0,VLOOKUP($A144,Table3[],21,FALSE))</f>
        <v>0</v>
      </c>
      <c r="W144" s="85">
        <f>IF(ISNA(VLOOKUP($A144,Table3[],22,FALSE)),0,VLOOKUP($A144,Table3[],22,FALSE))</f>
        <v>0</v>
      </c>
    </row>
    <row r="145" spans="1:23" s="73" customFormat="1" x14ac:dyDescent="0.25">
      <c r="A145" s="35">
        <v>205</v>
      </c>
      <c r="B145" s="138" t="str">
        <f>VLOOKUP(A145,Registry!$A$4:$AA$241,2,FALSE)</f>
        <v>Valley View MHP</v>
      </c>
      <c r="C145" s="138" t="str">
        <f>VLOOKUP(A145,Registry!$A$4:$AA$241,3,FALSE)</f>
        <v>Rutland</v>
      </c>
      <c r="D145" s="138" t="str">
        <f>VLOOKUP(A145,Registry!$A$4:$AA$241,4,FALSE)</f>
        <v>Brandon</v>
      </c>
      <c r="E145" s="138">
        <f>IF(VLOOKUP(A145,Registry!$A$4:$AA$241,7,FALSE)=0,"",VLOOKUP(A145,Registry!$A$4:$AA$241,7,FALSE))</f>
        <v>1955</v>
      </c>
      <c r="F145" s="138" t="str">
        <f>IF(VLOOKUP(A145,Registry!$A$4:$AA$241,20,FALSE)=0,"",VLOOKUP(A145,Registry!$A$4:$AA$241,20,FALSE))</f>
        <v>For profit</v>
      </c>
      <c r="G145" s="138">
        <f>VLOOKUP(A145,Registry!$A$4:$AA$241,21,FALSE)</f>
        <v>10</v>
      </c>
      <c r="H145" s="81">
        <f>VLOOKUP($A145,Table4[],36,FALSE)</f>
        <v>0.7</v>
      </c>
      <c r="I145" s="129">
        <f>VLOOKUP($A145,Table4[],41,FALSE)</f>
        <v>0</v>
      </c>
      <c r="J145" s="81">
        <f>VLOOKUP($A145,Table4[],30,FALSE)</f>
        <v>-0.1</v>
      </c>
      <c r="K145" s="82">
        <f>VLOOKUP($A145,Table4[],17,FALSE)</f>
        <v>3</v>
      </c>
      <c r="L145" s="82">
        <f>VLOOKUP($A145,Table4[],18,FALSE)</f>
        <v>0</v>
      </c>
      <c r="M145" s="82" t="str">
        <f>IF(VLOOKUP($A145,Table2[],8,FALSE)=0,"",VLOOKUP($A145,Table2[],8,FALSE))</f>
        <v>Small-Scale (potable, &lt;25 users)</v>
      </c>
      <c r="N145" s="82">
        <f>VLOOKUP($A145,Table2[],14,FALSE)</f>
        <v>0</v>
      </c>
      <c r="O145" s="82" t="str">
        <f>IF(VLOOKUP($A145,Table2[],15,FALSE)=0,"",VLOOKUP($A145,Table2[],15,FALSE))</f>
        <v>Community On-Site</v>
      </c>
      <c r="P145" s="82" t="str">
        <f>IF(VLOOKUP($A145,Table2[],16,FALSE)=0,"",VLOOKUP($A145,Table2[],16,FALSE))</f>
        <v/>
      </c>
      <c r="Q145" s="83" t="str">
        <f>IF(ISNA(VLOOKUP($A145,Table3[],6,FALSE)),"None",VLOOKUP($A145,Table3[],6,FALSE))</f>
        <v>None</v>
      </c>
      <c r="R145" s="83" t="str">
        <f>IF(ISNA(VLOOKUP($A145,Table3[],7,FALSE)),"Unknown",VLOOKUP($A145,Table3[],7,FALSE))</f>
        <v>Unknown</v>
      </c>
      <c r="S145" s="83" t="str">
        <f>IF(ISNA(VLOOKUP($A145,Table3[],8,FALSE)),"None",VLOOKUP($A145,Table3[],8,FALSE))</f>
        <v>None</v>
      </c>
      <c r="T145" s="84" t="str">
        <f>IF(ISNA(VLOOKUP($A145,Table3[],13,FALSE)),"Unknown",VLOOKUP($A145,Table3[],13,FALSE))</f>
        <v>Unknown</v>
      </c>
      <c r="U145" s="85" t="str">
        <f>IF(ISNA(VLOOKUP($A145,Table3[],14,FALSE)),"Unknown",VLOOKUP($A145,Table3[],14,FALSE))</f>
        <v>Unknown</v>
      </c>
      <c r="V145" s="84">
        <f>IF(ISNA(VLOOKUP($A145,Table3[],21,FALSE)),0,VLOOKUP($A145,Table3[],21,FALSE))</f>
        <v>0</v>
      </c>
      <c r="W145" s="85">
        <f>IF(ISNA(VLOOKUP($A145,Table3[],22,FALSE)),0,VLOOKUP($A145,Table3[],22,FALSE))</f>
        <v>0</v>
      </c>
    </row>
    <row r="146" spans="1:23" s="73" customFormat="1" x14ac:dyDescent="0.25">
      <c r="A146" s="35">
        <v>211</v>
      </c>
      <c r="B146" s="138" t="str">
        <f>VLOOKUP(A146,Registry!$A$4:$AA$241,2,FALSE)</f>
        <v>FWMHP, LLC</v>
      </c>
      <c r="C146" s="138" t="str">
        <f>VLOOKUP(A146,Registry!$A$4:$AA$241,3,FALSE)</f>
        <v>Rutland</v>
      </c>
      <c r="D146" s="138" t="str">
        <f>VLOOKUP(A146,Registry!$A$4:$AA$241,4,FALSE)</f>
        <v>Castleton</v>
      </c>
      <c r="E146" s="138">
        <f>IF(VLOOKUP(A146,Registry!$A$4:$AA$241,7,FALSE)=0,"",VLOOKUP(A146,Registry!$A$4:$AA$241,7,FALSE))</f>
        <v>1970</v>
      </c>
      <c r="F146" s="138" t="str">
        <f>IF(VLOOKUP(A146,Registry!$A$4:$AA$241,20,FALSE)=0,"",VLOOKUP(A146,Registry!$A$4:$AA$241,20,FALSE))</f>
        <v>For profit</v>
      </c>
      <c r="G146" s="138">
        <f>VLOOKUP(A146,Registry!$A$4:$AA$241,21,FALSE)</f>
        <v>44</v>
      </c>
      <c r="H146" s="81">
        <f>VLOOKUP($A146,Table4[],36,FALSE)</f>
        <v>0.88636363636363635</v>
      </c>
      <c r="I146" s="129">
        <f>VLOOKUP($A146,Table4[],41,FALSE)</f>
        <v>9.6514745308310987E-2</v>
      </c>
      <c r="J146" s="81">
        <f>VLOOKUP($A146,Table4[],30,FALSE)</f>
        <v>2.2727272727272728E-2</v>
      </c>
      <c r="K146" s="82">
        <f>VLOOKUP($A146,Table4[],17,FALSE)</f>
        <v>-1</v>
      </c>
      <c r="L146" s="82">
        <f>VLOOKUP($A146,Table4[],18,FALSE)</f>
        <v>-2</v>
      </c>
      <c r="M146" s="82" t="str">
        <f>IF(VLOOKUP($A146,Table2[],8,FALSE)=0,"",VLOOKUP($A146,Table2[],8,FALSE))</f>
        <v xml:space="preserve">Community </v>
      </c>
      <c r="N146" s="82">
        <f>VLOOKUP($A146,Table2[],14,FALSE)</f>
        <v>0</v>
      </c>
      <c r="O146" s="82" t="str">
        <f>IF(VLOOKUP($A146,Table2[],15,FALSE)=0,"",VLOOKUP($A146,Table2[],15,FALSE))</f>
        <v>On-Site</v>
      </c>
      <c r="P146" s="82" t="str">
        <f>IF(VLOOKUP($A146,Table2[],16,FALSE)=0,"",VLOOKUP($A146,Table2[],16,FALSE))</f>
        <v/>
      </c>
      <c r="Q146" s="83" t="str">
        <f>IF(ISNA(VLOOKUP($A146,Table3[],6,FALSE)),"None",VLOOKUP($A146,Table3[],6,FALSE))</f>
        <v>Floodway</v>
      </c>
      <c r="R146" s="83" t="str">
        <f>IF(ISNA(VLOOKUP($A146,Table3[],7,FALSE)),"Unknown",VLOOKUP($A146,Table3[],7,FALSE))</f>
        <v>Unknown</v>
      </c>
      <c r="S146" s="83" t="str">
        <f>IF(ISNA(VLOOKUP($A146,Table3[],8,FALSE)),"None",VLOOKUP($A146,Table3[],8,FALSE))</f>
        <v>Floodway</v>
      </c>
      <c r="T146" s="84">
        <f>IF(ISNA(VLOOKUP($A146,Table3[],13,FALSE)),"Unknown",VLOOKUP($A146,Table3[],13,FALSE))</f>
        <v>8</v>
      </c>
      <c r="U146" s="85">
        <f>IF(ISNA(VLOOKUP($A146,Table3[],14,FALSE)),"Unknown",VLOOKUP($A146,Table3[],14,FALSE))</f>
        <v>0.18181818181818182</v>
      </c>
      <c r="V146" s="84">
        <f>IF(ISNA(VLOOKUP($A146,Table3[],21,FALSE)),0,VLOOKUP($A146,Table3[],21,FALSE))</f>
        <v>7</v>
      </c>
      <c r="W146" s="85">
        <f>IF(ISNA(VLOOKUP($A146,Table3[],22,FALSE)),0,VLOOKUP($A146,Table3[],22,FALSE))</f>
        <v>0.15909090909090909</v>
      </c>
    </row>
    <row r="147" spans="1:23" s="73" customFormat="1" x14ac:dyDescent="0.25">
      <c r="A147" s="35">
        <v>180</v>
      </c>
      <c r="B147" s="138" t="str">
        <f>VLOOKUP(A147,Registry!$A$4:$AA$241,2,FALSE)</f>
        <v>Windy Hollow Mobile Home Park</v>
      </c>
      <c r="C147" s="138" t="str">
        <f>VLOOKUP(A147,Registry!$A$4:$AA$241,3,FALSE)</f>
        <v>Rutland</v>
      </c>
      <c r="D147" s="138" t="str">
        <f>VLOOKUP(A147,Registry!$A$4:$AA$241,4,FALSE)</f>
        <v>Castleton</v>
      </c>
      <c r="E147" s="138">
        <f>IF(VLOOKUP(A147,Registry!$A$4:$AA$241,7,FALSE)=0,"",VLOOKUP(A147,Registry!$A$4:$AA$241,7,FALSE))</f>
        <v>1966</v>
      </c>
      <c r="F147" s="138" t="str">
        <f>IF(VLOOKUP(A147,Registry!$A$4:$AA$241,20,FALSE)=0,"",VLOOKUP(A147,Registry!$A$4:$AA$241,20,FALSE))</f>
        <v>Cooperative</v>
      </c>
      <c r="G147" s="138">
        <f>VLOOKUP(A147,Registry!$A$4:$AA$241,21,FALSE)</f>
        <v>44</v>
      </c>
      <c r="H147" s="81">
        <f>VLOOKUP($A147,Table4[],36,FALSE)</f>
        <v>1</v>
      </c>
      <c r="I147" s="129">
        <f>VLOOKUP($A147,Table4[],41,FALSE)</f>
        <v>2.8571428571428571E-2</v>
      </c>
      <c r="J147" s="81">
        <f>VLOOKUP($A147,Table4[],30,FALSE)</f>
        <v>0</v>
      </c>
      <c r="K147" s="82">
        <f>VLOOKUP($A147,Table4[],17,FALSE)</f>
        <v>0</v>
      </c>
      <c r="L147" s="82">
        <f>VLOOKUP($A147,Table4[],18,FALSE)</f>
        <v>0</v>
      </c>
      <c r="M147" s="82" t="str">
        <f>IF(VLOOKUP($A147,Table2[],8,FALSE)=0,"",VLOOKUP($A147,Table2[],8,FALSE))</f>
        <v xml:space="preserve">Community </v>
      </c>
      <c r="N147" s="82">
        <f>VLOOKUP($A147,Table2[],14,FALSE)</f>
        <v>0</v>
      </c>
      <c r="O147" s="82" t="str">
        <f>IF(VLOOKUP($A147,Table2[],15,FALSE)=0,"",VLOOKUP($A147,Table2[],15,FALSE))</f>
        <v>Individual On-Site</v>
      </c>
      <c r="P147" s="82" t="str">
        <f>IF(VLOOKUP($A147,Table2[],16,FALSE)=0,"",VLOOKUP($A147,Table2[],16,FALSE))</f>
        <v>WW-1-3206</v>
      </c>
      <c r="Q147" s="83" t="str">
        <f>IF(ISNA(VLOOKUP($A147,Table3[],6,FALSE)),"None",VLOOKUP($A147,Table3[],6,FALSE))</f>
        <v>None</v>
      </c>
      <c r="R147" s="83" t="str">
        <f>IF(ISNA(VLOOKUP($A147,Table3[],7,FALSE)),"Unknown",VLOOKUP($A147,Table3[],7,FALSE))</f>
        <v>Unknown</v>
      </c>
      <c r="S147" s="83" t="str">
        <f>IF(ISNA(VLOOKUP($A147,Table3[],8,FALSE)),"None",VLOOKUP($A147,Table3[],8,FALSE))</f>
        <v>None</v>
      </c>
      <c r="T147" s="84" t="str">
        <f>IF(ISNA(VLOOKUP($A147,Table3[],13,FALSE)),"Unknown",VLOOKUP($A147,Table3[],13,FALSE))</f>
        <v>Unknown</v>
      </c>
      <c r="U147" s="85" t="str">
        <f>IF(ISNA(VLOOKUP($A147,Table3[],14,FALSE)),"Unknown",VLOOKUP($A147,Table3[],14,FALSE))</f>
        <v>Unknown</v>
      </c>
      <c r="V147" s="84">
        <f>IF(ISNA(VLOOKUP($A147,Table3[],21,FALSE)),0,VLOOKUP($A147,Table3[],21,FALSE))</f>
        <v>0</v>
      </c>
      <c r="W147" s="85">
        <f>IF(ISNA(VLOOKUP($A147,Table3[],22,FALSE)),0,VLOOKUP($A147,Table3[],22,FALSE))</f>
        <v>0</v>
      </c>
    </row>
    <row r="148" spans="1:23" s="73" customFormat="1" x14ac:dyDescent="0.25">
      <c r="A148" s="35">
        <v>135</v>
      </c>
      <c r="B148" s="138" t="str">
        <f>VLOOKUP(A148,Registry!$A$4:$AA$241,2,FALSE)</f>
        <v>Coburn Mobile Home Park</v>
      </c>
      <c r="C148" s="138" t="str">
        <f>VLOOKUP(A148,Registry!$A$4:$AA$241,3,FALSE)</f>
        <v>Rutland</v>
      </c>
      <c r="D148" s="138" t="str">
        <f>VLOOKUP(A148,Registry!$A$4:$AA$241,4,FALSE)</f>
        <v>Clarendon</v>
      </c>
      <c r="E148" s="138">
        <f>IF(VLOOKUP(A148,Registry!$A$4:$AA$241,7,FALSE)=0,"",VLOOKUP(A148,Registry!$A$4:$AA$241,7,FALSE))</f>
        <v>1960</v>
      </c>
      <c r="F148" s="138" t="str">
        <f>IF(VLOOKUP(A148,Registry!$A$4:$AA$241,20,FALSE)=0,"",VLOOKUP(A148,Registry!$A$4:$AA$241,20,FALSE))</f>
        <v>Non-profit</v>
      </c>
      <c r="G148" s="138">
        <f>VLOOKUP(A148,Registry!$A$4:$AA$241,21,FALSE)</f>
        <v>46</v>
      </c>
      <c r="H148" s="81">
        <f>VLOOKUP($A148,Table4[],36,FALSE)</f>
        <v>0.47826086956521741</v>
      </c>
      <c r="I148" s="129">
        <f>VLOOKUP($A148,Table4[],41,FALSE)</f>
        <v>6.78391959798995E-2</v>
      </c>
      <c r="J148" s="81">
        <f>VLOOKUP($A148,Table4[],30,FALSE)</f>
        <v>0.15217391304347827</v>
      </c>
      <c r="K148" s="82">
        <f>VLOOKUP($A148,Table4[],17,FALSE)</f>
        <v>-2</v>
      </c>
      <c r="L148" s="82">
        <f>VLOOKUP($A148,Table4[],18,FALSE)</f>
        <v>0</v>
      </c>
      <c r="M148" s="82" t="str">
        <f>IF(VLOOKUP($A148,Table2[],8,FALSE)=0,"",VLOOKUP($A148,Table2[],8,FALSE))</f>
        <v xml:space="preserve">Community </v>
      </c>
      <c r="N148" s="82">
        <f>VLOOKUP($A148,Table2[],14,FALSE)</f>
        <v>0</v>
      </c>
      <c r="O148" s="82" t="str">
        <f>IF(VLOOKUP($A148,Table2[],15,FALSE)=0,"",VLOOKUP($A148,Table2[],15,FALSE))</f>
        <v>Community On-Site</v>
      </c>
      <c r="P148" s="82" t="str">
        <f>IF(VLOOKUP($A148,Table2[],16,FALSE)=0,"",VLOOKUP($A148,Table2[],16,FALSE))</f>
        <v>ID-9-0221</v>
      </c>
      <c r="Q148" s="83" t="str">
        <f>IF(ISNA(VLOOKUP($A148,Table3[],6,FALSE)),"None",VLOOKUP($A148,Table3[],6,FALSE))</f>
        <v>None</v>
      </c>
      <c r="R148" s="83" t="str">
        <f>IF(ISNA(VLOOKUP($A148,Table3[],7,FALSE)),"Unknown",VLOOKUP($A148,Table3[],7,FALSE))</f>
        <v>Unknown</v>
      </c>
      <c r="S148" s="83" t="str">
        <f>IF(ISNA(VLOOKUP($A148,Table3[],8,FALSE)),"None",VLOOKUP($A148,Table3[],8,FALSE))</f>
        <v>None</v>
      </c>
      <c r="T148" s="84" t="str">
        <f>IF(ISNA(VLOOKUP($A148,Table3[],13,FALSE)),"Unknown",VLOOKUP($A148,Table3[],13,FALSE))</f>
        <v>Unknown</v>
      </c>
      <c r="U148" s="85" t="str">
        <f>IF(ISNA(VLOOKUP($A148,Table3[],14,FALSE)),"Unknown",VLOOKUP($A148,Table3[],14,FALSE))</f>
        <v>Unknown</v>
      </c>
      <c r="V148" s="84">
        <f>IF(ISNA(VLOOKUP($A148,Table3[],21,FALSE)),0,VLOOKUP($A148,Table3[],21,FALSE))</f>
        <v>0</v>
      </c>
      <c r="W148" s="85">
        <f>IF(ISNA(VLOOKUP($A148,Table3[],22,FALSE)),0,VLOOKUP($A148,Table3[],22,FALSE))</f>
        <v>0</v>
      </c>
    </row>
    <row r="149" spans="1:23" s="73" customFormat="1" x14ac:dyDescent="0.25">
      <c r="A149" s="35">
        <v>301</v>
      </c>
      <c r="B149" s="138" t="str">
        <f>VLOOKUP(A149,Registry!$A$4:$AA$241,2,FALSE)</f>
        <v>Iroquois Village</v>
      </c>
      <c r="C149" s="138" t="str">
        <f>VLOOKUP(A149,Registry!$A$4:$AA$241,3,FALSE)</f>
        <v>Rutland</v>
      </c>
      <c r="D149" s="138" t="str">
        <f>VLOOKUP(A149,Registry!$A$4:$AA$241,4,FALSE)</f>
        <v>Clarendon</v>
      </c>
      <c r="E149" s="138">
        <f>IF(VLOOKUP(A149,Registry!$A$4:$AA$241,7,FALSE)=0,"",VLOOKUP(A149,Registry!$A$4:$AA$241,7,FALSE))</f>
        <v>1986</v>
      </c>
      <c r="F149" s="138" t="str">
        <f>IF(VLOOKUP(A149,Registry!$A$4:$AA$241,20,FALSE)=0,"",VLOOKUP(A149,Registry!$A$4:$AA$241,20,FALSE))</f>
        <v>For profit</v>
      </c>
      <c r="G149" s="138">
        <f>VLOOKUP(A149,Registry!$A$4:$AA$241,21,FALSE)</f>
        <v>6</v>
      </c>
      <c r="H149" s="81">
        <f>VLOOKUP($A149,Table4[],36,FALSE)</f>
        <v>1</v>
      </c>
      <c r="I149" s="129">
        <f>VLOOKUP($A149,Table4[],41,FALSE)</f>
        <v>4.230769230769231E-2</v>
      </c>
      <c r="J149" s="81">
        <f>VLOOKUP($A149,Table4[],30,FALSE)</f>
        <v>0</v>
      </c>
      <c r="K149" s="82">
        <f>VLOOKUP($A149,Table4[],17,FALSE)</f>
        <v>0</v>
      </c>
      <c r="L149" s="82">
        <f>VLOOKUP($A149,Table4[],18,FALSE)</f>
        <v>0</v>
      </c>
      <c r="M149" s="82" t="str">
        <f>IF(VLOOKUP($A149,Table2[],8,FALSE)=0,"",VLOOKUP($A149,Table2[],8,FALSE))</f>
        <v>NTNC</v>
      </c>
      <c r="N149" s="82">
        <f>VLOOKUP($A149,Table2[],14,FALSE)</f>
        <v>2</v>
      </c>
      <c r="O149" s="82" t="str">
        <f>IF(VLOOKUP($A149,Table2[],15,FALSE)=0,"",VLOOKUP($A149,Table2[],15,FALSE))</f>
        <v>On-Site</v>
      </c>
      <c r="P149" s="82" t="str">
        <f>IF(VLOOKUP($A149,Table2[],16,FALSE)=0,"",VLOOKUP($A149,Table2[],16,FALSE))</f>
        <v>MH-1-0006</v>
      </c>
      <c r="Q149" s="83" t="str">
        <f>IF(ISNA(VLOOKUP($A149,Table3[],6,FALSE)),"None",VLOOKUP($A149,Table3[],6,FALSE))</f>
        <v>None</v>
      </c>
      <c r="R149" s="83" t="str">
        <f>IF(ISNA(VLOOKUP($A149,Table3[],7,FALSE)),"Unknown",VLOOKUP($A149,Table3[],7,FALSE))</f>
        <v>Unknown</v>
      </c>
      <c r="S149" s="83" t="str">
        <f>IF(ISNA(VLOOKUP($A149,Table3[],8,FALSE)),"None",VLOOKUP($A149,Table3[],8,FALSE))</f>
        <v>None</v>
      </c>
      <c r="T149" s="84" t="str">
        <f>IF(ISNA(VLOOKUP($A149,Table3[],13,FALSE)),"Unknown",VLOOKUP($A149,Table3[],13,FALSE))</f>
        <v>Unknown</v>
      </c>
      <c r="U149" s="85" t="str">
        <f>IF(ISNA(VLOOKUP($A149,Table3[],14,FALSE)),"Unknown",VLOOKUP($A149,Table3[],14,FALSE))</f>
        <v>Unknown</v>
      </c>
      <c r="V149" s="84">
        <f>IF(ISNA(VLOOKUP($A149,Table3[],21,FALSE)),0,VLOOKUP($A149,Table3[],21,FALSE))</f>
        <v>0</v>
      </c>
      <c r="W149" s="85">
        <f>IF(ISNA(VLOOKUP($A149,Table3[],22,FALSE)),0,VLOOKUP($A149,Table3[],22,FALSE))</f>
        <v>0</v>
      </c>
    </row>
    <row r="150" spans="1:23" s="73" customFormat="1" x14ac:dyDescent="0.25">
      <c r="A150" s="35">
        <v>302</v>
      </c>
      <c r="B150" s="138" t="str">
        <f>VLOOKUP(A150,Registry!$A$4:$AA$241,2,FALSE)</f>
        <v>Rabtoy MHP</v>
      </c>
      <c r="C150" s="138" t="str">
        <f>VLOOKUP(A150,Registry!$A$4:$AA$241,3,FALSE)</f>
        <v>Rutland</v>
      </c>
      <c r="D150" s="138" t="str">
        <f>VLOOKUP(A150,Registry!$A$4:$AA$241,4,FALSE)</f>
        <v>Clarendon</v>
      </c>
      <c r="E150" s="138">
        <f>IF(VLOOKUP(A150,Registry!$A$4:$AA$241,7,FALSE)=0,"",VLOOKUP(A150,Registry!$A$4:$AA$241,7,FALSE))</f>
        <v>1969</v>
      </c>
      <c r="F150" s="138" t="str">
        <f>IF(VLOOKUP(A150,Registry!$A$4:$AA$241,20,FALSE)=0,"",VLOOKUP(A150,Registry!$A$4:$AA$241,20,FALSE))</f>
        <v>For profit</v>
      </c>
      <c r="G150" s="138">
        <f>VLOOKUP(A150,Registry!$A$4:$AA$241,21,FALSE)</f>
        <v>9</v>
      </c>
      <c r="H150" s="81">
        <f>VLOOKUP($A150,Table4[],36,FALSE)</f>
        <v>0.88888888888888884</v>
      </c>
      <c r="I150" s="129">
        <f>VLOOKUP($A150,Table4[],41,FALSE)</f>
        <v>0.1125</v>
      </c>
      <c r="J150" s="81">
        <f>VLOOKUP($A150,Table4[],30,FALSE)</f>
        <v>0.22222222222222221</v>
      </c>
      <c r="K150" s="82">
        <f>VLOOKUP($A150,Table4[],17,FALSE)</f>
        <v>0</v>
      </c>
      <c r="L150" s="82">
        <f>VLOOKUP($A150,Table4[],18,FALSE)</f>
        <v>1</v>
      </c>
      <c r="M150" s="82" t="str">
        <f>IF(VLOOKUP($A150,Table2[],8,FALSE)=0,"",VLOOKUP($A150,Table2[],8,FALSE))</f>
        <v>Small-Scale (potable, &lt;25 users)</v>
      </c>
      <c r="N150" s="82">
        <f>VLOOKUP($A150,Table2[],14,FALSE)</f>
        <v>0</v>
      </c>
      <c r="O150" s="82" t="str">
        <f>IF(VLOOKUP($A150,Table2[],15,FALSE)=0,"",VLOOKUP($A150,Table2[],15,FALSE))</f>
        <v>On-Site</v>
      </c>
      <c r="P150" s="82" t="str">
        <f>IF(VLOOKUP($A150,Table2[],16,FALSE)=0,"",VLOOKUP($A150,Table2[],16,FALSE))</f>
        <v/>
      </c>
      <c r="Q150" s="83" t="str">
        <f>IF(ISNA(VLOOKUP($A150,Table3[],6,FALSE)),"None",VLOOKUP($A150,Table3[],6,FALSE))</f>
        <v>None</v>
      </c>
      <c r="R150" s="83" t="str">
        <f>IF(ISNA(VLOOKUP($A150,Table3[],7,FALSE)),"Unknown",VLOOKUP($A150,Table3[],7,FALSE))</f>
        <v>Unknown</v>
      </c>
      <c r="S150" s="83" t="str">
        <f>IF(ISNA(VLOOKUP($A150,Table3[],8,FALSE)),"None",VLOOKUP($A150,Table3[],8,FALSE))</f>
        <v>None</v>
      </c>
      <c r="T150" s="84" t="str">
        <f>IF(ISNA(VLOOKUP($A150,Table3[],13,FALSE)),"Unknown",VLOOKUP($A150,Table3[],13,FALSE))</f>
        <v>Unknown</v>
      </c>
      <c r="U150" s="85" t="str">
        <f>IF(ISNA(VLOOKUP($A150,Table3[],14,FALSE)),"Unknown",VLOOKUP($A150,Table3[],14,FALSE))</f>
        <v>Unknown</v>
      </c>
      <c r="V150" s="84">
        <f>IF(ISNA(VLOOKUP($A150,Table3[],21,FALSE)),0,VLOOKUP($A150,Table3[],21,FALSE))</f>
        <v>0</v>
      </c>
      <c r="W150" s="85">
        <f>IF(ISNA(VLOOKUP($A150,Table3[],22,FALSE)),0,VLOOKUP($A150,Table3[],22,FALSE))</f>
        <v>0</v>
      </c>
    </row>
    <row r="151" spans="1:23" s="73" customFormat="1" x14ac:dyDescent="0.25">
      <c r="A151" s="35">
        <v>318</v>
      </c>
      <c r="B151" s="138" t="str">
        <f>VLOOKUP(A151,Registry!$A$4:$AA$241,2,FALSE)</f>
        <v>Depot Street Fair Haven MHP</v>
      </c>
      <c r="C151" s="138" t="str">
        <f>VLOOKUP(A151,Registry!$A$4:$AA$241,3,FALSE)</f>
        <v>Rutland</v>
      </c>
      <c r="D151" s="138" t="str">
        <f>VLOOKUP(A151,Registry!$A$4:$AA$241,4,FALSE)</f>
        <v>Fair Haven</v>
      </c>
      <c r="E151" s="138">
        <f>IF(VLOOKUP(A151,Registry!$A$4:$AA$241,7,FALSE)=0,"",VLOOKUP(A151,Registry!$A$4:$AA$241,7,FALSE))</f>
        <v>1993</v>
      </c>
      <c r="F151" s="138" t="str">
        <f>IF(VLOOKUP(A151,Registry!$A$4:$AA$241,20,FALSE)=0,"",VLOOKUP(A151,Registry!$A$4:$AA$241,20,FALSE))</f>
        <v>For profit</v>
      </c>
      <c r="G151" s="138">
        <f>VLOOKUP(A151,Registry!$A$4:$AA$241,21,FALSE)</f>
        <v>3</v>
      </c>
      <c r="H151" s="81">
        <f>VLOOKUP($A151,Table4[],36,FALSE)</f>
        <v>1</v>
      </c>
      <c r="I151" s="129">
        <f>VLOOKUP($A151,Table4[],41,FALSE)</f>
        <v>0</v>
      </c>
      <c r="J151" s="81">
        <f>VLOOKUP($A151,Table4[],30,FALSE)</f>
        <v>0</v>
      </c>
      <c r="K151" s="82">
        <f>VLOOKUP($A151,Table4[],17,FALSE)</f>
        <v>0</v>
      </c>
      <c r="L151" s="82">
        <f>VLOOKUP($A151,Table4[],18,FALSE)</f>
        <v>0</v>
      </c>
      <c r="M151" s="82" t="str">
        <f>IF(VLOOKUP($A151,Table2[],8,FALSE)=0,"",VLOOKUP($A151,Table2[],8,FALSE))</f>
        <v>Municipal</v>
      </c>
      <c r="N151" s="82">
        <f>VLOOKUP($A151,Table2[],14,FALSE)</f>
        <v>0</v>
      </c>
      <c r="O151" s="82" t="str">
        <f>IF(VLOOKUP($A151,Table2[],15,FALSE)=0,"",VLOOKUP($A151,Table2[],15,FALSE))</f>
        <v>Municipal</v>
      </c>
      <c r="P151" s="82" t="str">
        <f>IF(VLOOKUP($A151,Table2[],16,FALSE)=0,"",VLOOKUP($A151,Table2[],16,FALSE))</f>
        <v/>
      </c>
      <c r="Q151" s="83" t="str">
        <f>IF(ISNA(VLOOKUP($A151,Table3[],6,FALSE)),"None",VLOOKUP($A151,Table3[],6,FALSE))</f>
        <v>None</v>
      </c>
      <c r="R151" s="83" t="str">
        <f>IF(ISNA(VLOOKUP($A151,Table3[],7,FALSE)),"Unknown",VLOOKUP($A151,Table3[],7,FALSE))</f>
        <v>Unknown</v>
      </c>
      <c r="S151" s="83" t="str">
        <f>IF(ISNA(VLOOKUP($A151,Table3[],8,FALSE)),"None",VLOOKUP($A151,Table3[],8,FALSE))</f>
        <v>None</v>
      </c>
      <c r="T151" s="84" t="str">
        <f>IF(ISNA(VLOOKUP($A151,Table3[],13,FALSE)),"Unknown",VLOOKUP($A151,Table3[],13,FALSE))</f>
        <v>Unknown</v>
      </c>
      <c r="U151" s="85" t="str">
        <f>IF(ISNA(VLOOKUP($A151,Table3[],14,FALSE)),"Unknown",VLOOKUP($A151,Table3[],14,FALSE))</f>
        <v>Unknown</v>
      </c>
      <c r="V151" s="84">
        <f>IF(ISNA(VLOOKUP($A151,Table3[],21,FALSE)),0,VLOOKUP($A151,Table3[],21,FALSE))</f>
        <v>0</v>
      </c>
      <c r="W151" s="85">
        <f>IF(ISNA(VLOOKUP($A151,Table3[],22,FALSE)),0,VLOOKUP($A151,Table3[],22,FALSE))</f>
        <v>0</v>
      </c>
    </row>
    <row r="152" spans="1:23" s="73" customFormat="1" x14ac:dyDescent="0.25">
      <c r="A152" s="35">
        <v>259</v>
      </c>
      <c r="B152" s="138" t="str">
        <f>VLOOKUP(A152,Registry!$A$4:$AA$241,2,FALSE)</f>
        <v>Green Mountain Mobile Manor</v>
      </c>
      <c r="C152" s="138" t="str">
        <f>VLOOKUP(A152,Registry!$A$4:$AA$241,3,FALSE)</f>
        <v>Rutland</v>
      </c>
      <c r="D152" s="138" t="str">
        <f>VLOOKUP(A152,Registry!$A$4:$AA$241,4,FALSE)</f>
        <v>Fair Haven</v>
      </c>
      <c r="E152" s="138">
        <f>IF(VLOOKUP(A152,Registry!$A$4:$AA$241,7,FALSE)=0,"",VLOOKUP(A152,Registry!$A$4:$AA$241,7,FALSE))</f>
        <v>1960</v>
      </c>
      <c r="F152" s="138" t="str">
        <f>IF(VLOOKUP(A152,Registry!$A$4:$AA$241,20,FALSE)=0,"",VLOOKUP(A152,Registry!$A$4:$AA$241,20,FALSE))</f>
        <v>For profit</v>
      </c>
      <c r="G152" s="138">
        <f>VLOOKUP(A152,Registry!$A$4:$AA$241,21,FALSE)</f>
        <v>20</v>
      </c>
      <c r="H152" s="81">
        <f>VLOOKUP($A152,Table4[],36,FALSE)</f>
        <v>0.6</v>
      </c>
      <c r="I152" s="129">
        <f>VLOOKUP($A152,Table4[],41,FALSE)</f>
        <v>0</v>
      </c>
      <c r="J152" s="81">
        <f>VLOOKUP($A152,Table4[],30,FALSE)</f>
        <v>0</v>
      </c>
      <c r="K152" s="82">
        <f>VLOOKUP($A152,Table4[],17,FALSE)</f>
        <v>0</v>
      </c>
      <c r="L152" s="82">
        <f>VLOOKUP($A152,Table4[],18,FALSE)</f>
        <v>0</v>
      </c>
      <c r="M152" s="82" t="str">
        <f>IF(VLOOKUP($A152,Table2[],8,FALSE)=0,"",VLOOKUP($A152,Table2[],8,FALSE))</f>
        <v>Municipal</v>
      </c>
      <c r="N152" s="82">
        <f>VLOOKUP($A152,Table2[],14,FALSE)</f>
        <v>0</v>
      </c>
      <c r="O152" s="82" t="str">
        <f>IF(VLOOKUP($A152,Table2[],15,FALSE)=0,"",VLOOKUP($A152,Table2[],15,FALSE))</f>
        <v>Municipal</v>
      </c>
      <c r="P152" s="82" t="str">
        <f>IF(VLOOKUP($A152,Table2[],16,FALSE)=0,"",VLOOKUP($A152,Table2[],16,FALSE))</f>
        <v>WW-1-1818</v>
      </c>
      <c r="Q152" s="83" t="str">
        <f>IF(ISNA(VLOOKUP($A152,Table3[],6,FALSE)),"None",VLOOKUP($A152,Table3[],6,FALSE))</f>
        <v>None</v>
      </c>
      <c r="R152" s="83" t="str">
        <f>IF(ISNA(VLOOKUP($A152,Table3[],7,FALSE)),"Unknown",VLOOKUP($A152,Table3[],7,FALSE))</f>
        <v>Unknown</v>
      </c>
      <c r="S152" s="83" t="str">
        <f>IF(ISNA(VLOOKUP($A152,Table3[],8,FALSE)),"None",VLOOKUP($A152,Table3[],8,FALSE))</f>
        <v>None</v>
      </c>
      <c r="T152" s="84" t="str">
        <f>IF(ISNA(VLOOKUP($A152,Table3[],13,FALSE)),"Unknown",VLOOKUP($A152,Table3[],13,FALSE))</f>
        <v>Unknown</v>
      </c>
      <c r="U152" s="85" t="str">
        <f>IF(ISNA(VLOOKUP($A152,Table3[],14,FALSE)),"Unknown",VLOOKUP($A152,Table3[],14,FALSE))</f>
        <v>Unknown</v>
      </c>
      <c r="V152" s="84">
        <f>IF(ISNA(VLOOKUP($A152,Table3[],21,FALSE)),0,VLOOKUP($A152,Table3[],21,FALSE))</f>
        <v>0</v>
      </c>
      <c r="W152" s="85">
        <f>IF(ISNA(VLOOKUP($A152,Table3[],22,FALSE)),0,VLOOKUP($A152,Table3[],22,FALSE))</f>
        <v>0</v>
      </c>
    </row>
    <row r="153" spans="1:23" s="73" customFormat="1" x14ac:dyDescent="0.25">
      <c r="A153" s="35">
        <v>149</v>
      </c>
      <c r="B153" s="138" t="str">
        <f>VLOOKUP(A153,Registry!$A$4:$AA$241,2,FALSE)</f>
        <v>Haven Meadows</v>
      </c>
      <c r="C153" s="138" t="str">
        <f>VLOOKUP(A153,Registry!$A$4:$AA$241,3,FALSE)</f>
        <v>Rutland</v>
      </c>
      <c r="D153" s="138" t="str">
        <f>VLOOKUP(A153,Registry!$A$4:$AA$241,4,FALSE)</f>
        <v>Fair Haven</v>
      </c>
      <c r="E153" s="138">
        <f>IF(VLOOKUP(A153,Registry!$A$4:$AA$241,7,FALSE)=0,"",VLOOKUP(A153,Registry!$A$4:$AA$241,7,FALSE))</f>
        <v>1970</v>
      </c>
      <c r="F153" s="138" t="str">
        <f>IF(VLOOKUP(A153,Registry!$A$4:$AA$241,20,FALSE)=0,"",VLOOKUP(A153,Registry!$A$4:$AA$241,20,FALSE))</f>
        <v>Non-profit</v>
      </c>
      <c r="G153" s="138">
        <f>VLOOKUP(A153,Registry!$A$4:$AA$241,21,FALSE)</f>
        <v>18</v>
      </c>
      <c r="H153" s="81">
        <f>VLOOKUP($A153,Table4[],36,FALSE)</f>
        <v>0.88888888888888884</v>
      </c>
      <c r="I153" s="129">
        <f>VLOOKUP($A153,Table4[],41,FALSE)</f>
        <v>5.2631578947368418E-2</v>
      </c>
      <c r="J153" s="81">
        <f>VLOOKUP($A153,Table4[],30,FALSE)</f>
        <v>-5.5555555555555552E-2</v>
      </c>
      <c r="K153" s="82">
        <f>VLOOKUP($A153,Table4[],17,FALSE)</f>
        <v>0</v>
      </c>
      <c r="L153" s="82">
        <f>VLOOKUP($A153,Table4[],18,FALSE)</f>
        <v>0</v>
      </c>
      <c r="M153" s="82" t="str">
        <f>IF(VLOOKUP($A153,Table2[],8,FALSE)=0,"",VLOOKUP($A153,Table2[],8,FALSE))</f>
        <v>Municipal</v>
      </c>
      <c r="N153" s="82">
        <f>VLOOKUP($A153,Table2[],14,FALSE)</f>
        <v>0</v>
      </c>
      <c r="O153" s="82" t="str">
        <f>IF(VLOOKUP($A153,Table2[],15,FALSE)=0,"",VLOOKUP($A153,Table2[],15,FALSE))</f>
        <v>Municipal</v>
      </c>
      <c r="P153" s="82" t="str">
        <f>IF(VLOOKUP($A153,Table2[],16,FALSE)=0,"",VLOOKUP($A153,Table2[],16,FALSE))</f>
        <v>MH-1-0014</v>
      </c>
      <c r="Q153" s="83" t="str">
        <f>IF(ISNA(VLOOKUP($A153,Table3[],6,FALSE)),"None",VLOOKUP($A153,Table3[],6,FALSE))</f>
        <v>None</v>
      </c>
      <c r="R153" s="83" t="str">
        <f>IF(ISNA(VLOOKUP($A153,Table3[],7,FALSE)),"Unknown",VLOOKUP($A153,Table3[],7,FALSE))</f>
        <v>Unknown</v>
      </c>
      <c r="S153" s="83" t="str">
        <f>IF(ISNA(VLOOKUP($A153,Table3[],8,FALSE)),"None",VLOOKUP($A153,Table3[],8,FALSE))</f>
        <v>None</v>
      </c>
      <c r="T153" s="84" t="str">
        <f>IF(ISNA(VLOOKUP($A153,Table3[],13,FALSE)),"Unknown",VLOOKUP($A153,Table3[],13,FALSE))</f>
        <v>Unknown</v>
      </c>
      <c r="U153" s="85" t="str">
        <f>IF(ISNA(VLOOKUP($A153,Table3[],14,FALSE)),"Unknown",VLOOKUP($A153,Table3[],14,FALSE))</f>
        <v>Unknown</v>
      </c>
      <c r="V153" s="84">
        <f>IF(ISNA(VLOOKUP($A153,Table3[],21,FALSE)),0,VLOOKUP($A153,Table3[],21,FALSE))</f>
        <v>0</v>
      </c>
      <c r="W153" s="85">
        <f>IF(ISNA(VLOOKUP($A153,Table3[],22,FALSE)),0,VLOOKUP($A153,Table3[],22,FALSE))</f>
        <v>0</v>
      </c>
    </row>
    <row r="154" spans="1:23" s="73" customFormat="1" x14ac:dyDescent="0.25">
      <c r="A154" s="35">
        <v>288</v>
      </c>
      <c r="B154" s="138" t="str">
        <f>VLOOKUP(A154,Registry!$A$4:$AA$241,2,FALSE)</f>
        <v>Phelps Family Park</v>
      </c>
      <c r="C154" s="138" t="str">
        <f>VLOOKUP(A154,Registry!$A$4:$AA$241,3,FALSE)</f>
        <v>Rutland</v>
      </c>
      <c r="D154" s="138" t="str">
        <f>VLOOKUP(A154,Registry!$A$4:$AA$241,4,FALSE)</f>
        <v>Pittsford</v>
      </c>
      <c r="E154" s="138">
        <f>IF(VLOOKUP(A154,Registry!$A$4:$AA$241,7,FALSE)=0,"",VLOOKUP(A154,Registry!$A$4:$AA$241,7,FALSE))</f>
        <v>1993</v>
      </c>
      <c r="F154" s="138" t="str">
        <f>IF(VLOOKUP(A154,Registry!$A$4:$AA$241,20,FALSE)=0,"",VLOOKUP(A154,Registry!$A$4:$AA$241,20,FALSE))</f>
        <v>For profit</v>
      </c>
      <c r="G154" s="138">
        <f>VLOOKUP(A154,Registry!$A$4:$AA$241,21,FALSE)</f>
        <v>4</v>
      </c>
      <c r="H154" s="81">
        <f>VLOOKUP($A154,Table4[],36,FALSE)</f>
        <v>1</v>
      </c>
      <c r="I154" s="129">
        <f>VLOOKUP($A154,Table4[],41,FALSE)</f>
        <v>3.5897435897435895E-2</v>
      </c>
      <c r="J154" s="81">
        <f>VLOOKUP($A154,Table4[],30,FALSE)</f>
        <v>0</v>
      </c>
      <c r="K154" s="82">
        <f>VLOOKUP($A154,Table4[],17,FALSE)</f>
        <v>0</v>
      </c>
      <c r="L154" s="82">
        <f>VLOOKUP($A154,Table4[],18,FALSE)</f>
        <v>0</v>
      </c>
      <c r="M154" s="82" t="str">
        <f>IF(VLOOKUP($A154,Table2[],8,FALSE)=0,"",VLOOKUP($A154,Table2[],8,FALSE))</f>
        <v>Small-Scale (potable, &lt;25 users)</v>
      </c>
      <c r="N154" s="82">
        <f>VLOOKUP($A154,Table2[],14,FALSE)</f>
        <v>0</v>
      </c>
      <c r="O154" s="82" t="str">
        <f>IF(VLOOKUP($A154,Table2[],15,FALSE)=0,"",VLOOKUP($A154,Table2[],15,FALSE))</f>
        <v>Community On-Site</v>
      </c>
      <c r="P154" s="82" t="str">
        <f>IF(VLOOKUP($A154,Table2[],16,FALSE)=0,"",VLOOKUP($A154,Table2[],16,FALSE))</f>
        <v/>
      </c>
      <c r="Q154" s="83" t="str">
        <f>IF(ISNA(VLOOKUP($A154,Table3[],6,FALSE)),"None",VLOOKUP($A154,Table3[],6,FALSE))</f>
        <v>None</v>
      </c>
      <c r="R154" s="83" t="str">
        <f>IF(ISNA(VLOOKUP($A154,Table3[],7,FALSE)),"Unknown",VLOOKUP($A154,Table3[],7,FALSE))</f>
        <v>Unknown</v>
      </c>
      <c r="S154" s="83" t="str">
        <f>IF(ISNA(VLOOKUP($A154,Table3[],8,FALSE)),"None",VLOOKUP($A154,Table3[],8,FALSE))</f>
        <v>None</v>
      </c>
      <c r="T154" s="84" t="str">
        <f>IF(ISNA(VLOOKUP($A154,Table3[],13,FALSE)),"Unknown",VLOOKUP($A154,Table3[],13,FALSE))</f>
        <v>Unknown</v>
      </c>
      <c r="U154" s="85" t="str">
        <f>IF(ISNA(VLOOKUP($A154,Table3[],14,FALSE)),"Unknown",VLOOKUP($A154,Table3[],14,FALSE))</f>
        <v>Unknown</v>
      </c>
      <c r="V154" s="84">
        <f>IF(ISNA(VLOOKUP($A154,Table3[],21,FALSE)),0,VLOOKUP($A154,Table3[],21,FALSE))</f>
        <v>0</v>
      </c>
      <c r="W154" s="85">
        <f>IF(ISNA(VLOOKUP($A154,Table3[],22,FALSE)),0,VLOOKUP($A154,Table3[],22,FALSE))</f>
        <v>0</v>
      </c>
    </row>
    <row r="155" spans="1:23" s="73" customFormat="1" x14ac:dyDescent="0.25">
      <c r="A155" s="35">
        <v>184</v>
      </c>
      <c r="B155" s="138" t="str">
        <f>VLOOKUP(A155,Registry!$A$4:$AA$241,2,FALSE)</f>
        <v>Lennox Mobile Home Park</v>
      </c>
      <c r="C155" s="138" t="str">
        <f>VLOOKUP(A155,Registry!$A$4:$AA$241,3,FALSE)</f>
        <v>Rutland</v>
      </c>
      <c r="D155" s="138" t="str">
        <f>VLOOKUP(A155,Registry!$A$4:$AA$241,4,FALSE)</f>
        <v>Poultney</v>
      </c>
      <c r="E155" s="138">
        <f>IF(VLOOKUP(A155,Registry!$A$4:$AA$241,7,FALSE)=0,"",VLOOKUP(A155,Registry!$A$4:$AA$241,7,FALSE))</f>
        <v>1967</v>
      </c>
      <c r="F155" s="138" t="str">
        <f>IF(VLOOKUP(A155,Registry!$A$4:$AA$241,20,FALSE)=0,"",VLOOKUP(A155,Registry!$A$4:$AA$241,20,FALSE))</f>
        <v>For profit</v>
      </c>
      <c r="G155" s="138">
        <f>VLOOKUP(A155,Registry!$A$4:$AA$241,21,FALSE)</f>
        <v>14</v>
      </c>
      <c r="H155" s="81">
        <f>VLOOKUP($A155,Table4[],36,FALSE)</f>
        <v>7.1428571428571425E-2</v>
      </c>
      <c r="I155" s="129">
        <f>VLOOKUP($A155,Table4[],41,FALSE)</f>
        <v>0</v>
      </c>
      <c r="J155" s="81">
        <f>VLOOKUP($A155,Table4[],30,FALSE)</f>
        <v>7.1428571428571425E-2</v>
      </c>
      <c r="K155" s="82">
        <f>VLOOKUP($A155,Table4[],17,FALSE)</f>
        <v>-1</v>
      </c>
      <c r="L155" s="82">
        <f>VLOOKUP($A155,Table4[],18,FALSE)</f>
        <v>0</v>
      </c>
      <c r="M155" s="82" t="str">
        <f>IF(VLOOKUP($A155,Table2[],8,FALSE)=0,"",VLOOKUP($A155,Table2[],8,FALSE))</f>
        <v/>
      </c>
      <c r="N155" s="82">
        <f>VLOOKUP($A155,Table2[],14,FALSE)</f>
        <v>0</v>
      </c>
      <c r="O155" s="82" t="str">
        <f>IF(VLOOKUP($A155,Table2[],15,FALSE)=0,"",VLOOKUP($A155,Table2[],15,FALSE))</f>
        <v>Community On-Site</v>
      </c>
      <c r="P155" s="82" t="str">
        <f>IF(VLOOKUP($A155,Table2[],16,FALSE)=0,"",VLOOKUP($A155,Table2[],16,FALSE))</f>
        <v/>
      </c>
      <c r="Q155" s="83" t="str">
        <f>IF(ISNA(VLOOKUP($A155,Table3[],6,FALSE)),"None",VLOOKUP($A155,Table3[],6,FALSE))</f>
        <v>None</v>
      </c>
      <c r="R155" s="83" t="str">
        <f>IF(ISNA(VLOOKUP($A155,Table3[],7,FALSE)),"Unknown",VLOOKUP($A155,Table3[],7,FALSE))</f>
        <v>Unknown</v>
      </c>
      <c r="S155" s="83" t="str">
        <f>IF(ISNA(VLOOKUP($A155,Table3[],8,FALSE)),"None",VLOOKUP($A155,Table3[],8,FALSE))</f>
        <v>None</v>
      </c>
      <c r="T155" s="84" t="str">
        <f>IF(ISNA(VLOOKUP($A155,Table3[],13,FALSE)),"Unknown",VLOOKUP($A155,Table3[],13,FALSE))</f>
        <v>Unknown</v>
      </c>
      <c r="U155" s="85" t="str">
        <f>IF(ISNA(VLOOKUP($A155,Table3[],14,FALSE)),"Unknown",VLOOKUP($A155,Table3[],14,FALSE))</f>
        <v>Unknown</v>
      </c>
      <c r="V155" s="84">
        <f>IF(ISNA(VLOOKUP($A155,Table3[],21,FALSE)),0,VLOOKUP($A155,Table3[],21,FALSE))</f>
        <v>0</v>
      </c>
      <c r="W155" s="85">
        <f>IF(ISNA(VLOOKUP($A155,Table3[],22,FALSE)),0,VLOOKUP($A155,Table3[],22,FALSE))</f>
        <v>0</v>
      </c>
    </row>
    <row r="156" spans="1:23" s="73" customFormat="1" x14ac:dyDescent="0.25">
      <c r="A156" s="35">
        <v>228</v>
      </c>
      <c r="B156" s="138" t="str">
        <f>VLOOKUP(A156,Registry!$A$4:$AA$241,2,FALSE)</f>
        <v>Allen Street Mobile Home Park</v>
      </c>
      <c r="C156" s="138" t="str">
        <f>VLOOKUP(A156,Registry!$A$4:$AA$241,3,FALSE)</f>
        <v>Rutland</v>
      </c>
      <c r="D156" s="138" t="str">
        <f>VLOOKUP(A156,Registry!$A$4:$AA$241,4,FALSE)</f>
        <v>Rutland</v>
      </c>
      <c r="E156" s="138">
        <f>IF(VLOOKUP(A156,Registry!$A$4:$AA$241,7,FALSE)=0,"",VLOOKUP(A156,Registry!$A$4:$AA$241,7,FALSE))</f>
        <v>1971</v>
      </c>
      <c r="F156" s="138" t="str">
        <f>IF(VLOOKUP(A156,Registry!$A$4:$AA$241,20,FALSE)=0,"",VLOOKUP(A156,Registry!$A$4:$AA$241,20,FALSE))</f>
        <v>For profit</v>
      </c>
      <c r="G156" s="138">
        <f>VLOOKUP(A156,Registry!$A$4:$AA$241,21,FALSE)</f>
        <v>18</v>
      </c>
      <c r="H156" s="81">
        <f>VLOOKUP($A156,Table4[],36,FALSE)</f>
        <v>1</v>
      </c>
      <c r="I156" s="129">
        <f>VLOOKUP($A156,Table4[],41,FALSE)</f>
        <v>0.11455108359133127</v>
      </c>
      <c r="J156" s="81">
        <f>VLOOKUP($A156,Table4[],30,FALSE)</f>
        <v>0</v>
      </c>
      <c r="K156" s="82">
        <f>VLOOKUP($A156,Table4[],17,FALSE)</f>
        <v>0</v>
      </c>
      <c r="L156" s="82">
        <f>VLOOKUP($A156,Table4[],18,FALSE)</f>
        <v>0</v>
      </c>
      <c r="M156" s="82" t="str">
        <f>IF(VLOOKUP($A156,Table2[],8,FALSE)=0,"",VLOOKUP($A156,Table2[],8,FALSE))</f>
        <v>Municipal</v>
      </c>
      <c r="N156" s="82">
        <f>VLOOKUP($A156,Table2[],14,FALSE)</f>
        <v>0</v>
      </c>
      <c r="O156" s="82" t="str">
        <f>IF(VLOOKUP($A156,Table2[],15,FALSE)=0,"",VLOOKUP($A156,Table2[],15,FALSE))</f>
        <v>Municipal</v>
      </c>
      <c r="P156" s="82" t="str">
        <f>IF(VLOOKUP($A156,Table2[],16,FALSE)=0,"",VLOOKUP($A156,Table2[],16,FALSE))</f>
        <v/>
      </c>
      <c r="Q156" s="83" t="str">
        <f>IF(ISNA(VLOOKUP($A156,Table3[],6,FALSE)),"None",VLOOKUP($A156,Table3[],6,FALSE))</f>
        <v>500 Year Flood Plain</v>
      </c>
      <c r="R156" s="83" t="str">
        <f>IF(ISNA(VLOOKUP($A156,Table3[],7,FALSE)),"Unknown",VLOOKUP($A156,Table3[],7,FALSE))</f>
        <v>None</v>
      </c>
      <c r="S156" s="83" t="str">
        <f>IF(ISNA(VLOOKUP($A156,Table3[],8,FALSE)),"None",VLOOKUP($A156,Table3[],8,FALSE))</f>
        <v>500 Year Flood Plain</v>
      </c>
      <c r="T156" s="84">
        <f>IF(ISNA(VLOOKUP($A156,Table3[],13,FALSE)),"Unknown",VLOOKUP($A156,Table3[],13,FALSE))</f>
        <v>0</v>
      </c>
      <c r="U156" s="85">
        <f>IF(ISNA(VLOOKUP($A156,Table3[],14,FALSE)),"Unknown",VLOOKUP($A156,Table3[],14,FALSE))</f>
        <v>0</v>
      </c>
      <c r="V156" s="84">
        <f>IF(ISNA(VLOOKUP($A156,Table3[],21,FALSE)),0,VLOOKUP($A156,Table3[],21,FALSE))</f>
        <v>1</v>
      </c>
      <c r="W156" s="85">
        <f>IF(ISNA(VLOOKUP($A156,Table3[],22,FALSE)),0,VLOOKUP($A156,Table3[],22,FALSE))</f>
        <v>5.5555555555555552E-2</v>
      </c>
    </row>
    <row r="157" spans="1:23" s="73" customFormat="1" x14ac:dyDescent="0.25">
      <c r="A157" s="35">
        <v>212</v>
      </c>
      <c r="B157" s="138" t="str">
        <f>VLOOKUP(A157,Registry!$A$4:$AA$241,2,FALSE)</f>
        <v>Billings Mobile Manor</v>
      </c>
      <c r="C157" s="138" t="str">
        <f>VLOOKUP(A157,Registry!$A$4:$AA$241,3,FALSE)</f>
        <v>Rutland</v>
      </c>
      <c r="D157" s="138" t="str">
        <f>VLOOKUP(A157,Registry!$A$4:$AA$241,4,FALSE)</f>
        <v>Rutland</v>
      </c>
      <c r="E157" s="138">
        <f>IF(VLOOKUP(A157,Registry!$A$4:$AA$241,7,FALSE)=0,"",VLOOKUP(A157,Registry!$A$4:$AA$241,7,FALSE))</f>
        <v>1964</v>
      </c>
      <c r="F157" s="138" t="str">
        <f>IF(VLOOKUP(A157,Registry!$A$4:$AA$241,20,FALSE)=0,"",VLOOKUP(A157,Registry!$A$4:$AA$241,20,FALSE))</f>
        <v>For profit</v>
      </c>
      <c r="G157" s="138">
        <f>VLOOKUP(A157,Registry!$A$4:$AA$241,21,FALSE)</f>
        <v>36</v>
      </c>
      <c r="H157" s="81">
        <f>VLOOKUP($A157,Table4[],36,FALSE)</f>
        <v>0.94444444444444442</v>
      </c>
      <c r="I157" s="129">
        <f>VLOOKUP($A157,Table4[],41,FALSE)</f>
        <v>8.6294416243654817E-2</v>
      </c>
      <c r="J157" s="81">
        <f>VLOOKUP($A157,Table4[],30,FALSE)</f>
        <v>0</v>
      </c>
      <c r="K157" s="82">
        <f>VLOOKUP($A157,Table4[],17,FALSE)</f>
        <v>-1</v>
      </c>
      <c r="L157" s="82">
        <f>VLOOKUP($A157,Table4[],18,FALSE)</f>
        <v>0</v>
      </c>
      <c r="M157" s="82" t="str">
        <f>IF(VLOOKUP($A157,Table2[],8,FALSE)=0,"",VLOOKUP($A157,Table2[],8,FALSE))</f>
        <v>Municipal</v>
      </c>
      <c r="N157" s="82">
        <f>VLOOKUP($A157,Table2[],14,FALSE)</f>
        <v>0</v>
      </c>
      <c r="O157" s="82" t="str">
        <f>IF(VLOOKUP($A157,Table2[],15,FALSE)=0,"",VLOOKUP($A157,Table2[],15,FALSE))</f>
        <v>Municipal</v>
      </c>
      <c r="P157" s="82" t="str">
        <f>IF(VLOOKUP($A157,Table2[],16,FALSE)=0,"",VLOOKUP($A157,Table2[],16,FALSE))</f>
        <v/>
      </c>
      <c r="Q157" s="83" t="str">
        <f>IF(ISNA(VLOOKUP($A157,Table3[],6,FALSE)),"None",VLOOKUP($A157,Table3[],6,FALSE))</f>
        <v>None</v>
      </c>
      <c r="R157" s="83" t="str">
        <f>IF(ISNA(VLOOKUP($A157,Table3[],7,FALSE)),"Unknown",VLOOKUP($A157,Table3[],7,FALSE))</f>
        <v>Unknown</v>
      </c>
      <c r="S157" s="83" t="str">
        <f>IF(ISNA(VLOOKUP($A157,Table3[],8,FALSE)),"None",VLOOKUP($A157,Table3[],8,FALSE))</f>
        <v>None</v>
      </c>
      <c r="T157" s="84" t="str">
        <f>IF(ISNA(VLOOKUP($A157,Table3[],13,FALSE)),"Unknown",VLOOKUP($A157,Table3[],13,FALSE))</f>
        <v>Unknown</v>
      </c>
      <c r="U157" s="85" t="str">
        <f>IF(ISNA(VLOOKUP($A157,Table3[],14,FALSE)),"Unknown",VLOOKUP($A157,Table3[],14,FALSE))</f>
        <v>Unknown</v>
      </c>
      <c r="V157" s="84">
        <f>IF(ISNA(VLOOKUP($A157,Table3[],21,FALSE)),0,VLOOKUP($A157,Table3[],21,FALSE))</f>
        <v>0</v>
      </c>
      <c r="W157" s="85">
        <f>IF(ISNA(VLOOKUP($A157,Table3[],22,FALSE)),0,VLOOKUP($A157,Table3[],22,FALSE))</f>
        <v>0</v>
      </c>
    </row>
    <row r="158" spans="1:23" s="73" customFormat="1" x14ac:dyDescent="0.25">
      <c r="A158" s="35">
        <v>207</v>
      </c>
      <c r="B158" s="138" t="str">
        <f>VLOOKUP(A158,Registry!$A$4:$AA$241,2,FALSE)</f>
        <v>Brookside Mobile Home Park</v>
      </c>
      <c r="C158" s="138" t="str">
        <f>VLOOKUP(A158,Registry!$A$4:$AA$241,3,FALSE)</f>
        <v>Rutland</v>
      </c>
      <c r="D158" s="138" t="str">
        <f>VLOOKUP(A158,Registry!$A$4:$AA$241,4,FALSE)</f>
        <v>Rutland</v>
      </c>
      <c r="E158" s="138">
        <f>IF(VLOOKUP(A158,Registry!$A$4:$AA$241,7,FALSE)=0,"",VLOOKUP(A158,Registry!$A$4:$AA$241,7,FALSE))</f>
        <v>1978</v>
      </c>
      <c r="F158" s="138" t="str">
        <f>IF(VLOOKUP(A158,Registry!$A$4:$AA$241,20,FALSE)=0,"",VLOOKUP(A158,Registry!$A$4:$AA$241,20,FALSE))</f>
        <v>For profit</v>
      </c>
      <c r="G158" s="138">
        <f>VLOOKUP(A158,Registry!$A$4:$AA$241,21,FALSE)</f>
        <v>26</v>
      </c>
      <c r="H158" s="81">
        <f>VLOOKUP($A158,Table4[],36,FALSE)</f>
        <v>1</v>
      </c>
      <c r="I158" s="129">
        <f>VLOOKUP($A158,Table4[],41,FALSE)</f>
        <v>0.11349693251533742</v>
      </c>
      <c r="J158" s="81">
        <f>VLOOKUP($A158,Table4[],30,FALSE)</f>
        <v>0</v>
      </c>
      <c r="K158" s="82">
        <f>VLOOKUP($A158,Table4[],17,FALSE)</f>
        <v>0</v>
      </c>
      <c r="L158" s="82">
        <f>VLOOKUP($A158,Table4[],18,FALSE)</f>
        <v>0</v>
      </c>
      <c r="M158" s="82" t="str">
        <f>IF(VLOOKUP($A158,Table2[],8,FALSE)=0,"",VLOOKUP($A158,Table2[],8,FALSE))</f>
        <v>Municipal</v>
      </c>
      <c r="N158" s="82">
        <f>VLOOKUP($A158,Table2[],14,FALSE)</f>
        <v>0</v>
      </c>
      <c r="O158" s="82" t="str">
        <f>IF(VLOOKUP($A158,Table2[],15,FALSE)=0,"",VLOOKUP($A158,Table2[],15,FALSE))</f>
        <v>Municipal</v>
      </c>
      <c r="P158" s="82" t="str">
        <f>IF(VLOOKUP($A158,Table2[],16,FALSE)=0,"",VLOOKUP($A158,Table2[],16,FALSE))</f>
        <v>MH-1-0017</v>
      </c>
      <c r="Q158" s="83" t="str">
        <f>IF(ISNA(VLOOKUP($A158,Table3[],6,FALSE)),"None",VLOOKUP($A158,Table3[],6,FALSE))</f>
        <v>100 Year Flood Plain</v>
      </c>
      <c r="R158" s="83" t="str">
        <f>IF(ISNA(VLOOKUP($A158,Table3[],7,FALSE)),"Unknown",VLOOKUP($A158,Table3[],7,FALSE))</f>
        <v>Very High</v>
      </c>
      <c r="S158" s="83" t="str">
        <f>IF(ISNA(VLOOKUP($A158,Table3[],8,FALSE)),"None",VLOOKUP($A158,Table3[],8,FALSE))</f>
        <v>100 Year Flood Plain</v>
      </c>
      <c r="T158" s="84">
        <f>IF(ISNA(VLOOKUP($A158,Table3[],13,FALSE)),"Unknown",VLOOKUP($A158,Table3[],13,FALSE))</f>
        <v>6</v>
      </c>
      <c r="U158" s="85">
        <f>IF(ISNA(VLOOKUP($A158,Table3[],14,FALSE)),"Unknown",VLOOKUP($A158,Table3[],14,FALSE))</f>
        <v>0.23076923076923078</v>
      </c>
      <c r="V158" s="84">
        <f>IF(ISNA(VLOOKUP($A158,Table3[],21,FALSE)),0,VLOOKUP($A158,Table3[],21,FALSE))</f>
        <v>1</v>
      </c>
      <c r="W158" s="85">
        <f>IF(ISNA(VLOOKUP($A158,Table3[],22,FALSE)),0,VLOOKUP($A158,Table3[],22,FALSE))</f>
        <v>3.8461538461538464E-2</v>
      </c>
    </row>
    <row r="159" spans="1:23" s="73" customFormat="1" x14ac:dyDescent="0.25">
      <c r="A159" s="35">
        <v>215</v>
      </c>
      <c r="B159" s="138" t="str">
        <f>VLOOKUP(A159,Registry!$A$4:$AA$241,2,FALSE)</f>
        <v>Dorr Drive Mobile Home Park</v>
      </c>
      <c r="C159" s="138" t="str">
        <f>VLOOKUP(A159,Registry!$A$4:$AA$241,3,FALSE)</f>
        <v>Rutland</v>
      </c>
      <c r="D159" s="138" t="str">
        <f>VLOOKUP(A159,Registry!$A$4:$AA$241,4,FALSE)</f>
        <v>Rutland</v>
      </c>
      <c r="E159" s="138">
        <f>IF(VLOOKUP(A159,Registry!$A$4:$AA$241,7,FALSE)=0,"",VLOOKUP(A159,Registry!$A$4:$AA$241,7,FALSE))</f>
        <v>1975</v>
      </c>
      <c r="F159" s="138" t="str">
        <f>IF(VLOOKUP(A159,Registry!$A$4:$AA$241,20,FALSE)=0,"",VLOOKUP(A159,Registry!$A$4:$AA$241,20,FALSE))</f>
        <v>For profit</v>
      </c>
      <c r="G159" s="138">
        <f>VLOOKUP(A159,Registry!$A$4:$AA$241,21,FALSE)</f>
        <v>17</v>
      </c>
      <c r="H159" s="81">
        <f>VLOOKUP($A159,Table4[],36,FALSE)</f>
        <v>0.88235294117647056</v>
      </c>
      <c r="I159" s="129">
        <f>VLOOKUP($A159,Table4[],41,FALSE)</f>
        <v>7.575757575757576E-2</v>
      </c>
      <c r="J159" s="81">
        <f>VLOOKUP($A159,Table4[],30,FALSE)</f>
        <v>0</v>
      </c>
      <c r="K159" s="82">
        <f>VLOOKUP($A159,Table4[],17,FALSE)</f>
        <v>0</v>
      </c>
      <c r="L159" s="82">
        <f>VLOOKUP($A159,Table4[],18,FALSE)</f>
        <v>1</v>
      </c>
      <c r="M159" s="82" t="str">
        <f>IF(VLOOKUP($A159,Table2[],8,FALSE)=0,"",VLOOKUP($A159,Table2[],8,FALSE))</f>
        <v>Municipal</v>
      </c>
      <c r="N159" s="82">
        <f>VLOOKUP($A159,Table2[],14,FALSE)</f>
        <v>0</v>
      </c>
      <c r="O159" s="82" t="str">
        <f>IF(VLOOKUP($A159,Table2[],15,FALSE)=0,"",VLOOKUP($A159,Table2[],15,FALSE))</f>
        <v>Municipal</v>
      </c>
      <c r="P159" s="82" t="str">
        <f>IF(VLOOKUP($A159,Table2[],16,FALSE)=0,"",VLOOKUP($A159,Table2[],16,FALSE))</f>
        <v>MH-1-0010</v>
      </c>
      <c r="Q159" s="83" t="str">
        <f>IF(ISNA(VLOOKUP($A159,Table3[],6,FALSE)),"None",VLOOKUP($A159,Table3[],6,FALSE))</f>
        <v>100 Year Flood Plain</v>
      </c>
      <c r="R159" s="83" t="str">
        <f>IF(ISNA(VLOOKUP($A159,Table3[],7,FALSE)),"Unknown",VLOOKUP($A159,Table3[],7,FALSE))</f>
        <v>Unknown</v>
      </c>
      <c r="S159" s="83" t="str">
        <f>IF(ISNA(VLOOKUP($A159,Table3[],8,FALSE)),"None",VLOOKUP($A159,Table3[],8,FALSE))</f>
        <v>100 Year Flood Plain</v>
      </c>
      <c r="T159" s="84">
        <f>IF(ISNA(VLOOKUP($A159,Table3[],13,FALSE)),"Unknown",VLOOKUP($A159,Table3[],13,FALSE))</f>
        <v>0</v>
      </c>
      <c r="U159" s="85">
        <f>IF(ISNA(VLOOKUP($A159,Table3[],14,FALSE)),"Unknown",VLOOKUP($A159,Table3[],14,FALSE))</f>
        <v>0</v>
      </c>
      <c r="V159" s="84">
        <f>IF(ISNA(VLOOKUP($A159,Table3[],21,FALSE)),0,VLOOKUP($A159,Table3[],21,FALSE))</f>
        <v>6</v>
      </c>
      <c r="W159" s="85">
        <f>IF(ISNA(VLOOKUP($A159,Table3[],22,FALSE)),0,VLOOKUP($A159,Table3[],22,FALSE))</f>
        <v>0.35294117647058826</v>
      </c>
    </row>
    <row r="160" spans="1:23" s="73" customFormat="1" x14ac:dyDescent="0.25">
      <c r="A160" s="35">
        <v>275</v>
      </c>
      <c r="B160" s="138" t="str">
        <f>VLOOKUP(A160,Registry!$A$4:$AA$241,2,FALSE)</f>
        <v>Mussey Street MHP</v>
      </c>
      <c r="C160" s="138" t="str">
        <f>VLOOKUP(A160,Registry!$A$4:$AA$241,3,FALSE)</f>
        <v>Rutland</v>
      </c>
      <c r="D160" s="138" t="str">
        <f>VLOOKUP(A160,Registry!$A$4:$AA$241,4,FALSE)</f>
        <v>Rutland</v>
      </c>
      <c r="E160" s="138">
        <f>IF(VLOOKUP(A160,Registry!$A$4:$AA$241,7,FALSE)=0,"",VLOOKUP(A160,Registry!$A$4:$AA$241,7,FALSE))</f>
        <v>1993</v>
      </c>
      <c r="F160" s="138" t="str">
        <f>IF(VLOOKUP(A160,Registry!$A$4:$AA$241,20,FALSE)=0,"",VLOOKUP(A160,Registry!$A$4:$AA$241,20,FALSE))</f>
        <v>Non-profit</v>
      </c>
      <c r="G160" s="138">
        <f>VLOOKUP(A160,Registry!$A$4:$AA$241,21,FALSE)</f>
        <v>14</v>
      </c>
      <c r="H160" s="81">
        <f>VLOOKUP($A160,Table4[],36,FALSE)</f>
        <v>0.9285714285714286</v>
      </c>
      <c r="I160" s="129">
        <f>VLOOKUP($A160,Table4[],41,FALSE)</f>
        <v>6.6176470588235295E-2</v>
      </c>
      <c r="J160" s="81">
        <f>VLOOKUP($A160,Table4[],30,FALSE)</f>
        <v>0</v>
      </c>
      <c r="K160" s="82">
        <f>VLOOKUP($A160,Table4[],17,FALSE)</f>
        <v>0</v>
      </c>
      <c r="L160" s="82">
        <f>VLOOKUP($A160,Table4[],18,FALSE)</f>
        <v>0</v>
      </c>
      <c r="M160" s="82" t="str">
        <f>IF(VLOOKUP($A160,Table2[],8,FALSE)=0,"",VLOOKUP($A160,Table2[],8,FALSE))</f>
        <v>Municipal</v>
      </c>
      <c r="N160" s="82">
        <f>VLOOKUP($A160,Table2[],14,FALSE)</f>
        <v>0</v>
      </c>
      <c r="O160" s="82" t="str">
        <f>IF(VLOOKUP($A160,Table2[],15,FALSE)=0,"",VLOOKUP($A160,Table2[],15,FALSE))</f>
        <v>Municipal</v>
      </c>
      <c r="P160" s="82" t="str">
        <f>IF(VLOOKUP($A160,Table2[],16,FALSE)=0,"",VLOOKUP($A160,Table2[],16,FALSE))</f>
        <v>MH-1-0011, MH-1-0019</v>
      </c>
      <c r="Q160" s="83" t="str">
        <f>IF(ISNA(VLOOKUP($A160,Table3[],6,FALSE)),"None",VLOOKUP($A160,Table3[],6,FALSE))</f>
        <v>None</v>
      </c>
      <c r="R160" s="83" t="str">
        <f>IF(ISNA(VLOOKUP($A160,Table3[],7,FALSE)),"Unknown",VLOOKUP($A160,Table3[],7,FALSE))</f>
        <v>Unknown</v>
      </c>
      <c r="S160" s="83" t="str">
        <f>IF(ISNA(VLOOKUP($A160,Table3[],8,FALSE)),"None",VLOOKUP($A160,Table3[],8,FALSE))</f>
        <v>None</v>
      </c>
      <c r="T160" s="84" t="str">
        <f>IF(ISNA(VLOOKUP($A160,Table3[],13,FALSE)),"Unknown",VLOOKUP($A160,Table3[],13,FALSE))</f>
        <v>Unknown</v>
      </c>
      <c r="U160" s="85" t="str">
        <f>IF(ISNA(VLOOKUP($A160,Table3[],14,FALSE)),"Unknown",VLOOKUP($A160,Table3[],14,FALSE))</f>
        <v>Unknown</v>
      </c>
      <c r="V160" s="84">
        <f>IF(ISNA(VLOOKUP($A160,Table3[],21,FALSE)),0,VLOOKUP($A160,Table3[],21,FALSE))</f>
        <v>0</v>
      </c>
      <c r="W160" s="85">
        <f>IF(ISNA(VLOOKUP($A160,Table3[],22,FALSE)),0,VLOOKUP($A160,Table3[],22,FALSE))</f>
        <v>0</v>
      </c>
    </row>
    <row r="161" spans="1:23" s="73" customFormat="1" x14ac:dyDescent="0.25">
      <c r="A161" s="35">
        <v>284</v>
      </c>
      <c r="B161" s="138" t="str">
        <f>VLOOKUP(A161,Registry!$A$4:$AA$241,2,FALSE)</f>
        <v>Mussey Street Park</v>
      </c>
      <c r="C161" s="138" t="str">
        <f>VLOOKUP(A161,Registry!$A$4:$AA$241,3,FALSE)</f>
        <v>Rutland</v>
      </c>
      <c r="D161" s="138" t="str">
        <f>VLOOKUP(A161,Registry!$A$4:$AA$241,4,FALSE)</f>
        <v>Rutland</v>
      </c>
      <c r="E161" s="138">
        <f>IF(VLOOKUP(A161,Registry!$A$4:$AA$241,7,FALSE)=0,"",VLOOKUP(A161,Registry!$A$4:$AA$241,7,FALSE))</f>
        <v>1970</v>
      </c>
      <c r="F161" s="138" t="str">
        <f>IF(VLOOKUP(A161,Registry!$A$4:$AA$241,20,FALSE)=0,"",VLOOKUP(A161,Registry!$A$4:$AA$241,20,FALSE))</f>
        <v>For profit</v>
      </c>
      <c r="G161" s="138">
        <f>VLOOKUP(A161,Registry!$A$4:$AA$241,21,FALSE)</f>
        <v>4</v>
      </c>
      <c r="H161" s="81">
        <f>VLOOKUP($A161,Table4[],36,FALSE)</f>
        <v>1</v>
      </c>
      <c r="I161" s="129">
        <f>VLOOKUP($A161,Table4[],41,FALSE)</f>
        <v>3.3333333333333333E-2</v>
      </c>
      <c r="J161" s="81">
        <f>VLOOKUP($A161,Table4[],30,FALSE)</f>
        <v>0</v>
      </c>
      <c r="K161" s="82">
        <f>VLOOKUP($A161,Table4[],17,FALSE)</f>
        <v>0</v>
      </c>
      <c r="L161" s="82">
        <f>VLOOKUP($A161,Table4[],18,FALSE)</f>
        <v>0</v>
      </c>
      <c r="M161" s="82" t="str">
        <f>IF(VLOOKUP($A161,Table2[],8,FALSE)=0,"",VLOOKUP($A161,Table2[],8,FALSE))</f>
        <v>Municipal</v>
      </c>
      <c r="N161" s="82">
        <f>VLOOKUP($A161,Table2[],14,FALSE)</f>
        <v>0</v>
      </c>
      <c r="O161" s="82" t="str">
        <f>IF(VLOOKUP($A161,Table2[],15,FALSE)=0,"",VLOOKUP($A161,Table2[],15,FALSE))</f>
        <v>Municipal</v>
      </c>
      <c r="P161" s="82" t="str">
        <f>IF(VLOOKUP($A161,Table2[],16,FALSE)=0,"",VLOOKUP($A161,Table2[],16,FALSE))</f>
        <v/>
      </c>
      <c r="Q161" s="83" t="str">
        <f>IF(ISNA(VLOOKUP($A161,Table3[],6,FALSE)),"None",VLOOKUP($A161,Table3[],6,FALSE))</f>
        <v>None</v>
      </c>
      <c r="R161" s="83" t="str">
        <f>IF(ISNA(VLOOKUP($A161,Table3[],7,FALSE)),"Unknown",VLOOKUP($A161,Table3[],7,FALSE))</f>
        <v>Unknown</v>
      </c>
      <c r="S161" s="83" t="str">
        <f>IF(ISNA(VLOOKUP($A161,Table3[],8,FALSE)),"None",VLOOKUP($A161,Table3[],8,FALSE))</f>
        <v>None</v>
      </c>
      <c r="T161" s="84" t="str">
        <f>IF(ISNA(VLOOKUP($A161,Table3[],13,FALSE)),"Unknown",VLOOKUP($A161,Table3[],13,FALSE))</f>
        <v>Unknown</v>
      </c>
      <c r="U161" s="85" t="str">
        <f>IF(ISNA(VLOOKUP($A161,Table3[],14,FALSE)),"Unknown",VLOOKUP($A161,Table3[],14,FALSE))</f>
        <v>Unknown</v>
      </c>
      <c r="V161" s="84">
        <f>IF(ISNA(VLOOKUP($A161,Table3[],21,FALSE)),0,VLOOKUP($A161,Table3[],21,FALSE))</f>
        <v>0</v>
      </c>
      <c r="W161" s="85">
        <f>IF(ISNA(VLOOKUP($A161,Table3[],22,FALSE)),0,VLOOKUP($A161,Table3[],22,FALSE))</f>
        <v>0</v>
      </c>
    </row>
    <row r="162" spans="1:23" s="73" customFormat="1" x14ac:dyDescent="0.25">
      <c r="A162" s="35">
        <v>213</v>
      </c>
      <c r="B162" s="138" t="str">
        <f>VLOOKUP(A162,Registry!$A$4:$AA$241,2,FALSE)</f>
        <v>Prestons Park</v>
      </c>
      <c r="C162" s="138" t="str">
        <f>VLOOKUP(A162,Registry!$A$4:$AA$241,3,FALSE)</f>
        <v>Rutland</v>
      </c>
      <c r="D162" s="138" t="str">
        <f>VLOOKUP(A162,Registry!$A$4:$AA$241,4,FALSE)</f>
        <v>Rutland</v>
      </c>
      <c r="E162" s="138">
        <f>IF(VLOOKUP(A162,Registry!$A$4:$AA$241,7,FALSE)=0,"",VLOOKUP(A162,Registry!$A$4:$AA$241,7,FALSE))</f>
        <v>1980</v>
      </c>
      <c r="F162" s="138" t="str">
        <f>IF(VLOOKUP(A162,Registry!$A$4:$AA$241,20,FALSE)=0,"",VLOOKUP(A162,Registry!$A$4:$AA$241,20,FALSE))</f>
        <v>For profit</v>
      </c>
      <c r="G162" s="138">
        <f>VLOOKUP(A162,Registry!$A$4:$AA$241,21,FALSE)</f>
        <v>12</v>
      </c>
      <c r="H162" s="81">
        <f>VLOOKUP($A162,Table4[],36,FALSE)</f>
        <v>1</v>
      </c>
      <c r="I162" s="129">
        <f>VLOOKUP($A162,Table4[],41,FALSE)</f>
        <v>8.6294416243654817E-2</v>
      </c>
      <c r="J162" s="81">
        <f>VLOOKUP($A162,Table4[],30,FALSE)</f>
        <v>0</v>
      </c>
      <c r="K162" s="82">
        <f>VLOOKUP($A162,Table4[],17,FALSE)</f>
        <v>0</v>
      </c>
      <c r="L162" s="82">
        <f>VLOOKUP($A162,Table4[],18,FALSE)</f>
        <v>0</v>
      </c>
      <c r="M162" s="82" t="str">
        <f>IF(VLOOKUP($A162,Table2[],8,FALSE)=0,"",VLOOKUP($A162,Table2[],8,FALSE))</f>
        <v>Municipal</v>
      </c>
      <c r="N162" s="82">
        <f>VLOOKUP($A162,Table2[],14,FALSE)</f>
        <v>0</v>
      </c>
      <c r="O162" s="82" t="str">
        <f>IF(VLOOKUP($A162,Table2[],15,FALSE)=0,"",VLOOKUP($A162,Table2[],15,FALSE))</f>
        <v>Municipal</v>
      </c>
      <c r="P162" s="82" t="str">
        <f>IF(VLOOKUP($A162,Table2[],16,FALSE)=0,"",VLOOKUP($A162,Table2[],16,FALSE))</f>
        <v/>
      </c>
      <c r="Q162" s="83" t="str">
        <f>IF(ISNA(VLOOKUP($A162,Table3[],6,FALSE)),"None",VLOOKUP($A162,Table3[],6,FALSE))</f>
        <v>None</v>
      </c>
      <c r="R162" s="83" t="str">
        <f>IF(ISNA(VLOOKUP($A162,Table3[],7,FALSE)),"Unknown",VLOOKUP($A162,Table3[],7,FALSE))</f>
        <v>Unknown</v>
      </c>
      <c r="S162" s="83" t="str">
        <f>IF(ISNA(VLOOKUP($A162,Table3[],8,FALSE)),"None",VLOOKUP($A162,Table3[],8,FALSE))</f>
        <v>None</v>
      </c>
      <c r="T162" s="84" t="str">
        <f>IF(ISNA(VLOOKUP($A162,Table3[],13,FALSE)),"Unknown",VLOOKUP($A162,Table3[],13,FALSE))</f>
        <v>Unknown</v>
      </c>
      <c r="U162" s="85" t="str">
        <f>IF(ISNA(VLOOKUP($A162,Table3[],14,FALSE)),"Unknown",VLOOKUP($A162,Table3[],14,FALSE))</f>
        <v>Unknown</v>
      </c>
      <c r="V162" s="84">
        <f>IF(ISNA(VLOOKUP($A162,Table3[],21,FALSE)),0,VLOOKUP($A162,Table3[],21,FALSE))</f>
        <v>0</v>
      </c>
      <c r="W162" s="85">
        <f>IF(ISNA(VLOOKUP($A162,Table3[],22,FALSE)),0,VLOOKUP($A162,Table3[],22,FALSE))</f>
        <v>0</v>
      </c>
    </row>
    <row r="163" spans="1:23" s="73" customFormat="1" x14ac:dyDescent="0.25">
      <c r="A163" s="35">
        <v>208</v>
      </c>
      <c r="B163" s="138" t="str">
        <f>VLOOKUP(A163,Registry!$A$4:$AA$241,2,FALSE)</f>
        <v>T and C Corporation</v>
      </c>
      <c r="C163" s="138" t="str">
        <f>VLOOKUP(A163,Registry!$A$4:$AA$241,3,FALSE)</f>
        <v>Rutland</v>
      </c>
      <c r="D163" s="138" t="str">
        <f>VLOOKUP(A163,Registry!$A$4:$AA$241,4,FALSE)</f>
        <v>Rutland</v>
      </c>
      <c r="E163" s="138">
        <f>IF(VLOOKUP(A163,Registry!$A$4:$AA$241,7,FALSE)=0,"",VLOOKUP(A163,Registry!$A$4:$AA$241,7,FALSE))</f>
        <v>1956</v>
      </c>
      <c r="F163" s="138" t="str">
        <f>IF(VLOOKUP(A163,Registry!$A$4:$AA$241,20,FALSE)=0,"",VLOOKUP(A163,Registry!$A$4:$AA$241,20,FALSE))</f>
        <v>For profit</v>
      </c>
      <c r="G163" s="138">
        <f>VLOOKUP(A163,Registry!$A$4:$AA$241,21,FALSE)</f>
        <v>12</v>
      </c>
      <c r="H163" s="81">
        <f>VLOOKUP($A163,Table4[],36,FALSE)</f>
        <v>1</v>
      </c>
      <c r="I163" s="129">
        <f>VLOOKUP($A163,Table4[],41,FALSE)</f>
        <v>2.8571428571428571E-2</v>
      </c>
      <c r="J163" s="81">
        <f>VLOOKUP($A163,Table4[],30,FALSE)</f>
        <v>-0.16666666666666666</v>
      </c>
      <c r="K163" s="82">
        <f>VLOOKUP($A163,Table4[],17,FALSE)</f>
        <v>0</v>
      </c>
      <c r="L163" s="82">
        <f>VLOOKUP($A163,Table4[],18,FALSE)</f>
        <v>0</v>
      </c>
      <c r="M163" s="82" t="str">
        <f>IF(VLOOKUP($A163,Table2[],8,FALSE)=0,"",VLOOKUP($A163,Table2[],8,FALSE))</f>
        <v>Municipal</v>
      </c>
      <c r="N163" s="82">
        <f>VLOOKUP($A163,Table2[],14,FALSE)</f>
        <v>0</v>
      </c>
      <c r="O163" s="82" t="str">
        <f>IF(VLOOKUP($A163,Table2[],15,FALSE)=0,"",VLOOKUP($A163,Table2[],15,FALSE))</f>
        <v>Municipal</v>
      </c>
      <c r="P163" s="82" t="str">
        <f>IF(VLOOKUP($A163,Table2[],16,FALSE)=0,"",VLOOKUP($A163,Table2[],16,FALSE))</f>
        <v/>
      </c>
      <c r="Q163" s="83" t="str">
        <f>IF(ISNA(VLOOKUP($A163,Table3[],6,FALSE)),"None",VLOOKUP($A163,Table3[],6,FALSE))</f>
        <v>None</v>
      </c>
      <c r="R163" s="83" t="str">
        <f>IF(ISNA(VLOOKUP($A163,Table3[],7,FALSE)),"Unknown",VLOOKUP($A163,Table3[],7,FALSE))</f>
        <v>Unknown</v>
      </c>
      <c r="S163" s="83" t="str">
        <f>IF(ISNA(VLOOKUP($A163,Table3[],8,FALSE)),"None",VLOOKUP($A163,Table3[],8,FALSE))</f>
        <v>None</v>
      </c>
      <c r="T163" s="84" t="str">
        <f>IF(ISNA(VLOOKUP($A163,Table3[],13,FALSE)),"Unknown",VLOOKUP($A163,Table3[],13,FALSE))</f>
        <v>Unknown</v>
      </c>
      <c r="U163" s="85" t="str">
        <f>IF(ISNA(VLOOKUP($A163,Table3[],14,FALSE)),"Unknown",VLOOKUP($A163,Table3[],14,FALSE))</f>
        <v>Unknown</v>
      </c>
      <c r="V163" s="84">
        <f>IF(ISNA(VLOOKUP($A163,Table3[],21,FALSE)),0,VLOOKUP($A163,Table3[],21,FALSE))</f>
        <v>0</v>
      </c>
      <c r="W163" s="85">
        <f>IF(ISNA(VLOOKUP($A163,Table3[],22,FALSE)),0,VLOOKUP($A163,Table3[],22,FALSE))</f>
        <v>0</v>
      </c>
    </row>
    <row r="164" spans="1:23" s="73" customFormat="1" x14ac:dyDescent="0.25">
      <c r="A164" s="35">
        <v>186</v>
      </c>
      <c r="B164" s="138" t="str">
        <f>VLOOKUP(A164,Registry!$A$4:$AA$241,2,FALSE)</f>
        <v>Lakes End Mobile Home Park</v>
      </c>
      <c r="C164" s="138" t="str">
        <f>VLOOKUP(A164,Registry!$A$4:$AA$241,3,FALSE)</f>
        <v>Rutland</v>
      </c>
      <c r="D164" s="138" t="str">
        <f>VLOOKUP(A164,Registry!$A$4:$AA$241,4,FALSE)</f>
        <v>Wells</v>
      </c>
      <c r="E164" s="138">
        <f>IF(VLOOKUP(A164,Registry!$A$4:$AA$241,7,FALSE)=0,"",VLOOKUP(A164,Registry!$A$4:$AA$241,7,FALSE))</f>
        <v>1955</v>
      </c>
      <c r="F164" s="138" t="str">
        <f>IF(VLOOKUP(A164,Registry!$A$4:$AA$241,20,FALSE)=0,"",VLOOKUP(A164,Registry!$A$4:$AA$241,20,FALSE))</f>
        <v>For profit</v>
      </c>
      <c r="G164" s="138">
        <f>VLOOKUP(A164,Registry!$A$4:$AA$241,21,FALSE)</f>
        <v>10</v>
      </c>
      <c r="H164" s="81">
        <f>VLOOKUP($A164,Table4[],36,FALSE)</f>
        <v>1</v>
      </c>
      <c r="I164" s="129">
        <f>VLOOKUP($A164,Table4[],41,FALSE)</f>
        <v>0.11834245373658066</v>
      </c>
      <c r="J164" s="81">
        <f>VLOOKUP($A164,Table4[],30,FALSE)</f>
        <v>0</v>
      </c>
      <c r="K164" s="82">
        <f>VLOOKUP($A164,Table4[],17,FALSE)</f>
        <v>0</v>
      </c>
      <c r="L164" s="82">
        <f>VLOOKUP($A164,Table4[],18,FALSE)</f>
        <v>0</v>
      </c>
      <c r="M164" s="82" t="str">
        <f>IF(VLOOKUP($A164,Table2[],8,FALSE)=0,"",VLOOKUP($A164,Table2[],8,FALSE))</f>
        <v>Small-Scale (potable, &lt;25 users)</v>
      </c>
      <c r="N164" s="82">
        <f>VLOOKUP($A164,Table2[],14,FALSE)</f>
        <v>0</v>
      </c>
      <c r="O164" s="82" t="str">
        <f>IF(VLOOKUP($A164,Table2[],15,FALSE)=0,"",VLOOKUP($A164,Table2[],15,FALSE))</f>
        <v>On-Site</v>
      </c>
      <c r="P164" s="82" t="str">
        <f>IF(VLOOKUP($A164,Table2[],16,FALSE)=0,"",VLOOKUP($A164,Table2[],16,FALSE))</f>
        <v/>
      </c>
      <c r="Q164" s="83" t="str">
        <f>IF(ISNA(VLOOKUP($A164,Table3[],6,FALSE)),"None",VLOOKUP($A164,Table3[],6,FALSE))</f>
        <v>100 Year Flood Plain</v>
      </c>
      <c r="R164" s="83" t="str">
        <f>IF(ISNA(VLOOKUP($A164,Table3[],7,FALSE)),"Unknown",VLOOKUP($A164,Table3[],7,FALSE))</f>
        <v>Unknown</v>
      </c>
      <c r="S164" s="83" t="str">
        <f>IF(ISNA(VLOOKUP($A164,Table3[],8,FALSE)),"None",VLOOKUP($A164,Table3[],8,FALSE))</f>
        <v>Not Available</v>
      </c>
      <c r="T164" s="84">
        <f>IF(ISNA(VLOOKUP($A164,Table3[],13,FALSE)),"Unknown",VLOOKUP($A164,Table3[],13,FALSE))</f>
        <v>0</v>
      </c>
      <c r="U164" s="85">
        <f>IF(ISNA(VLOOKUP($A164,Table3[],14,FALSE)),"Unknown",VLOOKUP($A164,Table3[],14,FALSE))</f>
        <v>0</v>
      </c>
      <c r="V164" s="84">
        <f>IF(ISNA(VLOOKUP($A164,Table3[],21,FALSE)),0,VLOOKUP($A164,Table3[],21,FALSE))</f>
        <v>1</v>
      </c>
      <c r="W164" s="85">
        <f>IF(ISNA(VLOOKUP($A164,Table3[],22,FALSE)),0,VLOOKUP($A164,Table3[],22,FALSE))</f>
        <v>0.1</v>
      </c>
    </row>
    <row r="165" spans="1:23" s="73" customFormat="1" x14ac:dyDescent="0.25">
      <c r="A165" s="35">
        <v>159</v>
      </c>
      <c r="B165" s="138" t="str">
        <f>VLOOKUP(A165,Registry!$A$4:$AA$241,2,FALSE)</f>
        <v>Bridge Street MHP</v>
      </c>
      <c r="C165" s="138" t="str">
        <f>VLOOKUP(A165,Registry!$A$4:$AA$241,3,FALSE)</f>
        <v>Washington</v>
      </c>
      <c r="D165" s="138" t="str">
        <f>VLOOKUP(A165,Registry!$A$4:$AA$241,4,FALSE)</f>
        <v>Barre</v>
      </c>
      <c r="E165" s="138">
        <f>IF(VLOOKUP(A165,Registry!$A$4:$AA$241,7,FALSE)=0,"",VLOOKUP(A165,Registry!$A$4:$AA$241,7,FALSE))</f>
        <v>1955</v>
      </c>
      <c r="F165" s="138" t="str">
        <f>IF(VLOOKUP(A165,Registry!$A$4:$AA$241,20,FALSE)=0,"",VLOOKUP(A165,Registry!$A$4:$AA$241,20,FALSE))</f>
        <v>Non-profit</v>
      </c>
      <c r="G165" s="138">
        <f>VLOOKUP(A165,Registry!$A$4:$AA$241,21,FALSE)</f>
        <v>8</v>
      </c>
      <c r="H165" s="81">
        <f>VLOOKUP($A165,Table4[],36,FALSE)</f>
        <v>1</v>
      </c>
      <c r="I165" s="129">
        <f>VLOOKUP($A165,Table4[],41,FALSE)</f>
        <v>0.10377358490566038</v>
      </c>
      <c r="J165" s="81">
        <f>VLOOKUP($A165,Table4[],30,FALSE)</f>
        <v>0</v>
      </c>
      <c r="K165" s="82">
        <f>VLOOKUP($A165,Table4[],17,FALSE)</f>
        <v>0</v>
      </c>
      <c r="L165" s="82">
        <f>VLOOKUP($A165,Table4[],18,FALSE)</f>
        <v>0</v>
      </c>
      <c r="M165" s="82" t="str">
        <f>IF(VLOOKUP($A165,Table2[],8,FALSE)=0,"",VLOOKUP($A165,Table2[],8,FALSE))</f>
        <v>Municipal</v>
      </c>
      <c r="N165" s="82">
        <f>VLOOKUP($A165,Table2[],14,FALSE)</f>
        <v>0</v>
      </c>
      <c r="O165" s="82" t="str">
        <f>IF(VLOOKUP($A165,Table2[],15,FALSE)=0,"",VLOOKUP($A165,Table2[],15,FALSE))</f>
        <v>Municipal</v>
      </c>
      <c r="P165" s="82" t="str">
        <f>IF(VLOOKUP($A165,Table2[],16,FALSE)=0,"",VLOOKUP($A165,Table2[],16,FALSE))</f>
        <v>MH-5-0016</v>
      </c>
      <c r="Q165" s="83" t="str">
        <f>IF(ISNA(VLOOKUP($A165,Table3[],6,FALSE)),"None",VLOOKUP($A165,Table3[],6,FALSE))</f>
        <v>None</v>
      </c>
      <c r="R165" s="83" t="str">
        <f>IF(ISNA(VLOOKUP($A165,Table3[],7,FALSE)),"Unknown",VLOOKUP($A165,Table3[],7,FALSE))</f>
        <v>Unknown</v>
      </c>
      <c r="S165" s="83" t="str">
        <f>IF(ISNA(VLOOKUP($A165,Table3[],8,FALSE)),"None",VLOOKUP($A165,Table3[],8,FALSE))</f>
        <v>None</v>
      </c>
      <c r="T165" s="84" t="str">
        <f>IF(ISNA(VLOOKUP($A165,Table3[],13,FALSE)),"Unknown",VLOOKUP($A165,Table3[],13,FALSE))</f>
        <v>Unknown</v>
      </c>
      <c r="U165" s="85" t="str">
        <f>IF(ISNA(VLOOKUP($A165,Table3[],14,FALSE)),"Unknown",VLOOKUP($A165,Table3[],14,FALSE))</f>
        <v>Unknown</v>
      </c>
      <c r="V165" s="84">
        <f>IF(ISNA(VLOOKUP($A165,Table3[],21,FALSE)),0,VLOOKUP($A165,Table3[],21,FALSE))</f>
        <v>0</v>
      </c>
      <c r="W165" s="85">
        <f>IF(ISNA(VLOOKUP($A165,Table3[],22,FALSE)),0,VLOOKUP($A165,Table3[],22,FALSE))</f>
        <v>0</v>
      </c>
    </row>
    <row r="166" spans="1:23" s="73" customFormat="1" x14ac:dyDescent="0.25">
      <c r="A166" s="35">
        <v>161</v>
      </c>
      <c r="B166" s="138" t="str">
        <f>VLOOKUP(A166,Registry!$A$4:$AA$241,2,FALSE)</f>
        <v>East Barre Mobile Home Park</v>
      </c>
      <c r="C166" s="138" t="str">
        <f>VLOOKUP(A166,Registry!$A$4:$AA$241,3,FALSE)</f>
        <v>Washington</v>
      </c>
      <c r="D166" s="138" t="str">
        <f>VLOOKUP(A166,Registry!$A$4:$AA$241,4,FALSE)</f>
        <v>Barre</v>
      </c>
      <c r="E166" s="138">
        <f>IF(VLOOKUP(A166,Registry!$A$4:$AA$241,7,FALSE)=0,"",VLOOKUP(A166,Registry!$A$4:$AA$241,7,FALSE))</f>
        <v>1955</v>
      </c>
      <c r="F166" s="138" t="str">
        <f>IF(VLOOKUP(A166,Registry!$A$4:$AA$241,20,FALSE)=0,"",VLOOKUP(A166,Registry!$A$4:$AA$241,20,FALSE))</f>
        <v>For profit</v>
      </c>
      <c r="G166" s="138">
        <f>VLOOKUP(A166,Registry!$A$4:$AA$241,21,FALSE)</f>
        <v>7</v>
      </c>
      <c r="H166" s="81">
        <f>VLOOKUP($A166,Table4[],36,FALSE)</f>
        <v>1</v>
      </c>
      <c r="I166" s="129">
        <f>VLOOKUP($A166,Table4[],41,FALSE)</f>
        <v>7.328605200945626E-2</v>
      </c>
      <c r="J166" s="81">
        <f>VLOOKUP($A166,Table4[],30,FALSE)</f>
        <v>0</v>
      </c>
      <c r="K166" s="82">
        <f>VLOOKUP($A166,Table4[],17,FALSE)</f>
        <v>0</v>
      </c>
      <c r="L166" s="82">
        <f>VLOOKUP($A166,Table4[],18,FALSE)</f>
        <v>0</v>
      </c>
      <c r="M166" s="82" t="str">
        <f>IF(VLOOKUP($A166,Table2[],8,FALSE)=0,"",VLOOKUP($A166,Table2[],8,FALSE))</f>
        <v>Municipal</v>
      </c>
      <c r="N166" s="82">
        <f>VLOOKUP($A166,Table2[],14,FALSE)</f>
        <v>0</v>
      </c>
      <c r="O166" s="82" t="str">
        <f>IF(VLOOKUP($A166,Table2[],15,FALSE)=0,"",VLOOKUP($A166,Table2[],15,FALSE))</f>
        <v>Municipal</v>
      </c>
      <c r="P166" s="82" t="str">
        <f>IF(VLOOKUP($A166,Table2[],16,FALSE)=0,"",VLOOKUP($A166,Table2[],16,FALSE))</f>
        <v/>
      </c>
      <c r="Q166" s="83" t="str">
        <f>IF(ISNA(VLOOKUP($A166,Table3[],6,FALSE)),"None",VLOOKUP($A166,Table3[],6,FALSE))</f>
        <v>None</v>
      </c>
      <c r="R166" s="83" t="str">
        <f>IF(ISNA(VLOOKUP($A166,Table3[],7,FALSE)),"Unknown",VLOOKUP($A166,Table3[],7,FALSE))</f>
        <v>Unknown</v>
      </c>
      <c r="S166" s="83" t="str">
        <f>IF(ISNA(VLOOKUP($A166,Table3[],8,FALSE)),"None",VLOOKUP($A166,Table3[],8,FALSE))</f>
        <v>None</v>
      </c>
      <c r="T166" s="84" t="str">
        <f>IF(ISNA(VLOOKUP($A166,Table3[],13,FALSE)),"Unknown",VLOOKUP($A166,Table3[],13,FALSE))</f>
        <v>Unknown</v>
      </c>
      <c r="U166" s="85" t="str">
        <f>IF(ISNA(VLOOKUP($A166,Table3[],14,FALSE)),"Unknown",VLOOKUP($A166,Table3[],14,FALSE))</f>
        <v>Unknown</v>
      </c>
      <c r="V166" s="84">
        <f>IF(ISNA(VLOOKUP($A166,Table3[],21,FALSE)),0,VLOOKUP($A166,Table3[],21,FALSE))</f>
        <v>0</v>
      </c>
      <c r="W166" s="85">
        <f>IF(ISNA(VLOOKUP($A166,Table3[],22,FALSE)),0,VLOOKUP($A166,Table3[],22,FALSE))</f>
        <v>0</v>
      </c>
    </row>
    <row r="167" spans="1:23" s="73" customFormat="1" x14ac:dyDescent="0.25">
      <c r="A167" s="35">
        <v>162</v>
      </c>
      <c r="B167" s="138" t="str">
        <f>VLOOKUP(A167,Registry!$A$4:$AA$241,2,FALSE)</f>
        <v>Pleasant View Mobile Home Park</v>
      </c>
      <c r="C167" s="138" t="str">
        <f>VLOOKUP(A167,Registry!$A$4:$AA$241,3,FALSE)</f>
        <v>Washington</v>
      </c>
      <c r="D167" s="138" t="str">
        <f>VLOOKUP(A167,Registry!$A$4:$AA$241,4,FALSE)</f>
        <v>Barre</v>
      </c>
      <c r="E167" s="138">
        <f>IF(VLOOKUP(A167,Registry!$A$4:$AA$241,7,FALSE)=0,"",VLOOKUP(A167,Registry!$A$4:$AA$241,7,FALSE))</f>
        <v>1960</v>
      </c>
      <c r="F167" s="138" t="str">
        <f>IF(VLOOKUP(A167,Registry!$A$4:$AA$241,20,FALSE)=0,"",VLOOKUP(A167,Registry!$A$4:$AA$241,20,FALSE))</f>
        <v>For profit</v>
      </c>
      <c r="G167" s="138">
        <f>VLOOKUP(A167,Registry!$A$4:$AA$241,21,FALSE)</f>
        <v>21</v>
      </c>
      <c r="H167" s="81">
        <f>VLOOKUP($A167,Table4[],36,FALSE)</f>
        <v>1</v>
      </c>
      <c r="I167" s="129">
        <f>VLOOKUP($A167,Table4[],41,FALSE)</f>
        <v>7.328605200945626E-2</v>
      </c>
      <c r="J167" s="81">
        <f>VLOOKUP($A167,Table4[],30,FALSE)</f>
        <v>0</v>
      </c>
      <c r="K167" s="82">
        <f>VLOOKUP($A167,Table4[],17,FALSE)</f>
        <v>3</v>
      </c>
      <c r="L167" s="82">
        <f>VLOOKUP($A167,Table4[],18,FALSE)</f>
        <v>0</v>
      </c>
      <c r="M167" s="82" t="str">
        <f>IF(VLOOKUP($A167,Table2[],8,FALSE)=0,"",VLOOKUP($A167,Table2[],8,FALSE))</f>
        <v>Municipal</v>
      </c>
      <c r="N167" s="82">
        <f>VLOOKUP($A167,Table2[],14,FALSE)</f>
        <v>0</v>
      </c>
      <c r="O167" s="82" t="str">
        <f>IF(VLOOKUP($A167,Table2[],15,FALSE)=0,"",VLOOKUP($A167,Table2[],15,FALSE))</f>
        <v>Municipal</v>
      </c>
      <c r="P167" s="82" t="str">
        <f>IF(VLOOKUP($A167,Table2[],16,FALSE)=0,"",VLOOKUP($A167,Table2[],16,FALSE))</f>
        <v/>
      </c>
      <c r="Q167" s="83" t="str">
        <f>IF(ISNA(VLOOKUP($A167,Table3[],6,FALSE)),"None",VLOOKUP($A167,Table3[],6,FALSE))</f>
        <v>None</v>
      </c>
      <c r="R167" s="83" t="str">
        <f>IF(ISNA(VLOOKUP($A167,Table3[],7,FALSE)),"Unknown",VLOOKUP($A167,Table3[],7,FALSE))</f>
        <v>Unknown</v>
      </c>
      <c r="S167" s="83" t="str">
        <f>IF(ISNA(VLOOKUP($A167,Table3[],8,FALSE)),"None",VLOOKUP($A167,Table3[],8,FALSE))</f>
        <v>None</v>
      </c>
      <c r="T167" s="84" t="str">
        <f>IF(ISNA(VLOOKUP($A167,Table3[],13,FALSE)),"Unknown",VLOOKUP($A167,Table3[],13,FALSE))</f>
        <v>Unknown</v>
      </c>
      <c r="U167" s="85" t="str">
        <f>IF(ISNA(VLOOKUP($A167,Table3[],14,FALSE)),"Unknown",VLOOKUP($A167,Table3[],14,FALSE))</f>
        <v>Unknown</v>
      </c>
      <c r="V167" s="84">
        <f>IF(ISNA(VLOOKUP($A167,Table3[],21,FALSE)),0,VLOOKUP($A167,Table3[],21,FALSE))</f>
        <v>0</v>
      </c>
      <c r="W167" s="85">
        <f>IF(ISNA(VLOOKUP($A167,Table3[],22,FALSE)),0,VLOOKUP($A167,Table3[],22,FALSE))</f>
        <v>0</v>
      </c>
    </row>
    <row r="168" spans="1:23" s="73" customFormat="1" x14ac:dyDescent="0.25">
      <c r="A168" s="35">
        <v>131</v>
      </c>
      <c r="B168" s="138" t="str">
        <f>VLOOKUP(A168,Registry!$A$4:$AA$241,2,FALSE)</f>
        <v>Berlin Corner MHP</v>
      </c>
      <c r="C168" s="138" t="str">
        <f>VLOOKUP(A168,Registry!$A$4:$AA$241,3,FALSE)</f>
        <v>Washington</v>
      </c>
      <c r="D168" s="138" t="str">
        <f>VLOOKUP(A168,Registry!$A$4:$AA$241,4,FALSE)</f>
        <v>Berlin</v>
      </c>
      <c r="E168" s="138">
        <f>IF(VLOOKUP(A168,Registry!$A$4:$AA$241,7,FALSE)=0,"",VLOOKUP(A168,Registry!$A$4:$AA$241,7,FALSE))</f>
        <v>1964</v>
      </c>
      <c r="F168" s="138" t="str">
        <f>IF(VLOOKUP(A168,Registry!$A$4:$AA$241,20,FALSE)=0,"",VLOOKUP(A168,Registry!$A$4:$AA$241,20,FALSE))</f>
        <v>For profit</v>
      </c>
      <c r="G168" s="138">
        <f>VLOOKUP(A168,Registry!$A$4:$AA$241,21,FALSE)</f>
        <v>4</v>
      </c>
      <c r="H168" s="81">
        <f>VLOOKUP($A168,Table4[],36,FALSE)</f>
        <v>1</v>
      </c>
      <c r="I168" s="129">
        <f>VLOOKUP($A168,Table4[],41,FALSE)</f>
        <v>0</v>
      </c>
      <c r="J168" s="81">
        <f>VLOOKUP($A168,Table4[],30,FALSE)</f>
        <v>-0.25</v>
      </c>
      <c r="K168" s="82">
        <f>VLOOKUP($A168,Table4[],17,FALSE)</f>
        <v>4</v>
      </c>
      <c r="L168" s="82">
        <f>VLOOKUP($A168,Table4[],18,FALSE)</f>
        <v>0</v>
      </c>
      <c r="M168" s="82" t="str">
        <f>IF(VLOOKUP($A168,Table2[],8,FALSE)=0,"",VLOOKUP($A168,Table2[],8,FALSE))</f>
        <v>Small-Scale (potable, &lt;25 users)</v>
      </c>
      <c r="N168" s="82">
        <f>VLOOKUP($A168,Table2[],14,FALSE)</f>
        <v>0</v>
      </c>
      <c r="O168" s="82" t="str">
        <f>IF(VLOOKUP($A168,Table2[],15,FALSE)=0,"",VLOOKUP($A168,Table2[],15,FALSE))</f>
        <v>Municipal</v>
      </c>
      <c r="P168" s="82" t="str">
        <f>IF(VLOOKUP($A168,Table2[],16,FALSE)=0,"",VLOOKUP($A168,Table2[],16,FALSE))</f>
        <v/>
      </c>
      <c r="Q168" s="83" t="str">
        <f>IF(ISNA(VLOOKUP($A168,Table3[],6,FALSE)),"None",VLOOKUP($A168,Table3[],6,FALSE))</f>
        <v>None</v>
      </c>
      <c r="R168" s="83" t="str">
        <f>IF(ISNA(VLOOKUP($A168,Table3[],7,FALSE)),"Unknown",VLOOKUP($A168,Table3[],7,FALSE))</f>
        <v>Unknown</v>
      </c>
      <c r="S168" s="83" t="str">
        <f>IF(ISNA(VLOOKUP($A168,Table3[],8,FALSE)),"None",VLOOKUP($A168,Table3[],8,FALSE))</f>
        <v>None</v>
      </c>
      <c r="T168" s="84" t="str">
        <f>IF(ISNA(VLOOKUP($A168,Table3[],13,FALSE)),"Unknown",VLOOKUP($A168,Table3[],13,FALSE))</f>
        <v>Unknown</v>
      </c>
      <c r="U168" s="85" t="str">
        <f>IF(ISNA(VLOOKUP($A168,Table3[],14,FALSE)),"Unknown",VLOOKUP($A168,Table3[],14,FALSE))</f>
        <v>Unknown</v>
      </c>
      <c r="V168" s="84">
        <f>IF(ISNA(VLOOKUP($A168,Table3[],21,FALSE)),0,VLOOKUP($A168,Table3[],21,FALSE))</f>
        <v>0</v>
      </c>
      <c r="W168" s="85">
        <f>IF(ISNA(VLOOKUP($A168,Table3[],22,FALSE)),0,VLOOKUP($A168,Table3[],22,FALSE))</f>
        <v>0</v>
      </c>
    </row>
    <row r="169" spans="1:23" s="73" customFormat="1" x14ac:dyDescent="0.25">
      <c r="A169" s="35">
        <v>154</v>
      </c>
      <c r="B169" s="138" t="str">
        <f>VLOOKUP(A169,Registry!$A$4:$AA$241,2,FALSE)</f>
        <v>Berlin Mobile Home Park</v>
      </c>
      <c r="C169" s="138" t="str">
        <f>VLOOKUP(A169,Registry!$A$4:$AA$241,3,FALSE)</f>
        <v>Washington</v>
      </c>
      <c r="D169" s="138" t="str">
        <f>VLOOKUP(A169,Registry!$A$4:$AA$241,4,FALSE)</f>
        <v>Berlin</v>
      </c>
      <c r="E169" s="138">
        <f>IF(VLOOKUP(A169,Registry!$A$4:$AA$241,7,FALSE)=0,"",VLOOKUP(A169,Registry!$A$4:$AA$241,7,FALSE))</f>
        <v>1965</v>
      </c>
      <c r="F169" s="138" t="str">
        <f>IF(VLOOKUP(A169,Registry!$A$4:$AA$241,20,FALSE)=0,"",VLOOKUP(A169,Registry!$A$4:$AA$241,20,FALSE))</f>
        <v>For profit</v>
      </c>
      <c r="G169" s="138">
        <f>VLOOKUP(A169,Registry!$A$4:$AA$241,21,FALSE)</f>
        <v>30</v>
      </c>
      <c r="H169" s="81">
        <f>VLOOKUP($A169,Table4[],36,FALSE)</f>
        <v>1</v>
      </c>
      <c r="I169" s="129">
        <f>VLOOKUP($A169,Table4[],41,FALSE)</f>
        <v>0.11576354679802955</v>
      </c>
      <c r="J169" s="81">
        <f>VLOOKUP($A169,Table4[],30,FALSE)</f>
        <v>3.3333333333333333E-2</v>
      </c>
      <c r="K169" s="82">
        <f>VLOOKUP($A169,Table4[],17,FALSE)</f>
        <v>0</v>
      </c>
      <c r="L169" s="82">
        <f>VLOOKUP($A169,Table4[],18,FALSE)</f>
        <v>0</v>
      </c>
      <c r="M169" s="82" t="str">
        <f>IF(VLOOKUP($A169,Table2[],8,FALSE)=0,"",VLOOKUP($A169,Table2[],8,FALSE))</f>
        <v>Consecutive Community</v>
      </c>
      <c r="N169" s="82">
        <f>VLOOKUP($A169,Table2[],14,FALSE)</f>
        <v>0</v>
      </c>
      <c r="O169" s="82" t="str">
        <f>IF(VLOOKUP($A169,Table2[],15,FALSE)=0,"",VLOOKUP($A169,Table2[],15,FALSE))</f>
        <v>Municipal</v>
      </c>
      <c r="P169" s="82" t="str">
        <f>IF(VLOOKUP($A169,Table2[],16,FALSE)=0,"",VLOOKUP($A169,Table2[],16,FALSE))</f>
        <v/>
      </c>
      <c r="Q169" s="83" t="str">
        <f>IF(ISNA(VLOOKUP($A169,Table3[],6,FALSE)),"None",VLOOKUP($A169,Table3[],6,FALSE))</f>
        <v>Floodway</v>
      </c>
      <c r="R169" s="83" t="str">
        <f>IF(ISNA(VLOOKUP($A169,Table3[],7,FALSE)),"Unknown",VLOOKUP($A169,Table3[],7,FALSE))</f>
        <v>Extreme</v>
      </c>
      <c r="S169" s="83" t="str">
        <f>IF(ISNA(VLOOKUP($A169,Table3[],8,FALSE)),"None",VLOOKUP($A169,Table3[],8,FALSE))</f>
        <v>Floodway</v>
      </c>
      <c r="T169" s="84">
        <f>IF(ISNA(VLOOKUP($A169,Table3[],13,FALSE)),"Unknown",VLOOKUP($A169,Table3[],13,FALSE))</f>
        <v>11</v>
      </c>
      <c r="U169" s="85">
        <f>IF(ISNA(VLOOKUP($A169,Table3[],14,FALSE)),"Unknown",VLOOKUP($A169,Table3[],14,FALSE))</f>
        <v>0.36666666666666664</v>
      </c>
      <c r="V169" s="84">
        <f>IF(ISNA(VLOOKUP($A169,Table3[],21,FALSE)),0,VLOOKUP($A169,Table3[],21,FALSE))</f>
        <v>32</v>
      </c>
      <c r="W169" s="85">
        <f>IF(ISNA(VLOOKUP($A169,Table3[],22,FALSE)),0,VLOOKUP($A169,Table3[],22,FALSE))</f>
        <v>1</v>
      </c>
    </row>
    <row r="170" spans="1:23" s="73" customFormat="1" x14ac:dyDescent="0.25">
      <c r="A170" s="35">
        <v>157</v>
      </c>
      <c r="B170" s="138" t="str">
        <f>VLOOKUP(A170,Registry!$A$4:$AA$241,2,FALSE)</f>
        <v>Crosstown Road Mobile Home Park</v>
      </c>
      <c r="C170" s="138" t="str">
        <f>VLOOKUP(A170,Registry!$A$4:$AA$241,3,FALSE)</f>
        <v>Washington</v>
      </c>
      <c r="D170" s="138" t="str">
        <f>VLOOKUP(A170,Registry!$A$4:$AA$241,4,FALSE)</f>
        <v>Berlin</v>
      </c>
      <c r="E170" s="138">
        <f>IF(VLOOKUP(A170,Registry!$A$4:$AA$241,7,FALSE)=0,"",VLOOKUP(A170,Registry!$A$4:$AA$241,7,FALSE))</f>
        <v>1965</v>
      </c>
      <c r="F170" s="138" t="str">
        <f>IF(VLOOKUP(A170,Registry!$A$4:$AA$241,20,FALSE)=0,"",VLOOKUP(A170,Registry!$A$4:$AA$241,20,FALSE))</f>
        <v>For profit</v>
      </c>
      <c r="G170" s="138">
        <f>VLOOKUP(A170,Registry!$A$4:$AA$241,21,FALSE)</f>
        <v>5</v>
      </c>
      <c r="H170" s="81">
        <f>VLOOKUP($A170,Table4[],36,FALSE)</f>
        <v>1</v>
      </c>
      <c r="I170" s="129">
        <f>VLOOKUP($A170,Table4[],41,FALSE)</f>
        <v>0.11512415349887133</v>
      </c>
      <c r="J170" s="81">
        <f>VLOOKUP($A170,Table4[],30,FALSE)</f>
        <v>0</v>
      </c>
      <c r="K170" s="82">
        <f>VLOOKUP($A170,Table4[],17,FALSE)</f>
        <v>0</v>
      </c>
      <c r="L170" s="82">
        <f>VLOOKUP($A170,Table4[],18,FALSE)</f>
        <v>0</v>
      </c>
      <c r="M170" s="82" t="str">
        <f>IF(VLOOKUP($A170,Table2[],8,FALSE)=0,"",VLOOKUP($A170,Table2[],8,FALSE))</f>
        <v>Small-Scale (potable, &lt;25 users)</v>
      </c>
      <c r="N170" s="82">
        <f>VLOOKUP($A170,Table2[],14,FALSE)</f>
        <v>0</v>
      </c>
      <c r="O170" s="82" t="str">
        <f>IF(VLOOKUP($A170,Table2[],15,FALSE)=0,"",VLOOKUP($A170,Table2[],15,FALSE))</f>
        <v>On-Site</v>
      </c>
      <c r="P170" s="82" t="str">
        <f>IF(VLOOKUP($A170,Table2[],16,FALSE)=0,"",VLOOKUP($A170,Table2[],16,FALSE))</f>
        <v/>
      </c>
      <c r="Q170" s="83" t="str">
        <f>IF(ISNA(VLOOKUP($A170,Table3[],6,FALSE)),"None",VLOOKUP($A170,Table3[],6,FALSE))</f>
        <v>None</v>
      </c>
      <c r="R170" s="83" t="str">
        <f>IF(ISNA(VLOOKUP($A170,Table3[],7,FALSE)),"Unknown",VLOOKUP($A170,Table3[],7,FALSE))</f>
        <v>Unknown</v>
      </c>
      <c r="S170" s="83" t="str">
        <f>IF(ISNA(VLOOKUP($A170,Table3[],8,FALSE)),"None",VLOOKUP($A170,Table3[],8,FALSE))</f>
        <v>None</v>
      </c>
      <c r="T170" s="84" t="str">
        <f>IF(ISNA(VLOOKUP($A170,Table3[],13,FALSE)),"Unknown",VLOOKUP($A170,Table3[],13,FALSE))</f>
        <v>Unknown</v>
      </c>
      <c r="U170" s="85" t="str">
        <f>IF(ISNA(VLOOKUP($A170,Table3[],14,FALSE)),"Unknown",VLOOKUP($A170,Table3[],14,FALSE))</f>
        <v>Unknown</v>
      </c>
      <c r="V170" s="84">
        <f>IF(ISNA(VLOOKUP($A170,Table3[],21,FALSE)),0,VLOOKUP($A170,Table3[],21,FALSE))</f>
        <v>0</v>
      </c>
      <c r="W170" s="85">
        <f>IF(ISNA(VLOOKUP($A170,Table3[],22,FALSE)),0,VLOOKUP($A170,Table3[],22,FALSE))</f>
        <v>0</v>
      </c>
    </row>
    <row r="171" spans="1:23" s="73" customFormat="1" x14ac:dyDescent="0.25">
      <c r="A171" s="35">
        <v>158</v>
      </c>
      <c r="B171" s="138" t="str">
        <f>VLOOKUP(A171,Registry!$A$4:$AA$241,2,FALSE)</f>
        <v>Eastwood Manor Mobile Home Park</v>
      </c>
      <c r="C171" s="138" t="str">
        <f>VLOOKUP(A171,Registry!$A$4:$AA$241,3,FALSE)</f>
        <v>Washington</v>
      </c>
      <c r="D171" s="138" t="str">
        <f>VLOOKUP(A171,Registry!$A$4:$AA$241,4,FALSE)</f>
        <v>Berlin</v>
      </c>
      <c r="E171" s="138">
        <f>IF(VLOOKUP(A171,Registry!$A$4:$AA$241,7,FALSE)=0,"",VLOOKUP(A171,Registry!$A$4:$AA$241,7,FALSE))</f>
        <v>1965</v>
      </c>
      <c r="F171" s="138" t="str">
        <f>IF(VLOOKUP(A171,Registry!$A$4:$AA$241,20,FALSE)=0,"",VLOOKUP(A171,Registry!$A$4:$AA$241,20,FALSE))</f>
        <v>For profit</v>
      </c>
      <c r="G171" s="138">
        <f>VLOOKUP(A171,Registry!$A$4:$AA$241,21,FALSE)</f>
        <v>9</v>
      </c>
      <c r="H171" s="81">
        <f>VLOOKUP($A171,Table4[],36,FALSE)</f>
        <v>1</v>
      </c>
      <c r="I171" s="129">
        <f>VLOOKUP($A171,Table4[],41,FALSE)</f>
        <v>0.11576354679802955</v>
      </c>
      <c r="J171" s="81">
        <f>VLOOKUP($A171,Table4[],30,FALSE)</f>
        <v>0</v>
      </c>
      <c r="K171" s="82">
        <f>VLOOKUP($A171,Table4[],17,FALSE)</f>
        <v>0</v>
      </c>
      <c r="L171" s="82">
        <f>VLOOKUP($A171,Table4[],18,FALSE)</f>
        <v>0</v>
      </c>
      <c r="M171" s="82" t="str">
        <f>IF(VLOOKUP($A171,Table2[],8,FALSE)=0,"",VLOOKUP($A171,Table2[],8,FALSE))</f>
        <v>Small-Scale (potable, &lt;25 users)</v>
      </c>
      <c r="N171" s="82">
        <f>VLOOKUP($A171,Table2[],14,FALSE)</f>
        <v>0</v>
      </c>
      <c r="O171" s="82" t="str">
        <f>IF(VLOOKUP($A171,Table2[],15,FALSE)=0,"",VLOOKUP($A171,Table2[],15,FALSE))</f>
        <v>Municipal</v>
      </c>
      <c r="P171" s="82" t="str">
        <f>IF(VLOOKUP($A171,Table2[],16,FALSE)=0,"",VLOOKUP($A171,Table2[],16,FALSE))</f>
        <v/>
      </c>
      <c r="Q171" s="83" t="str">
        <f>IF(ISNA(VLOOKUP($A171,Table3[],6,FALSE)),"None",VLOOKUP($A171,Table3[],6,FALSE))</f>
        <v>None</v>
      </c>
      <c r="R171" s="83" t="str">
        <f>IF(ISNA(VLOOKUP($A171,Table3[],7,FALSE)),"Unknown",VLOOKUP($A171,Table3[],7,FALSE))</f>
        <v>Unknown</v>
      </c>
      <c r="S171" s="83" t="str">
        <f>IF(ISNA(VLOOKUP($A171,Table3[],8,FALSE)),"None",VLOOKUP($A171,Table3[],8,FALSE))</f>
        <v>None</v>
      </c>
      <c r="T171" s="84">
        <f>IF(ISNA(VLOOKUP($A171,Table3[],13,FALSE)),"Unknown",VLOOKUP($A171,Table3[],13,FALSE))</f>
        <v>0</v>
      </c>
      <c r="U171" s="85">
        <f>IF(ISNA(VLOOKUP($A171,Table3[],14,FALSE)),"Unknown",VLOOKUP($A171,Table3[],14,FALSE))</f>
        <v>0</v>
      </c>
      <c r="V171" s="84">
        <f>IF(ISNA(VLOOKUP($A171,Table3[],21,FALSE)),0,VLOOKUP($A171,Table3[],21,FALSE))</f>
        <v>0</v>
      </c>
      <c r="W171" s="85">
        <f>IF(ISNA(VLOOKUP($A171,Table3[],22,FALSE)),0,VLOOKUP($A171,Table3[],22,FALSE))</f>
        <v>0</v>
      </c>
    </row>
    <row r="172" spans="1:23" s="73" customFormat="1" x14ac:dyDescent="0.25">
      <c r="A172" s="35">
        <v>132</v>
      </c>
      <c r="B172" s="138" t="str">
        <f>VLOOKUP(A172,Registry!$A$4:$AA$241,2,FALSE)</f>
        <v>LaGue Inc.</v>
      </c>
      <c r="C172" s="138" t="str">
        <f>VLOOKUP(A172,Registry!$A$4:$AA$241,3,FALSE)</f>
        <v>Washington</v>
      </c>
      <c r="D172" s="138" t="str">
        <f>VLOOKUP(A172,Registry!$A$4:$AA$241,4,FALSE)</f>
        <v>Berlin</v>
      </c>
      <c r="E172" s="138">
        <f>IF(VLOOKUP(A172,Registry!$A$4:$AA$241,7,FALSE)=0,"",VLOOKUP(A172,Registry!$A$4:$AA$241,7,FALSE))</f>
        <v>1967</v>
      </c>
      <c r="F172" s="138" t="str">
        <f>IF(VLOOKUP(A172,Registry!$A$4:$AA$241,20,FALSE)=0,"",VLOOKUP(A172,Registry!$A$4:$AA$241,20,FALSE))</f>
        <v>For profit</v>
      </c>
      <c r="G172" s="138">
        <f>VLOOKUP(A172,Registry!$A$4:$AA$241,21,FALSE)</f>
        <v>28</v>
      </c>
      <c r="H172" s="81">
        <f>VLOOKUP($A172,Table4[],36,FALSE)</f>
        <v>1</v>
      </c>
      <c r="I172" s="129">
        <f>VLOOKUP($A172,Table4[],41,FALSE)</f>
        <v>0.11649484536082474</v>
      </c>
      <c r="J172" s="81">
        <f>VLOOKUP($A172,Table4[],30,FALSE)</f>
        <v>0</v>
      </c>
      <c r="K172" s="82">
        <f>VLOOKUP($A172,Table4[],17,FALSE)</f>
        <v>0</v>
      </c>
      <c r="L172" s="82">
        <f>VLOOKUP($A172,Table4[],18,FALSE)</f>
        <v>0</v>
      </c>
      <c r="M172" s="82" t="str">
        <f>IF(VLOOKUP($A172,Table2[],8,FALSE)=0,"",VLOOKUP($A172,Table2[],8,FALSE))</f>
        <v>Municipal</v>
      </c>
      <c r="N172" s="82">
        <f>VLOOKUP($A172,Table2[],14,FALSE)</f>
        <v>0</v>
      </c>
      <c r="O172" s="82" t="str">
        <f>IF(VLOOKUP($A172,Table2[],15,FALSE)=0,"",VLOOKUP($A172,Table2[],15,FALSE))</f>
        <v>Municipal</v>
      </c>
      <c r="P172" s="82" t="str">
        <f>IF(VLOOKUP($A172,Table2[],16,FALSE)=0,"",VLOOKUP($A172,Table2[],16,FALSE))</f>
        <v/>
      </c>
      <c r="Q172" s="83" t="str">
        <f>IF(ISNA(VLOOKUP($A172,Table3[],6,FALSE)),"None",VLOOKUP($A172,Table3[],6,FALSE))</f>
        <v>None</v>
      </c>
      <c r="R172" s="83" t="str">
        <f>IF(ISNA(VLOOKUP($A172,Table3[],7,FALSE)),"Unknown",VLOOKUP($A172,Table3[],7,FALSE))</f>
        <v>Unknown</v>
      </c>
      <c r="S172" s="83" t="str">
        <f>IF(ISNA(VLOOKUP($A172,Table3[],8,FALSE)),"None",VLOOKUP($A172,Table3[],8,FALSE))</f>
        <v>None</v>
      </c>
      <c r="T172" s="84" t="str">
        <f>IF(ISNA(VLOOKUP($A172,Table3[],13,FALSE)),"Unknown",VLOOKUP($A172,Table3[],13,FALSE))</f>
        <v>Unknown</v>
      </c>
      <c r="U172" s="85" t="str">
        <f>IF(ISNA(VLOOKUP($A172,Table3[],14,FALSE)),"Unknown",VLOOKUP($A172,Table3[],14,FALSE))</f>
        <v>Unknown</v>
      </c>
      <c r="V172" s="84">
        <f>IF(ISNA(VLOOKUP($A172,Table3[],21,FALSE)),0,VLOOKUP($A172,Table3[],21,FALSE))</f>
        <v>0</v>
      </c>
      <c r="W172" s="85">
        <f>IF(ISNA(VLOOKUP($A172,Table3[],22,FALSE)),0,VLOOKUP($A172,Table3[],22,FALSE))</f>
        <v>0</v>
      </c>
    </row>
    <row r="173" spans="1:23" s="73" customFormat="1" x14ac:dyDescent="0.25">
      <c r="A173" s="35">
        <v>155</v>
      </c>
      <c r="B173" s="138" t="str">
        <f>VLOOKUP(A173,Registry!$A$4:$AA$241,2,FALSE)</f>
        <v>River Run Mobile Home Park</v>
      </c>
      <c r="C173" s="138" t="str">
        <f>VLOOKUP(A173,Registry!$A$4:$AA$241,3,FALSE)</f>
        <v>Washington</v>
      </c>
      <c r="D173" s="138" t="str">
        <f>VLOOKUP(A173,Registry!$A$4:$AA$241,4,FALSE)</f>
        <v>Berlin</v>
      </c>
      <c r="E173" s="138">
        <f>IF(VLOOKUP(A173,Registry!$A$4:$AA$241,7,FALSE)=0,"",VLOOKUP(A173,Registry!$A$4:$AA$241,7,FALSE))</f>
        <v>1965</v>
      </c>
      <c r="F173" s="138" t="str">
        <f>IF(VLOOKUP(A173,Registry!$A$4:$AA$241,20,FALSE)=0,"",VLOOKUP(A173,Registry!$A$4:$AA$241,20,FALSE))</f>
        <v>For profit</v>
      </c>
      <c r="G173" s="138">
        <f>VLOOKUP(A173,Registry!$A$4:$AA$241,21,FALSE)</f>
        <v>35</v>
      </c>
      <c r="H173" s="81">
        <f>VLOOKUP($A173,Table4[],36,FALSE)</f>
        <v>0.22857142857142856</v>
      </c>
      <c r="I173" s="129">
        <f>VLOOKUP($A173,Table4[],41,FALSE)</f>
        <v>0.11576354679802955</v>
      </c>
      <c r="J173" s="81">
        <f>VLOOKUP($A173,Table4[],30,FALSE)</f>
        <v>2.8571428571428571E-2</v>
      </c>
      <c r="K173" s="82">
        <f>VLOOKUP($A173,Table4[],17,FALSE)</f>
        <v>0</v>
      </c>
      <c r="L173" s="82">
        <f>VLOOKUP($A173,Table4[],18,FALSE)</f>
        <v>0</v>
      </c>
      <c r="M173" s="82" t="str">
        <f>IF(VLOOKUP($A173,Table2[],8,FALSE)=0,"",VLOOKUP($A173,Table2[],8,FALSE))</f>
        <v>Municipal</v>
      </c>
      <c r="N173" s="82">
        <f>VLOOKUP($A173,Table2[],14,FALSE)</f>
        <v>0</v>
      </c>
      <c r="O173" s="82" t="str">
        <f>IF(VLOOKUP($A173,Table2[],15,FALSE)=0,"",VLOOKUP($A173,Table2[],15,FALSE))</f>
        <v>Municipal</v>
      </c>
      <c r="P173" s="82" t="str">
        <f>IF(VLOOKUP($A173,Table2[],16,FALSE)=0,"",VLOOKUP($A173,Table2[],16,FALSE))</f>
        <v/>
      </c>
      <c r="Q173" s="83" t="str">
        <f>IF(ISNA(VLOOKUP($A173,Table3[],6,FALSE)),"None",VLOOKUP($A173,Table3[],6,FALSE))</f>
        <v>Floodway</v>
      </c>
      <c r="R173" s="83" t="str">
        <f>IF(ISNA(VLOOKUP($A173,Table3[],7,FALSE)),"Unknown",VLOOKUP($A173,Table3[],7,FALSE))</f>
        <v>Unknown</v>
      </c>
      <c r="S173" s="83" t="str">
        <f>IF(ISNA(VLOOKUP($A173,Table3[],8,FALSE)),"None",VLOOKUP($A173,Table3[],8,FALSE))</f>
        <v>Floodway</v>
      </c>
      <c r="T173" s="84">
        <f>IF(ISNA(VLOOKUP($A173,Table3[],13,FALSE)),"Unknown",VLOOKUP($A173,Table3[],13,FALSE))</f>
        <v>27</v>
      </c>
      <c r="U173" s="85">
        <f>IF(ISNA(VLOOKUP($A173,Table3[],14,FALSE)),"Unknown",VLOOKUP($A173,Table3[],14,FALSE))</f>
        <v>0.77142857142857146</v>
      </c>
      <c r="V173" s="84">
        <f>IF(ISNA(VLOOKUP($A173,Table3[],21,FALSE)),0,VLOOKUP($A173,Table3[],21,FALSE))</f>
        <v>34</v>
      </c>
      <c r="W173" s="85">
        <f>IF(ISNA(VLOOKUP($A173,Table3[],22,FALSE)),0,VLOOKUP($A173,Table3[],22,FALSE))</f>
        <v>0.97142857142857142</v>
      </c>
    </row>
    <row r="174" spans="1:23" s="73" customFormat="1" x14ac:dyDescent="0.25">
      <c r="A174" s="35">
        <v>156</v>
      </c>
      <c r="B174" s="138" t="str">
        <f>VLOOKUP(A174,Registry!$A$4:$AA$241,2,FALSE)</f>
        <v>RMC Mobile Home Park</v>
      </c>
      <c r="C174" s="138" t="str">
        <f>VLOOKUP(A174,Registry!$A$4:$AA$241,3,FALSE)</f>
        <v>Washington</v>
      </c>
      <c r="D174" s="138" t="str">
        <f>VLOOKUP(A174,Registry!$A$4:$AA$241,4,FALSE)</f>
        <v>Berlin</v>
      </c>
      <c r="E174" s="138">
        <f>IF(VLOOKUP(A174,Registry!$A$4:$AA$241,7,FALSE)=0,"",VLOOKUP(A174,Registry!$A$4:$AA$241,7,FALSE))</f>
        <v>1965</v>
      </c>
      <c r="F174" s="138" t="str">
        <f>IF(VLOOKUP(A174,Registry!$A$4:$AA$241,20,FALSE)=0,"",VLOOKUP(A174,Registry!$A$4:$AA$241,20,FALSE))</f>
        <v>For profit</v>
      </c>
      <c r="G174" s="138">
        <f>VLOOKUP(A174,Registry!$A$4:$AA$241,21,FALSE)</f>
        <v>23</v>
      </c>
      <c r="H174" s="81">
        <f>VLOOKUP($A174,Table4[],36,FALSE)</f>
        <v>0.95652173913043481</v>
      </c>
      <c r="I174" s="129">
        <f>VLOOKUP($A174,Table4[],41,FALSE)</f>
        <v>0.11576354679802955</v>
      </c>
      <c r="J174" s="81">
        <f>VLOOKUP($A174,Table4[],30,FALSE)</f>
        <v>0</v>
      </c>
      <c r="K174" s="82">
        <f>VLOOKUP($A174,Table4[],17,FALSE)</f>
        <v>0</v>
      </c>
      <c r="L174" s="82">
        <f>VLOOKUP($A174,Table4[],18,FALSE)</f>
        <v>0</v>
      </c>
      <c r="M174" s="82" t="str">
        <f>IF(VLOOKUP($A174,Table2[],8,FALSE)=0,"",VLOOKUP($A174,Table2[],8,FALSE))</f>
        <v xml:space="preserve">Community </v>
      </c>
      <c r="N174" s="82">
        <f>VLOOKUP($A174,Table2[],14,FALSE)</f>
        <v>0</v>
      </c>
      <c r="O174" s="82" t="str">
        <f>IF(VLOOKUP($A174,Table2[],15,FALSE)=0,"",VLOOKUP($A174,Table2[],15,FALSE))</f>
        <v>On-Site</v>
      </c>
      <c r="P174" s="82" t="str">
        <f>IF(VLOOKUP($A174,Table2[],16,FALSE)=0,"",VLOOKUP($A174,Table2[],16,FALSE))</f>
        <v>MH-5-0008</v>
      </c>
      <c r="Q174" s="83" t="str">
        <f>IF(ISNA(VLOOKUP($A174,Table3[],6,FALSE)),"None",VLOOKUP($A174,Table3[],6,FALSE))</f>
        <v>500 Year Flood Plain</v>
      </c>
      <c r="R174" s="83" t="str">
        <f>IF(ISNA(VLOOKUP($A174,Table3[],7,FALSE)),"Unknown",VLOOKUP($A174,Table3[],7,FALSE))</f>
        <v>Unknown</v>
      </c>
      <c r="S174" s="83" t="str">
        <f>IF(ISNA(VLOOKUP($A174,Table3[],8,FALSE)),"None",VLOOKUP($A174,Table3[],8,FALSE))</f>
        <v>500 Year Flood Plain</v>
      </c>
      <c r="T174" s="84">
        <f>IF(ISNA(VLOOKUP($A174,Table3[],13,FALSE)),"Unknown",VLOOKUP($A174,Table3[],13,FALSE))</f>
        <v>7</v>
      </c>
      <c r="U174" s="85">
        <f>IF(ISNA(VLOOKUP($A174,Table3[],14,FALSE)),"Unknown",VLOOKUP($A174,Table3[],14,FALSE))</f>
        <v>0.30434782608695654</v>
      </c>
      <c r="V174" s="84">
        <f>IF(ISNA(VLOOKUP($A174,Table3[],21,FALSE)),0,VLOOKUP($A174,Table3[],21,FALSE))</f>
        <v>14</v>
      </c>
      <c r="W174" s="85">
        <f>IF(ISNA(VLOOKUP($A174,Table3[],22,FALSE)),0,VLOOKUP($A174,Table3[],22,FALSE))</f>
        <v>0.60869565217391308</v>
      </c>
    </row>
    <row r="175" spans="1:23" s="73" customFormat="1" x14ac:dyDescent="0.25">
      <c r="A175" s="35">
        <v>134</v>
      </c>
      <c r="B175" s="138" t="str">
        <f>VLOOKUP(A175,Registry!$A$4:$AA$241,2,FALSE)</f>
        <v>Weston Mobile Home Park</v>
      </c>
      <c r="C175" s="138" t="str">
        <f>VLOOKUP(A175,Registry!$A$4:$AA$241,3,FALSE)</f>
        <v>Washington</v>
      </c>
      <c r="D175" s="138" t="str">
        <f>VLOOKUP(A175,Registry!$A$4:$AA$241,4,FALSE)</f>
        <v>Berlin</v>
      </c>
      <c r="E175" s="138">
        <f>IF(VLOOKUP(A175,Registry!$A$4:$AA$241,7,FALSE)=0,"",VLOOKUP(A175,Registry!$A$4:$AA$241,7,FALSE))</f>
        <v>1960</v>
      </c>
      <c r="F175" s="138" t="str">
        <f>IF(VLOOKUP(A175,Registry!$A$4:$AA$241,20,FALSE)=0,"",VLOOKUP(A175,Registry!$A$4:$AA$241,20,FALSE))</f>
        <v>Cooperative</v>
      </c>
      <c r="G175" s="138">
        <f>VLOOKUP(A175,Registry!$A$4:$AA$241,21,FALSE)</f>
        <v>83</v>
      </c>
      <c r="H175" s="81">
        <f>VLOOKUP($A175,Table4[],36,FALSE)</f>
        <v>1</v>
      </c>
      <c r="I175" s="129">
        <f>VLOOKUP($A175,Table4[],41,FALSE)</f>
        <v>1.4084507042253521E-2</v>
      </c>
      <c r="J175" s="81">
        <f>VLOOKUP($A175,Table4[],30,FALSE)</f>
        <v>-1.2048192771084338E-2</v>
      </c>
      <c r="K175" s="82">
        <f>VLOOKUP($A175,Table4[],17,FALSE)</f>
        <v>-1</v>
      </c>
      <c r="L175" s="82">
        <f>VLOOKUP($A175,Table4[],18,FALSE)</f>
        <v>0</v>
      </c>
      <c r="M175" s="82" t="str">
        <f>IF(VLOOKUP($A175,Table2[],8,FALSE)=0,"",VLOOKUP($A175,Table2[],8,FALSE))</f>
        <v xml:space="preserve">Community </v>
      </c>
      <c r="N175" s="82">
        <f>VLOOKUP($A175,Table2[],14,FALSE)</f>
        <v>1</v>
      </c>
      <c r="O175" s="82" t="str">
        <f>IF(VLOOKUP($A175,Table2[],15,FALSE)=0,"",VLOOKUP($A175,Table2[],15,FALSE))</f>
        <v/>
      </c>
      <c r="P175" s="82" t="str">
        <f>IF(VLOOKUP($A175,Table2[],16,FALSE)=0,"",VLOOKUP($A175,Table2[],16,FALSE))</f>
        <v>WW-5-7389, WW-5-7390</v>
      </c>
      <c r="Q175" s="83" t="str">
        <f>IF(ISNA(VLOOKUP($A175,Table3[],6,FALSE)),"None",VLOOKUP($A175,Table3[],6,FALSE))</f>
        <v>Floodway</v>
      </c>
      <c r="R175" s="83" t="str">
        <f>IF(ISNA(VLOOKUP($A175,Table3[],7,FALSE)),"Unknown",VLOOKUP($A175,Table3[],7,FALSE))</f>
        <v>None</v>
      </c>
      <c r="S175" s="83" t="str">
        <f>IF(ISNA(VLOOKUP($A175,Table3[],8,FALSE)),"None",VLOOKUP($A175,Table3[],8,FALSE))</f>
        <v>Floodway</v>
      </c>
      <c r="T175" s="84">
        <f>IF(ISNA(VLOOKUP($A175,Table3[],13,FALSE)),"Unknown",VLOOKUP($A175,Table3[],13,FALSE))</f>
        <v>14</v>
      </c>
      <c r="U175" s="85">
        <f>IF(ISNA(VLOOKUP($A175,Table3[],14,FALSE)),"Unknown",VLOOKUP($A175,Table3[],14,FALSE))</f>
        <v>0.16867469879518071</v>
      </c>
      <c r="V175" s="84">
        <f>IF(ISNA(VLOOKUP($A175,Table3[],21,FALSE)),0,VLOOKUP($A175,Table3[],21,FALSE))</f>
        <v>68</v>
      </c>
      <c r="W175" s="85">
        <f>IF(ISNA(VLOOKUP($A175,Table3[],22,FALSE)),0,VLOOKUP($A175,Table3[],22,FALSE))</f>
        <v>0.81927710843373491</v>
      </c>
    </row>
    <row r="176" spans="1:23" s="73" customFormat="1" x14ac:dyDescent="0.25">
      <c r="A176" s="35">
        <v>176</v>
      </c>
      <c r="B176" s="138" t="str">
        <f>VLOOKUP(A176,Registry!$A$4:$AA$241,2,FALSE)</f>
        <v>Patterson MHP</v>
      </c>
      <c r="C176" s="138" t="str">
        <f>VLOOKUP(A176,Registry!$A$4:$AA$241,3,FALSE)</f>
        <v>Washington</v>
      </c>
      <c r="D176" s="138" t="str">
        <f>VLOOKUP(A176,Registry!$A$4:$AA$241,4,FALSE)</f>
        <v>Duxbury</v>
      </c>
      <c r="E176" s="138">
        <f>IF(VLOOKUP(A176,Registry!$A$4:$AA$241,7,FALSE)=0,"",VLOOKUP(A176,Registry!$A$4:$AA$241,7,FALSE))</f>
        <v>1959</v>
      </c>
      <c r="F176" s="138" t="str">
        <f>IF(VLOOKUP(A176,Registry!$A$4:$AA$241,20,FALSE)=0,"",VLOOKUP(A176,Registry!$A$4:$AA$241,20,FALSE))</f>
        <v>For profit</v>
      </c>
      <c r="G176" s="138">
        <f>VLOOKUP(A176,Registry!$A$4:$AA$241,21,FALSE)</f>
        <v>24</v>
      </c>
      <c r="H176" s="81">
        <f>VLOOKUP($A176,Table4[],36,FALSE)</f>
        <v>0.29166666666666669</v>
      </c>
      <c r="I176" s="129">
        <f>VLOOKUP($A176,Table4[],41,FALSE)</f>
        <v>0</v>
      </c>
      <c r="J176" s="81">
        <f>VLOOKUP($A176,Table4[],30,FALSE)</f>
        <v>0</v>
      </c>
      <c r="K176" s="82">
        <f>VLOOKUP($A176,Table4[],17,FALSE)</f>
        <v>0</v>
      </c>
      <c r="L176" s="82">
        <f>VLOOKUP($A176,Table4[],18,FALSE)</f>
        <v>0</v>
      </c>
      <c r="M176" s="82" t="str">
        <f>IF(VLOOKUP($A176,Table2[],8,FALSE)=0,"",VLOOKUP($A176,Table2[],8,FALSE))</f>
        <v>Municipal</v>
      </c>
      <c r="N176" s="82">
        <f>VLOOKUP($A176,Table2[],14,FALSE)</f>
        <v>0</v>
      </c>
      <c r="O176" s="82" t="str">
        <f>IF(VLOOKUP($A176,Table2[],15,FALSE)=0,"",VLOOKUP($A176,Table2[],15,FALSE))</f>
        <v>Community On-Site</v>
      </c>
      <c r="P176" s="82" t="str">
        <f>IF(VLOOKUP($A176,Table2[],16,FALSE)=0,"",VLOOKUP($A176,Table2[],16,FALSE))</f>
        <v/>
      </c>
      <c r="Q176" s="83" t="str">
        <f>IF(ISNA(VLOOKUP($A176,Table3[],6,FALSE)),"None",VLOOKUP($A176,Table3[],6,FALSE))</f>
        <v>100 Year Flood Plain</v>
      </c>
      <c r="R176" s="83" t="str">
        <f>IF(ISNA(VLOOKUP($A176,Table3[],7,FALSE)),"Unknown",VLOOKUP($A176,Table3[],7,FALSE))</f>
        <v>Unknown</v>
      </c>
      <c r="S176" s="83" t="str">
        <f>IF(ISNA(VLOOKUP($A176,Table3[],8,FALSE)),"None",VLOOKUP($A176,Table3[],8,FALSE))</f>
        <v>Floodway</v>
      </c>
      <c r="T176" s="84">
        <f>IF(ISNA(VLOOKUP($A176,Table3[],13,FALSE)),"Unknown",VLOOKUP($A176,Table3[],13,FALSE))</f>
        <v>4</v>
      </c>
      <c r="U176" s="85">
        <f>IF(ISNA(VLOOKUP($A176,Table3[],14,FALSE)),"Unknown",VLOOKUP($A176,Table3[],14,FALSE))</f>
        <v>0.16666666666666666</v>
      </c>
      <c r="V176" s="84">
        <f>IF(ISNA(VLOOKUP($A176,Table3[],21,FALSE)),0,VLOOKUP($A176,Table3[],21,FALSE))</f>
        <v>24</v>
      </c>
      <c r="W176" s="85">
        <f>IF(ISNA(VLOOKUP($A176,Table3[],22,FALSE)),0,VLOOKUP($A176,Table3[],22,FALSE))</f>
        <v>1</v>
      </c>
    </row>
    <row r="177" spans="1:23" s="73" customFormat="1" x14ac:dyDescent="0.25">
      <c r="A177" s="35">
        <v>142</v>
      </c>
      <c r="B177" s="138" t="str">
        <f>VLOOKUP(A177,Registry!$A$4:$AA$241,2,FALSE)</f>
        <v>Sandy Pines Mobile Home Park</v>
      </c>
      <c r="C177" s="138" t="str">
        <f>VLOOKUP(A177,Registry!$A$4:$AA$241,3,FALSE)</f>
        <v>Washington</v>
      </c>
      <c r="D177" s="138" t="str">
        <f>VLOOKUP(A177,Registry!$A$4:$AA$241,4,FALSE)</f>
        <v>East Montpelier</v>
      </c>
      <c r="E177" s="138">
        <f>IF(VLOOKUP(A177,Registry!$A$4:$AA$241,7,FALSE)=0,"",VLOOKUP(A177,Registry!$A$4:$AA$241,7,FALSE))</f>
        <v>1970</v>
      </c>
      <c r="F177" s="138" t="str">
        <f>IF(VLOOKUP(A177,Registry!$A$4:$AA$241,20,FALSE)=0,"",VLOOKUP(A177,Registry!$A$4:$AA$241,20,FALSE))</f>
        <v>Non-profit</v>
      </c>
      <c r="G177" s="138">
        <f>VLOOKUP(A177,Registry!$A$4:$AA$241,21,FALSE)</f>
        <v>56</v>
      </c>
      <c r="H177" s="81">
        <f>VLOOKUP($A177,Table4[],36,FALSE)</f>
        <v>1</v>
      </c>
      <c r="I177" s="129">
        <f>VLOOKUP($A177,Table4[],41,FALSE)</f>
        <v>6.0267857142857144E-2</v>
      </c>
      <c r="J177" s="81">
        <f>VLOOKUP($A177,Table4[],30,FALSE)</f>
        <v>1.7857142857142856E-2</v>
      </c>
      <c r="K177" s="82">
        <f>VLOOKUP($A177,Table4[],17,FALSE)</f>
        <v>-1</v>
      </c>
      <c r="L177" s="82">
        <f>VLOOKUP($A177,Table4[],18,FALSE)</f>
        <v>0</v>
      </c>
      <c r="M177" s="82" t="str">
        <f>IF(VLOOKUP($A177,Table2[],8,FALSE)=0,"",VLOOKUP($A177,Table2[],8,FALSE))</f>
        <v xml:space="preserve">Community </v>
      </c>
      <c r="N177" s="82">
        <f>VLOOKUP($A177,Table2[],14,FALSE)</f>
        <v>1</v>
      </c>
      <c r="O177" s="82" t="str">
        <f>IF(VLOOKUP($A177,Table2[],15,FALSE)=0,"",VLOOKUP($A177,Table2[],15,FALSE))</f>
        <v>Community On-Site</v>
      </c>
      <c r="P177" s="82" t="str">
        <f>IF(VLOOKUP($A177,Table2[],16,FALSE)=0,"",VLOOKUP($A177,Table2[],16,FALSE))</f>
        <v>MH-5-0009 to -3, ID-9-0270</v>
      </c>
      <c r="Q177" s="83" t="str">
        <f>IF(ISNA(VLOOKUP($A177,Table3[],6,FALSE)),"None",VLOOKUP($A177,Table3[],6,FALSE))</f>
        <v>None</v>
      </c>
      <c r="R177" s="83" t="str">
        <f>IF(ISNA(VLOOKUP($A177,Table3[],7,FALSE)),"Unknown",VLOOKUP($A177,Table3[],7,FALSE))</f>
        <v>Unknown</v>
      </c>
      <c r="S177" s="83" t="str">
        <f>IF(ISNA(VLOOKUP($A177,Table3[],8,FALSE)),"None",VLOOKUP($A177,Table3[],8,FALSE))</f>
        <v>None</v>
      </c>
      <c r="T177" s="84" t="str">
        <f>IF(ISNA(VLOOKUP($A177,Table3[],13,FALSE)),"Unknown",VLOOKUP($A177,Table3[],13,FALSE))</f>
        <v>Unknown</v>
      </c>
      <c r="U177" s="85" t="str">
        <f>IF(ISNA(VLOOKUP($A177,Table3[],14,FALSE)),"Unknown",VLOOKUP($A177,Table3[],14,FALSE))</f>
        <v>Unknown</v>
      </c>
      <c r="V177" s="84">
        <f>IF(ISNA(VLOOKUP($A177,Table3[],21,FALSE)),0,VLOOKUP($A177,Table3[],21,FALSE))</f>
        <v>0</v>
      </c>
      <c r="W177" s="85">
        <f>IF(ISNA(VLOOKUP($A177,Table3[],22,FALSE)),0,VLOOKUP($A177,Table3[],22,FALSE))</f>
        <v>0</v>
      </c>
    </row>
    <row r="178" spans="1:23" s="73" customFormat="1" x14ac:dyDescent="0.25">
      <c r="A178" s="35">
        <v>120</v>
      </c>
      <c r="B178" s="138" t="str">
        <f>VLOOKUP(A178,Registry!$A$4:$AA$241,2,FALSE)</f>
        <v>Riverside Mobile Home Park</v>
      </c>
      <c r="C178" s="138" t="str">
        <f>VLOOKUP(A178,Registry!$A$4:$AA$241,3,FALSE)</f>
        <v>Washington</v>
      </c>
      <c r="D178" s="138" t="str">
        <f>VLOOKUP(A178,Registry!$A$4:$AA$241,4,FALSE)</f>
        <v>Moretown</v>
      </c>
      <c r="E178" s="138">
        <f>IF(VLOOKUP(A178,Registry!$A$4:$AA$241,7,FALSE)=0,"",VLOOKUP(A178,Registry!$A$4:$AA$241,7,FALSE))</f>
        <v>1958</v>
      </c>
      <c r="F178" s="138" t="str">
        <f>IF(VLOOKUP(A178,Registry!$A$4:$AA$241,20,FALSE)=0,"",VLOOKUP(A178,Registry!$A$4:$AA$241,20,FALSE))</f>
        <v>For profit</v>
      </c>
      <c r="G178" s="138">
        <f>VLOOKUP(A178,Registry!$A$4:$AA$241,21,FALSE)</f>
        <v>12</v>
      </c>
      <c r="H178" s="81">
        <f>VLOOKUP($A178,Table4[],36,FALSE)</f>
        <v>1</v>
      </c>
      <c r="I178" s="129">
        <f>VLOOKUP($A178,Table4[],41,FALSE)</f>
        <v>7.4550128534704371E-2</v>
      </c>
      <c r="J178" s="81">
        <f>VLOOKUP($A178,Table4[],30,FALSE)</f>
        <v>0</v>
      </c>
      <c r="K178" s="82">
        <f>VLOOKUP($A178,Table4[],17,FALSE)</f>
        <v>0</v>
      </c>
      <c r="L178" s="82">
        <f>VLOOKUP($A178,Table4[],18,FALSE)</f>
        <v>0</v>
      </c>
      <c r="M178" s="82" t="str">
        <f>IF(VLOOKUP($A178,Table2[],8,FALSE)=0,"",VLOOKUP($A178,Table2[],8,FALSE))</f>
        <v xml:space="preserve">Community </v>
      </c>
      <c r="N178" s="82">
        <f>VLOOKUP($A178,Table2[],14,FALSE)</f>
        <v>1</v>
      </c>
      <c r="O178" s="82" t="str">
        <f>IF(VLOOKUP($A178,Table2[],15,FALSE)=0,"",VLOOKUP($A178,Table2[],15,FALSE))</f>
        <v>Individual On-Site</v>
      </c>
      <c r="P178" s="82" t="str">
        <f>IF(VLOOKUP($A178,Table2[],16,FALSE)=0,"",VLOOKUP($A178,Table2[],16,FALSE))</f>
        <v>MH-5-0007, WW-5-3236</v>
      </c>
      <c r="Q178" s="83" t="str">
        <f>IF(ISNA(VLOOKUP($A178,Table3[],6,FALSE)),"None",VLOOKUP($A178,Table3[],6,FALSE))</f>
        <v>None</v>
      </c>
      <c r="R178" s="83" t="str">
        <f>IF(ISNA(VLOOKUP($A178,Table3[],7,FALSE)),"Unknown",VLOOKUP($A178,Table3[],7,FALSE))</f>
        <v>Unknown</v>
      </c>
      <c r="S178" s="83" t="str">
        <f>IF(ISNA(VLOOKUP($A178,Table3[],8,FALSE)),"None",VLOOKUP($A178,Table3[],8,FALSE))</f>
        <v>None</v>
      </c>
      <c r="T178" s="84">
        <f>IF(ISNA(VLOOKUP($A178,Table3[],13,FALSE)),"Unknown",VLOOKUP($A178,Table3[],13,FALSE))</f>
        <v>0</v>
      </c>
      <c r="U178" s="85">
        <f>IF(ISNA(VLOOKUP($A178,Table3[],14,FALSE)),"Unknown",VLOOKUP($A178,Table3[],14,FALSE))</f>
        <v>0</v>
      </c>
      <c r="V178" s="84">
        <f>IF(ISNA(VLOOKUP($A178,Table3[],21,FALSE)),0,VLOOKUP($A178,Table3[],21,FALSE))</f>
        <v>0</v>
      </c>
      <c r="W178" s="85">
        <f>IF(ISNA(VLOOKUP($A178,Table3[],22,FALSE)),0,VLOOKUP($A178,Table3[],22,FALSE))</f>
        <v>0</v>
      </c>
    </row>
    <row r="179" spans="1:23" s="73" customFormat="1" x14ac:dyDescent="0.25">
      <c r="A179" s="35">
        <v>171</v>
      </c>
      <c r="B179" s="138" t="str">
        <f>VLOOKUP(A179,Registry!$A$4:$AA$241,2,FALSE)</f>
        <v>94 North Main Mobile Home Park</v>
      </c>
      <c r="C179" s="138" t="str">
        <f>VLOOKUP(A179,Registry!$A$4:$AA$241,3,FALSE)</f>
        <v>Washington</v>
      </c>
      <c r="D179" s="138" t="str">
        <f>VLOOKUP(A179,Registry!$A$4:$AA$241,4,FALSE)</f>
        <v>Northfield</v>
      </c>
      <c r="E179" s="138">
        <f>IF(VLOOKUP(A179,Registry!$A$4:$AA$241,7,FALSE)=0,"",VLOOKUP(A179,Registry!$A$4:$AA$241,7,FALSE))</f>
        <v>1994</v>
      </c>
      <c r="F179" s="138" t="str">
        <f>IF(VLOOKUP(A179,Registry!$A$4:$AA$241,20,FALSE)=0,"",VLOOKUP(A179,Registry!$A$4:$AA$241,20,FALSE))</f>
        <v>For profit</v>
      </c>
      <c r="G179" s="138">
        <f>VLOOKUP(A179,Registry!$A$4:$AA$241,21,FALSE)</f>
        <v>7</v>
      </c>
      <c r="H179" s="81">
        <f>VLOOKUP($A179,Table4[],36,FALSE)</f>
        <v>1</v>
      </c>
      <c r="I179" s="129">
        <f>VLOOKUP($A179,Table4[],41,FALSE)</f>
        <v>4.5454545454545456E-2</v>
      </c>
      <c r="J179" s="81">
        <f>VLOOKUP($A179,Table4[],30,FALSE)</f>
        <v>0</v>
      </c>
      <c r="K179" s="82">
        <f>VLOOKUP($A179,Table4[],17,FALSE)</f>
        <v>0</v>
      </c>
      <c r="L179" s="82">
        <f>VLOOKUP($A179,Table4[],18,FALSE)</f>
        <v>0</v>
      </c>
      <c r="M179" s="82" t="str">
        <f>IF(VLOOKUP($A179,Table2[],8,FALSE)=0,"",VLOOKUP($A179,Table2[],8,FALSE))</f>
        <v>Municipal</v>
      </c>
      <c r="N179" s="82">
        <f>VLOOKUP($A179,Table2[],14,FALSE)</f>
        <v>0</v>
      </c>
      <c r="O179" s="82" t="str">
        <f>IF(VLOOKUP($A179,Table2[],15,FALSE)=0,"",VLOOKUP($A179,Table2[],15,FALSE))</f>
        <v>Municipal</v>
      </c>
      <c r="P179" s="82" t="str">
        <f>IF(VLOOKUP($A179,Table2[],16,FALSE)=0,"",VLOOKUP($A179,Table2[],16,FALSE))</f>
        <v/>
      </c>
      <c r="Q179" s="83" t="str">
        <f>IF(ISNA(VLOOKUP($A179,Table3[],6,FALSE)),"None",VLOOKUP($A179,Table3[],6,FALSE))</f>
        <v>None</v>
      </c>
      <c r="R179" s="83" t="str">
        <f>IF(ISNA(VLOOKUP($A179,Table3[],7,FALSE)),"Unknown",VLOOKUP($A179,Table3[],7,FALSE))</f>
        <v>High</v>
      </c>
      <c r="S179" s="83" t="str">
        <f>IF(ISNA(VLOOKUP($A179,Table3[],8,FALSE)),"None",VLOOKUP($A179,Table3[],8,FALSE))</f>
        <v>None</v>
      </c>
      <c r="T179" s="84">
        <f>IF(ISNA(VLOOKUP($A179,Table3[],13,FALSE)),"Unknown",VLOOKUP($A179,Table3[],13,FALSE))</f>
        <v>0</v>
      </c>
      <c r="U179" s="85">
        <f>IF(ISNA(VLOOKUP($A179,Table3[],14,FALSE)),"Unknown",VLOOKUP($A179,Table3[],14,FALSE))</f>
        <v>0</v>
      </c>
      <c r="V179" s="84">
        <f>IF(ISNA(VLOOKUP($A179,Table3[],21,FALSE)),0,VLOOKUP($A179,Table3[],21,FALSE))</f>
        <v>0</v>
      </c>
      <c r="W179" s="85">
        <f>IF(ISNA(VLOOKUP($A179,Table3[],22,FALSE)),0,VLOOKUP($A179,Table3[],22,FALSE))</f>
        <v>0</v>
      </c>
    </row>
    <row r="180" spans="1:23" s="73" customFormat="1" x14ac:dyDescent="0.25">
      <c r="A180" s="35">
        <v>307</v>
      </c>
      <c r="B180" s="138" t="str">
        <f>VLOOKUP(A180,Registry!$A$4:$AA$241,2,FALSE)</f>
        <v>99 North Main Mobile Home Park</v>
      </c>
      <c r="C180" s="138" t="str">
        <f>VLOOKUP(A180,Registry!$A$4:$AA$241,3,FALSE)</f>
        <v>Washington</v>
      </c>
      <c r="D180" s="138" t="str">
        <f>VLOOKUP(A180,Registry!$A$4:$AA$241,4,FALSE)</f>
        <v>Northfield</v>
      </c>
      <c r="E180" s="138">
        <f>IF(VLOOKUP(A180,Registry!$A$4:$AA$241,7,FALSE)=0,"",VLOOKUP(A180,Registry!$A$4:$AA$241,7,FALSE))</f>
        <v>2000</v>
      </c>
      <c r="F180" s="138" t="str">
        <f>IF(VLOOKUP(A180,Registry!$A$4:$AA$241,20,FALSE)=0,"",VLOOKUP(A180,Registry!$A$4:$AA$241,20,FALSE))</f>
        <v>For profit</v>
      </c>
      <c r="G180" s="138">
        <f>VLOOKUP(A180,Registry!$A$4:$AA$241,21,FALSE)</f>
        <v>7</v>
      </c>
      <c r="H180" s="81">
        <f>VLOOKUP($A180,Table4[],36,FALSE)</f>
        <v>1</v>
      </c>
      <c r="I180" s="129">
        <f>VLOOKUP($A180,Table4[],41,FALSE)</f>
        <v>4.5454545454545456E-2</v>
      </c>
      <c r="J180" s="81">
        <f>VLOOKUP($A180,Table4[],30,FALSE)</f>
        <v>0</v>
      </c>
      <c r="K180" s="82">
        <f>VLOOKUP($A180,Table4[],17,FALSE)</f>
        <v>0</v>
      </c>
      <c r="L180" s="82">
        <f>VLOOKUP($A180,Table4[],18,FALSE)</f>
        <v>0</v>
      </c>
      <c r="M180" s="82" t="str">
        <f>IF(VLOOKUP($A180,Table2[],8,FALSE)=0,"",VLOOKUP($A180,Table2[],8,FALSE))</f>
        <v>Municipal</v>
      </c>
      <c r="N180" s="82">
        <f>VLOOKUP($A180,Table2[],14,FALSE)</f>
        <v>0</v>
      </c>
      <c r="O180" s="82" t="str">
        <f>IF(VLOOKUP($A180,Table2[],15,FALSE)=0,"",VLOOKUP($A180,Table2[],15,FALSE))</f>
        <v>Municipal</v>
      </c>
      <c r="P180" s="82" t="str">
        <f>IF(VLOOKUP($A180,Table2[],16,FALSE)=0,"",VLOOKUP($A180,Table2[],16,FALSE))</f>
        <v/>
      </c>
      <c r="Q180" s="83" t="str">
        <f>IF(ISNA(VLOOKUP($A180,Table3[],6,FALSE)),"None",VLOOKUP($A180,Table3[],6,FALSE))</f>
        <v>Floodway</v>
      </c>
      <c r="R180" s="83" t="str">
        <f>IF(ISNA(VLOOKUP($A180,Table3[],7,FALSE)),"Unknown",VLOOKUP($A180,Table3[],7,FALSE))</f>
        <v>High</v>
      </c>
      <c r="S180" s="83" t="str">
        <f>IF(ISNA(VLOOKUP($A180,Table3[],8,FALSE)),"None",VLOOKUP($A180,Table3[],8,FALSE))</f>
        <v>Floodway</v>
      </c>
      <c r="T180" s="84">
        <f>IF(ISNA(VLOOKUP($A180,Table3[],13,FALSE)),"Unknown",VLOOKUP($A180,Table3[],13,FALSE))</f>
        <v>4</v>
      </c>
      <c r="U180" s="85">
        <f>IF(ISNA(VLOOKUP($A180,Table3[],14,FALSE)),"Unknown",VLOOKUP($A180,Table3[],14,FALSE))</f>
        <v>0.5714285714285714</v>
      </c>
      <c r="V180" s="84">
        <f>IF(ISNA(VLOOKUP($A180,Table3[],21,FALSE)),0,VLOOKUP($A180,Table3[],21,FALSE))</f>
        <v>7</v>
      </c>
      <c r="W180" s="85">
        <f>IF(ISNA(VLOOKUP($A180,Table3[],22,FALSE)),0,VLOOKUP($A180,Table3[],22,FALSE))</f>
        <v>1</v>
      </c>
    </row>
    <row r="181" spans="1:23" s="73" customFormat="1" x14ac:dyDescent="0.25">
      <c r="A181" s="35">
        <v>153</v>
      </c>
      <c r="B181" s="138" t="str">
        <f>VLOOKUP(A181,Registry!$A$4:$AA$241,2,FALSE)</f>
        <v>Northfield Falls Mobile Home Park</v>
      </c>
      <c r="C181" s="138" t="str">
        <f>VLOOKUP(A181,Registry!$A$4:$AA$241,3,FALSE)</f>
        <v>Washington</v>
      </c>
      <c r="D181" s="138" t="str">
        <f>VLOOKUP(A181,Registry!$A$4:$AA$241,4,FALSE)</f>
        <v>Northfield</v>
      </c>
      <c r="E181" s="138">
        <f>IF(VLOOKUP(A181,Registry!$A$4:$AA$241,7,FALSE)=0,"",VLOOKUP(A181,Registry!$A$4:$AA$241,7,FALSE))</f>
        <v>1965</v>
      </c>
      <c r="F181" s="138" t="str">
        <f>IF(VLOOKUP(A181,Registry!$A$4:$AA$241,20,FALSE)=0,"",VLOOKUP(A181,Registry!$A$4:$AA$241,20,FALSE))</f>
        <v>For profit</v>
      </c>
      <c r="G181" s="138">
        <f>VLOOKUP(A181,Registry!$A$4:$AA$241,21,FALSE)</f>
        <v>51</v>
      </c>
      <c r="H181" s="81">
        <f>VLOOKUP($A181,Table4[],36,FALSE)</f>
        <v>0.72549019607843135</v>
      </c>
      <c r="I181" s="129">
        <f>VLOOKUP($A181,Table4[],41,FALSE)</f>
        <v>0.11141304347826086</v>
      </c>
      <c r="J181" s="81">
        <f>VLOOKUP($A181,Table4[],30,FALSE)</f>
        <v>-0.11764705882352941</v>
      </c>
      <c r="K181" s="82">
        <f>VLOOKUP($A181,Table4[],17,FALSE)</f>
        <v>0</v>
      </c>
      <c r="L181" s="82">
        <f>VLOOKUP($A181,Table4[],18,FALSE)</f>
        <v>0</v>
      </c>
      <c r="M181" s="82" t="str">
        <f>IF(VLOOKUP($A181,Table2[],8,FALSE)=0,"",VLOOKUP($A181,Table2[],8,FALSE))</f>
        <v>Municipal</v>
      </c>
      <c r="N181" s="82">
        <f>VLOOKUP($A181,Table2[],14,FALSE)</f>
        <v>0</v>
      </c>
      <c r="O181" s="82" t="str">
        <f>IF(VLOOKUP($A181,Table2[],15,FALSE)=0,"",VLOOKUP($A181,Table2[],15,FALSE))</f>
        <v>Municipal</v>
      </c>
      <c r="P181" s="82" t="str">
        <f>IF(VLOOKUP($A181,Table2[],16,FALSE)=0,"",VLOOKUP($A181,Table2[],16,FALSE))</f>
        <v/>
      </c>
      <c r="Q181" s="83" t="str">
        <f>IF(ISNA(VLOOKUP($A181,Table3[],6,FALSE)),"None",VLOOKUP($A181,Table3[],6,FALSE))</f>
        <v>None</v>
      </c>
      <c r="R181" s="83" t="str">
        <f>IF(ISNA(VLOOKUP($A181,Table3[],7,FALSE)),"Unknown",VLOOKUP($A181,Table3[],7,FALSE))</f>
        <v>Unknown</v>
      </c>
      <c r="S181" s="83" t="str">
        <f>IF(ISNA(VLOOKUP($A181,Table3[],8,FALSE)),"None",VLOOKUP($A181,Table3[],8,FALSE))</f>
        <v>None</v>
      </c>
      <c r="T181" s="84" t="str">
        <f>IF(ISNA(VLOOKUP($A181,Table3[],13,FALSE)),"Unknown",VLOOKUP($A181,Table3[],13,FALSE))</f>
        <v>Unknown</v>
      </c>
      <c r="U181" s="85" t="str">
        <f>IF(ISNA(VLOOKUP($A181,Table3[],14,FALSE)),"Unknown",VLOOKUP($A181,Table3[],14,FALSE))</f>
        <v>Unknown</v>
      </c>
      <c r="V181" s="84">
        <f>IF(ISNA(VLOOKUP($A181,Table3[],21,FALSE)),0,VLOOKUP($A181,Table3[],21,FALSE))</f>
        <v>0</v>
      </c>
      <c r="W181" s="85">
        <f>IF(ISNA(VLOOKUP($A181,Table3[],22,FALSE)),0,VLOOKUP($A181,Table3[],22,FALSE))</f>
        <v>0</v>
      </c>
    </row>
    <row r="182" spans="1:23" s="73" customFormat="1" x14ac:dyDescent="0.25">
      <c r="A182" s="35">
        <v>166</v>
      </c>
      <c r="B182" s="138" t="str">
        <f>VLOOKUP(A182,Registry!$A$4:$AA$241,2,FALSE)</f>
        <v>Smith Mobile Home Park</v>
      </c>
      <c r="C182" s="138" t="str">
        <f>VLOOKUP(A182,Registry!$A$4:$AA$241,3,FALSE)</f>
        <v>Washington</v>
      </c>
      <c r="D182" s="138" t="str">
        <f>VLOOKUP(A182,Registry!$A$4:$AA$241,4,FALSE)</f>
        <v>Northfield</v>
      </c>
      <c r="E182" s="138">
        <f>IF(VLOOKUP(A182,Registry!$A$4:$AA$241,7,FALSE)=0,"",VLOOKUP(A182,Registry!$A$4:$AA$241,7,FALSE))</f>
        <v>1970</v>
      </c>
      <c r="F182" s="138" t="str">
        <f>IF(VLOOKUP(A182,Registry!$A$4:$AA$241,20,FALSE)=0,"",VLOOKUP(A182,Registry!$A$4:$AA$241,20,FALSE))</f>
        <v>For profit</v>
      </c>
      <c r="G182" s="138">
        <f>VLOOKUP(A182,Registry!$A$4:$AA$241,21,FALSE)</f>
        <v>6</v>
      </c>
      <c r="H182" s="81">
        <f>VLOOKUP($A182,Table4[],36,FALSE)</f>
        <v>1</v>
      </c>
      <c r="I182" s="129">
        <f>VLOOKUP($A182,Table4[],41,FALSE)</f>
        <v>9.5238095238095233E-2</v>
      </c>
      <c r="J182" s="81">
        <f>VLOOKUP($A182,Table4[],30,FALSE)</f>
        <v>0</v>
      </c>
      <c r="K182" s="82">
        <f>VLOOKUP($A182,Table4[],17,FALSE)</f>
        <v>0</v>
      </c>
      <c r="L182" s="82">
        <f>VLOOKUP($A182,Table4[],18,FALSE)</f>
        <v>0</v>
      </c>
      <c r="M182" s="82" t="str">
        <f>IF(VLOOKUP($A182,Table2[],8,FALSE)=0,"",VLOOKUP($A182,Table2[],8,FALSE))</f>
        <v>Municipal</v>
      </c>
      <c r="N182" s="82">
        <f>VLOOKUP($A182,Table2[],14,FALSE)</f>
        <v>0</v>
      </c>
      <c r="O182" s="82" t="str">
        <f>IF(VLOOKUP($A182,Table2[],15,FALSE)=0,"",VLOOKUP($A182,Table2[],15,FALSE))</f>
        <v>Municipal</v>
      </c>
      <c r="P182" s="82" t="str">
        <f>IF(VLOOKUP($A182,Table2[],16,FALSE)=0,"",VLOOKUP($A182,Table2[],16,FALSE))</f>
        <v>Approval letter</v>
      </c>
      <c r="Q182" s="83" t="str">
        <f>IF(ISNA(VLOOKUP($A182,Table3[],6,FALSE)),"None",VLOOKUP($A182,Table3[],6,FALSE))</f>
        <v>None</v>
      </c>
      <c r="R182" s="83" t="str">
        <f>IF(ISNA(VLOOKUP($A182,Table3[],7,FALSE)),"Unknown",VLOOKUP($A182,Table3[],7,FALSE))</f>
        <v>Unknown</v>
      </c>
      <c r="S182" s="83" t="str">
        <f>IF(ISNA(VLOOKUP($A182,Table3[],8,FALSE)),"None",VLOOKUP($A182,Table3[],8,FALSE))</f>
        <v>None</v>
      </c>
      <c r="T182" s="84" t="str">
        <f>IF(ISNA(VLOOKUP($A182,Table3[],13,FALSE)),"Unknown",VLOOKUP($A182,Table3[],13,FALSE))</f>
        <v>Unknown</v>
      </c>
      <c r="U182" s="85" t="str">
        <f>IF(ISNA(VLOOKUP($A182,Table3[],14,FALSE)),"Unknown",VLOOKUP($A182,Table3[],14,FALSE))</f>
        <v>Unknown</v>
      </c>
      <c r="V182" s="84">
        <f>IF(ISNA(VLOOKUP($A182,Table3[],21,FALSE)),0,VLOOKUP($A182,Table3[],21,FALSE))</f>
        <v>0</v>
      </c>
      <c r="W182" s="85">
        <f>IF(ISNA(VLOOKUP($A182,Table3[],22,FALSE)),0,VLOOKUP($A182,Table3[],22,FALSE))</f>
        <v>0</v>
      </c>
    </row>
    <row r="183" spans="1:23" s="73" customFormat="1" x14ac:dyDescent="0.25">
      <c r="A183" s="35">
        <v>258</v>
      </c>
      <c r="B183" s="138" t="str">
        <f>VLOOKUP(A183,Registry!$A$4:$AA$241,2,FALSE)</f>
        <v>Trombly's Trailer Park</v>
      </c>
      <c r="C183" s="138" t="str">
        <f>VLOOKUP(A183,Registry!$A$4:$AA$241,3,FALSE)</f>
        <v>Washington</v>
      </c>
      <c r="D183" s="138" t="str">
        <f>VLOOKUP(A183,Registry!$A$4:$AA$241,4,FALSE)</f>
        <v>Northfield</v>
      </c>
      <c r="E183" s="138">
        <f>IF(VLOOKUP(A183,Registry!$A$4:$AA$241,7,FALSE)=0,"",VLOOKUP(A183,Registry!$A$4:$AA$241,7,FALSE))</f>
        <v>1973</v>
      </c>
      <c r="F183" s="138" t="str">
        <f>IF(VLOOKUP(A183,Registry!$A$4:$AA$241,20,FALSE)=0,"",VLOOKUP(A183,Registry!$A$4:$AA$241,20,FALSE))</f>
        <v>For profit</v>
      </c>
      <c r="G183" s="138">
        <f>VLOOKUP(A183,Registry!$A$4:$AA$241,21,FALSE)</f>
        <v>15</v>
      </c>
      <c r="H183" s="81">
        <f>VLOOKUP($A183,Table4[],36,FALSE)</f>
        <v>1</v>
      </c>
      <c r="I183" s="129">
        <f>VLOOKUP($A183,Table4[],41,FALSE)</f>
        <v>4.3478260869565216E-2</v>
      </c>
      <c r="J183" s="81">
        <f>VLOOKUP($A183,Table4[],30,FALSE)</f>
        <v>0</v>
      </c>
      <c r="K183" s="82">
        <f>VLOOKUP($A183,Table4[],17,FALSE)</f>
        <v>0</v>
      </c>
      <c r="L183" s="82">
        <f>VLOOKUP($A183,Table4[],18,FALSE)</f>
        <v>0</v>
      </c>
      <c r="M183" s="82" t="str">
        <f>IF(VLOOKUP($A183,Table2[],8,FALSE)=0,"",VLOOKUP($A183,Table2[],8,FALSE))</f>
        <v>Municipal</v>
      </c>
      <c r="N183" s="82">
        <f>VLOOKUP($A183,Table2[],14,FALSE)</f>
        <v>0</v>
      </c>
      <c r="O183" s="82" t="str">
        <f>IF(VLOOKUP($A183,Table2[],15,FALSE)=0,"",VLOOKUP($A183,Table2[],15,FALSE))</f>
        <v/>
      </c>
      <c r="P183" s="82" t="str">
        <f>IF(VLOOKUP($A183,Table2[],16,FALSE)=0,"",VLOOKUP($A183,Table2[],16,FALSE))</f>
        <v/>
      </c>
      <c r="Q183" s="83" t="str">
        <f>IF(ISNA(VLOOKUP($A183,Table3[],6,FALSE)),"None",VLOOKUP($A183,Table3[],6,FALSE))</f>
        <v>None</v>
      </c>
      <c r="R183" s="83" t="str">
        <f>IF(ISNA(VLOOKUP($A183,Table3[],7,FALSE)),"Unknown",VLOOKUP($A183,Table3[],7,FALSE))</f>
        <v>Unknown</v>
      </c>
      <c r="S183" s="83" t="str">
        <f>IF(ISNA(VLOOKUP($A183,Table3[],8,FALSE)),"None",VLOOKUP($A183,Table3[],8,FALSE))</f>
        <v>None</v>
      </c>
      <c r="T183" s="84" t="str">
        <f>IF(ISNA(VLOOKUP($A183,Table3[],13,FALSE)),"Unknown",VLOOKUP($A183,Table3[],13,FALSE))</f>
        <v>Unknown</v>
      </c>
      <c r="U183" s="85" t="str">
        <f>IF(ISNA(VLOOKUP($A183,Table3[],14,FALSE)),"Unknown",VLOOKUP($A183,Table3[],14,FALSE))</f>
        <v>Unknown</v>
      </c>
      <c r="V183" s="84">
        <f>IF(ISNA(VLOOKUP($A183,Table3[],21,FALSE)),0,VLOOKUP($A183,Table3[],21,FALSE))</f>
        <v>0</v>
      </c>
      <c r="W183" s="85">
        <f>IF(ISNA(VLOOKUP($A183,Table3[],22,FALSE)),0,VLOOKUP($A183,Table3[],22,FALSE))</f>
        <v>0</v>
      </c>
    </row>
    <row r="184" spans="1:23" s="73" customFormat="1" x14ac:dyDescent="0.25">
      <c r="A184" s="35">
        <v>172</v>
      </c>
      <c r="B184" s="138" t="str">
        <f>VLOOKUP(A184,Registry!$A$4:$AA$241,2,FALSE)</f>
        <v>Tucker Mobile Home Park</v>
      </c>
      <c r="C184" s="138" t="str">
        <f>VLOOKUP(A184,Registry!$A$4:$AA$241,3,FALSE)</f>
        <v>Washington</v>
      </c>
      <c r="D184" s="138" t="str">
        <f>VLOOKUP(A184,Registry!$A$4:$AA$241,4,FALSE)</f>
        <v>Northfield</v>
      </c>
      <c r="E184" s="138">
        <f>IF(VLOOKUP(A184,Registry!$A$4:$AA$241,7,FALSE)=0,"",VLOOKUP(A184,Registry!$A$4:$AA$241,7,FALSE))</f>
        <v>1975</v>
      </c>
      <c r="F184" s="138" t="str">
        <f>IF(VLOOKUP(A184,Registry!$A$4:$AA$241,20,FALSE)=0,"",VLOOKUP(A184,Registry!$A$4:$AA$241,20,FALSE))</f>
        <v>For profit</v>
      </c>
      <c r="G184" s="138">
        <f>VLOOKUP(A184,Registry!$A$4:$AA$241,21,FALSE)</f>
        <v>32</v>
      </c>
      <c r="H184" s="81">
        <f>VLOOKUP($A184,Table4[],36,FALSE)</f>
        <v>0.96875</v>
      </c>
      <c r="I184" s="129">
        <f>VLOOKUP($A184,Table4[],41,FALSE)</f>
        <v>3.1347962382445138E-2</v>
      </c>
      <c r="J184" s="81">
        <f>VLOOKUP($A184,Table4[],30,FALSE)</f>
        <v>-6.25E-2</v>
      </c>
      <c r="K184" s="82">
        <f>VLOOKUP($A184,Table4[],17,FALSE)</f>
        <v>1</v>
      </c>
      <c r="L184" s="82">
        <f>VLOOKUP($A184,Table4[],18,FALSE)</f>
        <v>0</v>
      </c>
      <c r="M184" s="82" t="str">
        <f>IF(VLOOKUP($A184,Table2[],8,FALSE)=0,"",VLOOKUP($A184,Table2[],8,FALSE))</f>
        <v>Municipal</v>
      </c>
      <c r="N184" s="82">
        <f>VLOOKUP($A184,Table2[],14,FALSE)</f>
        <v>0</v>
      </c>
      <c r="O184" s="82" t="str">
        <f>IF(VLOOKUP($A184,Table2[],15,FALSE)=0,"",VLOOKUP($A184,Table2[],15,FALSE))</f>
        <v>Community On-Site</v>
      </c>
      <c r="P184" s="82" t="str">
        <f>IF(VLOOKUP($A184,Table2[],16,FALSE)=0,"",VLOOKUP($A184,Table2[],16,FALSE))</f>
        <v>MH-5-0002</v>
      </c>
      <c r="Q184" s="83" t="str">
        <f>IF(ISNA(VLOOKUP($A184,Table3[],6,FALSE)),"None",VLOOKUP($A184,Table3[],6,FALSE))</f>
        <v>Floodway</v>
      </c>
      <c r="R184" s="83" t="str">
        <f>IF(ISNA(VLOOKUP($A184,Table3[],7,FALSE)),"Unknown",VLOOKUP($A184,Table3[],7,FALSE))</f>
        <v>Very High</v>
      </c>
      <c r="S184" s="83" t="str">
        <f>IF(ISNA(VLOOKUP($A184,Table3[],8,FALSE)),"None",VLOOKUP($A184,Table3[],8,FALSE))</f>
        <v>Floodway</v>
      </c>
      <c r="T184" s="84">
        <f>IF(ISNA(VLOOKUP($A184,Table3[],13,FALSE)),"Unknown",VLOOKUP($A184,Table3[],13,FALSE))</f>
        <v>1</v>
      </c>
      <c r="U184" s="85">
        <f>IF(ISNA(VLOOKUP($A184,Table3[],14,FALSE)),"Unknown",VLOOKUP($A184,Table3[],14,FALSE))</f>
        <v>3.125E-2</v>
      </c>
      <c r="V184" s="84">
        <f>IF(ISNA(VLOOKUP($A184,Table3[],21,FALSE)),0,VLOOKUP($A184,Table3[],21,FALSE))</f>
        <v>32</v>
      </c>
      <c r="W184" s="85">
        <f>IF(ISNA(VLOOKUP($A184,Table3[],22,FALSE)),0,VLOOKUP($A184,Table3[],22,FALSE))</f>
        <v>1</v>
      </c>
    </row>
    <row r="185" spans="1:23" s="73" customFormat="1" x14ac:dyDescent="0.25">
      <c r="A185" s="35">
        <v>170</v>
      </c>
      <c r="B185" s="138" t="str">
        <f>VLOOKUP(A185,Registry!$A$4:$AA$241,2,FALSE)</f>
        <v>Winch Hill Park</v>
      </c>
      <c r="C185" s="138" t="str">
        <f>VLOOKUP(A185,Registry!$A$4:$AA$241,3,FALSE)</f>
        <v>Washington</v>
      </c>
      <c r="D185" s="138" t="str">
        <f>VLOOKUP(A185,Registry!$A$4:$AA$241,4,FALSE)</f>
        <v>Northfield</v>
      </c>
      <c r="E185" s="138">
        <f>IF(VLOOKUP(A185,Registry!$A$4:$AA$241,7,FALSE)=0,"",VLOOKUP(A185,Registry!$A$4:$AA$241,7,FALSE))</f>
        <v>1966</v>
      </c>
      <c r="F185" s="138" t="str">
        <f>IF(VLOOKUP(A185,Registry!$A$4:$AA$241,20,FALSE)=0,"",VLOOKUP(A185,Registry!$A$4:$AA$241,20,FALSE))</f>
        <v>For profit</v>
      </c>
      <c r="G185" s="138">
        <f>VLOOKUP(A185,Registry!$A$4:$AA$241,21,FALSE)</f>
        <v>13</v>
      </c>
      <c r="H185" s="81">
        <f>VLOOKUP($A185,Table4[],36,FALSE)</f>
        <v>1</v>
      </c>
      <c r="I185" s="129">
        <f>VLOOKUP($A185,Table4[],41,FALSE)</f>
        <v>3.8461538461538464E-2</v>
      </c>
      <c r="J185" s="81">
        <f>VLOOKUP($A185,Table4[],30,FALSE)</f>
        <v>0</v>
      </c>
      <c r="K185" s="82">
        <f>VLOOKUP($A185,Table4[],17,FALSE)</f>
        <v>0</v>
      </c>
      <c r="L185" s="82">
        <f>VLOOKUP($A185,Table4[],18,FALSE)</f>
        <v>0</v>
      </c>
      <c r="M185" s="82" t="str">
        <f>IF(VLOOKUP($A185,Table2[],8,FALSE)=0,"",VLOOKUP($A185,Table2[],8,FALSE))</f>
        <v>Small-Scale (potable, &lt;25 users)</v>
      </c>
      <c r="N185" s="82">
        <f>VLOOKUP($A185,Table2[],14,FALSE)</f>
        <v>0</v>
      </c>
      <c r="O185" s="82" t="str">
        <f>IF(VLOOKUP($A185,Table2[],15,FALSE)=0,"",VLOOKUP($A185,Table2[],15,FALSE))</f>
        <v>On-Site</v>
      </c>
      <c r="P185" s="82" t="str">
        <f>IF(VLOOKUP($A185,Table2[],16,FALSE)=0,"",VLOOKUP($A185,Table2[],16,FALSE))</f>
        <v/>
      </c>
      <c r="Q185" s="83" t="str">
        <f>IF(ISNA(VLOOKUP($A185,Table3[],6,FALSE)),"None",VLOOKUP($A185,Table3[],6,FALSE))</f>
        <v>None</v>
      </c>
      <c r="R185" s="83" t="str">
        <f>IF(ISNA(VLOOKUP($A185,Table3[],7,FALSE)),"Unknown",VLOOKUP($A185,Table3[],7,FALSE))</f>
        <v>Unknown</v>
      </c>
      <c r="S185" s="83" t="str">
        <f>IF(ISNA(VLOOKUP($A185,Table3[],8,FALSE)),"None",VLOOKUP($A185,Table3[],8,FALSE))</f>
        <v>None</v>
      </c>
      <c r="T185" s="84" t="str">
        <f>IF(ISNA(VLOOKUP($A185,Table3[],13,FALSE)),"Unknown",VLOOKUP($A185,Table3[],13,FALSE))</f>
        <v>Unknown</v>
      </c>
      <c r="U185" s="85" t="str">
        <f>IF(ISNA(VLOOKUP($A185,Table3[],14,FALSE)),"Unknown",VLOOKUP($A185,Table3[],14,FALSE))</f>
        <v>Unknown</v>
      </c>
      <c r="V185" s="84">
        <f>IF(ISNA(VLOOKUP($A185,Table3[],21,FALSE)),0,VLOOKUP($A185,Table3[],21,FALSE))</f>
        <v>0</v>
      </c>
      <c r="W185" s="85">
        <f>IF(ISNA(VLOOKUP($A185,Table3[],22,FALSE)),0,VLOOKUP($A185,Table3[],22,FALSE))</f>
        <v>0</v>
      </c>
    </row>
    <row r="186" spans="1:23" s="73" customFormat="1" x14ac:dyDescent="0.25">
      <c r="A186" s="35">
        <v>72</v>
      </c>
      <c r="B186" s="138" t="str">
        <f>VLOOKUP(A186,Registry!$A$4:$AA$241,2,FALSE)</f>
        <v>Verd-Mont</v>
      </c>
      <c r="C186" s="138" t="str">
        <f>VLOOKUP(A186,Registry!$A$4:$AA$241,3,FALSE)</f>
        <v>Washington</v>
      </c>
      <c r="D186" s="138" t="str">
        <f>VLOOKUP(A186,Registry!$A$4:$AA$241,4,FALSE)</f>
        <v>Waitsfield</v>
      </c>
      <c r="E186" s="138">
        <f>IF(VLOOKUP(A186,Registry!$A$4:$AA$241,7,FALSE)=0,"",VLOOKUP(A186,Registry!$A$4:$AA$241,7,FALSE))</f>
        <v>1968</v>
      </c>
      <c r="F186" s="138" t="str">
        <f>IF(VLOOKUP(A186,Registry!$A$4:$AA$241,20,FALSE)=0,"",VLOOKUP(A186,Registry!$A$4:$AA$241,20,FALSE))</f>
        <v>Non-profit</v>
      </c>
      <c r="G186" s="138">
        <f>VLOOKUP(A186,Registry!$A$4:$AA$241,21,FALSE)</f>
        <v>29</v>
      </c>
      <c r="H186" s="81">
        <f>VLOOKUP($A186,Table4[],36,FALSE)</f>
        <v>0.96551724137931039</v>
      </c>
      <c r="I186" s="129">
        <f>VLOOKUP($A186,Table4[],41,FALSE)</f>
        <v>9.7826086956521743E-2</v>
      </c>
      <c r="J186" s="81">
        <f>VLOOKUP($A186,Table4[],30,FALSE)</f>
        <v>-6.8965517241379309E-2</v>
      </c>
      <c r="K186" s="82">
        <f>VLOOKUP($A186,Table4[],17,FALSE)</f>
        <v>0</v>
      </c>
      <c r="L186" s="82">
        <f>VLOOKUP($A186,Table4[],18,FALSE)</f>
        <v>0</v>
      </c>
      <c r="M186" s="82" t="str">
        <f>IF(VLOOKUP($A186,Table2[],8,FALSE)=0,"",VLOOKUP($A186,Table2[],8,FALSE))</f>
        <v xml:space="preserve">Community </v>
      </c>
      <c r="N186" s="82">
        <f>VLOOKUP($A186,Table2[],14,FALSE)</f>
        <v>0</v>
      </c>
      <c r="O186" s="82" t="str">
        <f>IF(VLOOKUP($A186,Table2[],15,FALSE)=0,"",VLOOKUP($A186,Table2[],15,FALSE))</f>
        <v>Community On-Site</v>
      </c>
      <c r="P186" s="82" t="str">
        <f>IF(VLOOKUP($A186,Table2[],16,FALSE)=0,"",VLOOKUP($A186,Table2[],16,FALSE))</f>
        <v>MH-5-0014</v>
      </c>
      <c r="Q186" s="83" t="str">
        <f>IF(ISNA(VLOOKUP($A186,Table3[],6,FALSE)),"None",VLOOKUP($A186,Table3[],6,FALSE))</f>
        <v>None</v>
      </c>
      <c r="R186" s="83" t="str">
        <f>IF(ISNA(VLOOKUP($A186,Table3[],7,FALSE)),"Unknown",VLOOKUP($A186,Table3[],7,FALSE))</f>
        <v>Unknown</v>
      </c>
      <c r="S186" s="83" t="str">
        <f>IF(ISNA(VLOOKUP($A186,Table3[],8,FALSE)),"None",VLOOKUP($A186,Table3[],8,FALSE))</f>
        <v>None</v>
      </c>
      <c r="T186" s="84" t="str">
        <f>IF(ISNA(VLOOKUP($A186,Table3[],13,FALSE)),"Unknown",VLOOKUP($A186,Table3[],13,FALSE))</f>
        <v>Unknown</v>
      </c>
      <c r="U186" s="85" t="str">
        <f>IF(ISNA(VLOOKUP($A186,Table3[],14,FALSE)),"Unknown",VLOOKUP($A186,Table3[],14,FALSE))</f>
        <v>Unknown</v>
      </c>
      <c r="V186" s="84">
        <f>IF(ISNA(VLOOKUP($A186,Table3[],21,FALSE)),0,VLOOKUP($A186,Table3[],21,FALSE))</f>
        <v>0</v>
      </c>
      <c r="W186" s="85">
        <f>IF(ISNA(VLOOKUP($A186,Table3[],22,FALSE)),0,VLOOKUP($A186,Table3[],22,FALSE))</f>
        <v>0</v>
      </c>
    </row>
    <row r="187" spans="1:23" s="73" customFormat="1" x14ac:dyDescent="0.25">
      <c r="A187" s="35">
        <v>119</v>
      </c>
      <c r="B187" s="138" t="str">
        <f>VLOOKUP(A187,Registry!$A$4:$AA$241,2,FALSE)</f>
        <v>East Wind Mobile Home Park</v>
      </c>
      <c r="C187" s="138" t="str">
        <f>VLOOKUP(A187,Registry!$A$4:$AA$241,3,FALSE)</f>
        <v>Washington</v>
      </c>
      <c r="D187" s="138" t="str">
        <f>VLOOKUP(A187,Registry!$A$4:$AA$241,4,FALSE)</f>
        <v>Waterbury</v>
      </c>
      <c r="E187" s="138">
        <f>IF(VLOOKUP(A187,Registry!$A$4:$AA$241,7,FALSE)=0,"",VLOOKUP(A187,Registry!$A$4:$AA$241,7,FALSE))</f>
        <v>1958</v>
      </c>
      <c r="F187" s="138" t="str">
        <f>IF(VLOOKUP(A187,Registry!$A$4:$AA$241,20,FALSE)=0,"",VLOOKUP(A187,Registry!$A$4:$AA$241,20,FALSE))</f>
        <v>For profit</v>
      </c>
      <c r="G187" s="138">
        <f>VLOOKUP(A187,Registry!$A$4:$AA$241,21,FALSE)</f>
        <v>28</v>
      </c>
      <c r="H187" s="81">
        <f>VLOOKUP($A187,Table4[],36,FALSE)</f>
        <v>1</v>
      </c>
      <c r="I187" s="129">
        <f>VLOOKUP($A187,Table4[],41,FALSE)</f>
        <v>8.247422680412371E-2</v>
      </c>
      <c r="J187" s="81">
        <f>VLOOKUP($A187,Table4[],30,FALSE)</f>
        <v>3.5714285714285712E-2</v>
      </c>
      <c r="K187" s="82">
        <f>VLOOKUP($A187,Table4[],17,FALSE)</f>
        <v>0</v>
      </c>
      <c r="L187" s="82">
        <f>VLOOKUP($A187,Table4[],18,FALSE)</f>
        <v>0</v>
      </c>
      <c r="M187" s="82" t="str">
        <f>IF(VLOOKUP($A187,Table2[],8,FALSE)=0,"",VLOOKUP($A187,Table2[],8,FALSE))</f>
        <v xml:space="preserve">Community </v>
      </c>
      <c r="N187" s="82">
        <f>VLOOKUP($A187,Table2[],14,FALSE)</f>
        <v>1</v>
      </c>
      <c r="O187" s="82" t="str">
        <f>IF(VLOOKUP($A187,Table2[],15,FALSE)=0,"",VLOOKUP($A187,Table2[],15,FALSE))</f>
        <v>Community On-Site</v>
      </c>
      <c r="P187" s="82" t="str">
        <f>IF(VLOOKUP($A187,Table2[],16,FALSE)=0,"",VLOOKUP($A187,Table2[],16,FALSE))</f>
        <v/>
      </c>
      <c r="Q187" s="83" t="str">
        <f>IF(ISNA(VLOOKUP($A187,Table3[],6,FALSE)),"None",VLOOKUP($A187,Table3[],6,FALSE))</f>
        <v>None</v>
      </c>
      <c r="R187" s="83" t="str">
        <f>IF(ISNA(VLOOKUP($A187,Table3[],7,FALSE)),"Unknown",VLOOKUP($A187,Table3[],7,FALSE))</f>
        <v>Unknown</v>
      </c>
      <c r="S187" s="83" t="str">
        <f>IF(ISNA(VLOOKUP($A187,Table3[],8,FALSE)),"None",VLOOKUP($A187,Table3[],8,FALSE))</f>
        <v>None</v>
      </c>
      <c r="T187" s="84" t="str">
        <f>IF(ISNA(VLOOKUP($A187,Table3[],13,FALSE)),"Unknown",VLOOKUP($A187,Table3[],13,FALSE))</f>
        <v>Unknown</v>
      </c>
      <c r="U187" s="85" t="str">
        <f>IF(ISNA(VLOOKUP($A187,Table3[],14,FALSE)),"Unknown",VLOOKUP($A187,Table3[],14,FALSE))</f>
        <v>Unknown</v>
      </c>
      <c r="V187" s="84">
        <f>IF(ISNA(VLOOKUP($A187,Table3[],21,FALSE)),0,VLOOKUP($A187,Table3[],21,FALSE))</f>
        <v>0</v>
      </c>
      <c r="W187" s="85">
        <f>IF(ISNA(VLOOKUP($A187,Table3[],22,FALSE)),0,VLOOKUP($A187,Table3[],22,FALSE))</f>
        <v>0</v>
      </c>
    </row>
    <row r="188" spans="1:23" s="73" customFormat="1" x14ac:dyDescent="0.25">
      <c r="A188" s="35">
        <v>272</v>
      </c>
      <c r="B188" s="138" t="str">
        <f>VLOOKUP(A188,Registry!$A$4:$AA$241,2,FALSE)</f>
        <v>Kneeland Flats Mobile Home Park</v>
      </c>
      <c r="C188" s="138" t="str">
        <f>VLOOKUP(A188,Registry!$A$4:$AA$241,3,FALSE)</f>
        <v>Washington</v>
      </c>
      <c r="D188" s="138" t="str">
        <f>VLOOKUP(A188,Registry!$A$4:$AA$241,4,FALSE)</f>
        <v>Waterbury</v>
      </c>
      <c r="E188" s="138">
        <f>IF(VLOOKUP(A188,Registry!$A$4:$AA$241,7,FALSE)=0,"",VLOOKUP(A188,Registry!$A$4:$AA$241,7,FALSE))</f>
        <v>1967</v>
      </c>
      <c r="F188" s="138" t="str">
        <f>IF(VLOOKUP(A188,Registry!$A$4:$AA$241,20,FALSE)=0,"",VLOOKUP(A188,Registry!$A$4:$AA$241,20,FALSE))</f>
        <v>For profit</v>
      </c>
      <c r="G188" s="138">
        <f>VLOOKUP(A188,Registry!$A$4:$AA$241,21,FALSE)</f>
        <v>67</v>
      </c>
      <c r="H188" s="81">
        <f>VLOOKUP($A188,Table4[],36,FALSE)</f>
        <v>0.9850746268656716</v>
      </c>
      <c r="I188" s="129">
        <f>VLOOKUP($A188,Table4[],41,FALSE)</f>
        <v>8.1690140845070425E-2</v>
      </c>
      <c r="J188" s="81">
        <f>VLOOKUP($A188,Table4[],30,FALSE)</f>
        <v>-1.4925373134328358E-2</v>
      </c>
      <c r="K188" s="82">
        <f>VLOOKUP($A188,Table4[],17,FALSE)</f>
        <v>0</v>
      </c>
      <c r="L188" s="82">
        <f>VLOOKUP($A188,Table4[],18,FALSE)</f>
        <v>-3</v>
      </c>
      <c r="M188" s="82" t="str">
        <f>IF(VLOOKUP($A188,Table2[],8,FALSE)=0,"",VLOOKUP($A188,Table2[],8,FALSE))</f>
        <v>Municipal</v>
      </c>
      <c r="N188" s="82">
        <f>VLOOKUP($A188,Table2[],14,FALSE)</f>
        <v>0</v>
      </c>
      <c r="O188" s="82" t="str">
        <f>IF(VLOOKUP($A188,Table2[],15,FALSE)=0,"",VLOOKUP($A188,Table2[],15,FALSE))</f>
        <v>Individual On-Site</v>
      </c>
      <c r="P188" s="82" t="str">
        <f>IF(VLOOKUP($A188,Table2[],16,FALSE)=0,"",VLOOKUP($A188,Table2[],16,FALSE))</f>
        <v>MH-5-0003,WW-5-5284</v>
      </c>
      <c r="Q188" s="83" t="str">
        <f>IF(ISNA(VLOOKUP($A188,Table3[],6,FALSE)),"None",VLOOKUP($A188,Table3[],6,FALSE))</f>
        <v>None</v>
      </c>
      <c r="R188" s="83" t="str">
        <f>IF(ISNA(VLOOKUP($A188,Table3[],7,FALSE)),"Unknown",VLOOKUP($A188,Table3[],7,FALSE))</f>
        <v>Unknown</v>
      </c>
      <c r="S188" s="83" t="str">
        <f>IF(ISNA(VLOOKUP($A188,Table3[],8,FALSE)),"None",VLOOKUP($A188,Table3[],8,FALSE))</f>
        <v>None</v>
      </c>
      <c r="T188" s="84" t="str">
        <f>IF(ISNA(VLOOKUP($A188,Table3[],13,FALSE)),"Unknown",VLOOKUP($A188,Table3[],13,FALSE))</f>
        <v>Unknown</v>
      </c>
      <c r="U188" s="85" t="str">
        <f>IF(ISNA(VLOOKUP($A188,Table3[],14,FALSE)),"Unknown",VLOOKUP($A188,Table3[],14,FALSE))</f>
        <v>Unknown</v>
      </c>
      <c r="V188" s="84">
        <f>IF(ISNA(VLOOKUP($A188,Table3[],21,FALSE)),0,VLOOKUP($A188,Table3[],21,FALSE))</f>
        <v>0</v>
      </c>
      <c r="W188" s="85">
        <f>IF(ISNA(VLOOKUP($A188,Table3[],22,FALSE)),0,VLOOKUP($A188,Table3[],22,FALSE))</f>
        <v>0</v>
      </c>
    </row>
    <row r="189" spans="1:23" s="73" customFormat="1" x14ac:dyDescent="0.25">
      <c r="A189" s="35">
        <v>319</v>
      </c>
      <c r="B189" s="138" t="str">
        <f>VLOOKUP(A189,Registry!$A$4:$AA$241,2,FALSE)</f>
        <v>156 Brookline Road</v>
      </c>
      <c r="C189" s="138" t="str">
        <f>VLOOKUP(A189,Registry!$A$4:$AA$241,3,FALSE)</f>
        <v>Windham</v>
      </c>
      <c r="D189" s="138" t="str">
        <f>VLOOKUP(A189,Registry!$A$4:$AA$241,4,FALSE)</f>
        <v>Athens</v>
      </c>
      <c r="E189" s="138" t="str">
        <f>IF(VLOOKUP(A189,Registry!$A$4:$AA$241,7,FALSE)=0,"",VLOOKUP(A189,Registry!$A$4:$AA$241,7,FALSE))</f>
        <v/>
      </c>
      <c r="F189" s="138" t="str">
        <f>IF(VLOOKUP(A189,Registry!$A$4:$AA$241,20,FALSE)=0,"",VLOOKUP(A189,Registry!$A$4:$AA$241,20,FALSE))</f>
        <v>For profit</v>
      </c>
      <c r="G189" s="138">
        <f>VLOOKUP(A189,Registry!$A$4:$AA$241,21,FALSE)</f>
        <v>4</v>
      </c>
      <c r="H189" s="81">
        <f>VLOOKUP($A189,Table4[],36,FALSE)</f>
        <v>1</v>
      </c>
      <c r="I189" s="129" t="str">
        <f>VLOOKUP($A189,Table4[],41,FALSE)</f>
        <v>-</v>
      </c>
      <c r="J189" s="81">
        <f>VLOOKUP($A189,Table4[],30,FALSE)</f>
        <v>0</v>
      </c>
      <c r="K189" s="82">
        <f>VLOOKUP($A189,Table4[],17,FALSE)</f>
        <v>0</v>
      </c>
      <c r="L189" s="82">
        <f>VLOOKUP($A189,Table4[],18,FALSE)</f>
        <v>0</v>
      </c>
      <c r="M189" s="82" t="str">
        <f>IF(VLOOKUP($A189,Table2[],8,FALSE)=0,"",VLOOKUP($A189,Table2[],8,FALSE))</f>
        <v>Small-Scale (potable, &lt;25 users)</v>
      </c>
      <c r="N189" s="82">
        <f>VLOOKUP($A189,Table2[],14,FALSE)</f>
        <v>0</v>
      </c>
      <c r="O189" s="82" t="str">
        <f>IF(VLOOKUP($A189,Table2[],15,FALSE)=0,"",VLOOKUP($A189,Table2[],15,FALSE))</f>
        <v>Community On-Site</v>
      </c>
      <c r="P189" s="82" t="str">
        <f>IF(VLOOKUP($A189,Table2[],16,FALSE)=0,"",VLOOKUP($A189,Table2[],16,FALSE))</f>
        <v/>
      </c>
      <c r="Q189" s="83" t="str">
        <f>IF(ISNA(VLOOKUP($A189,Table3[],6,FALSE)),"None",VLOOKUP($A189,Table3[],6,FALSE))</f>
        <v>None</v>
      </c>
      <c r="R189" s="83" t="str">
        <f>IF(ISNA(VLOOKUP($A189,Table3[],7,FALSE)),"Unknown",VLOOKUP($A189,Table3[],7,FALSE))</f>
        <v>Unknown</v>
      </c>
      <c r="S189" s="83" t="str">
        <f>IF(ISNA(VLOOKUP($A189,Table3[],8,FALSE)),"None",VLOOKUP($A189,Table3[],8,FALSE))</f>
        <v>None</v>
      </c>
      <c r="T189" s="84" t="str">
        <f>IF(ISNA(VLOOKUP($A189,Table3[],13,FALSE)),"Unknown",VLOOKUP($A189,Table3[],13,FALSE))</f>
        <v>Unknown</v>
      </c>
      <c r="U189" s="85" t="str">
        <f>IF(ISNA(VLOOKUP($A189,Table3[],14,FALSE)),"Unknown",VLOOKUP($A189,Table3[],14,FALSE))</f>
        <v>Unknown</v>
      </c>
      <c r="V189" s="84">
        <f>IF(ISNA(VLOOKUP($A189,Table3[],21,FALSE)),0,VLOOKUP($A189,Table3[],21,FALSE))</f>
        <v>0</v>
      </c>
      <c r="W189" s="85">
        <f>IF(ISNA(VLOOKUP($A189,Table3[],22,FALSE)),0,VLOOKUP($A189,Table3[],22,FALSE))</f>
        <v>0</v>
      </c>
    </row>
    <row r="190" spans="1:23" s="73" customFormat="1" x14ac:dyDescent="0.25">
      <c r="A190" s="35">
        <v>35</v>
      </c>
      <c r="B190" s="138" t="str">
        <f>VLOOKUP(A190,Registry!$A$4:$AA$241,2,FALSE)</f>
        <v>Tenney's Trailer Park</v>
      </c>
      <c r="C190" s="138" t="str">
        <f>VLOOKUP(A190,Registry!$A$4:$AA$241,3,FALSE)</f>
        <v>Windham</v>
      </c>
      <c r="D190" s="138" t="str">
        <f>VLOOKUP(A190,Registry!$A$4:$AA$241,4,FALSE)</f>
        <v>Athens</v>
      </c>
      <c r="E190" s="138">
        <f>IF(VLOOKUP(A190,Registry!$A$4:$AA$241,7,FALSE)=0,"",VLOOKUP(A190,Registry!$A$4:$AA$241,7,FALSE))</f>
        <v>1960</v>
      </c>
      <c r="F190" s="138" t="str">
        <f>IF(VLOOKUP(A190,Registry!$A$4:$AA$241,20,FALSE)=0,"",VLOOKUP(A190,Registry!$A$4:$AA$241,20,FALSE))</f>
        <v>For profit</v>
      </c>
      <c r="G190" s="138">
        <f>VLOOKUP(A190,Registry!$A$4:$AA$241,21,FALSE)</f>
        <v>5</v>
      </c>
      <c r="H190" s="81">
        <f>VLOOKUP($A190,Table4[],36,FALSE)</f>
        <v>1</v>
      </c>
      <c r="I190" s="129">
        <f>VLOOKUP($A190,Table4[],41,FALSE)</f>
        <v>-1</v>
      </c>
      <c r="J190" s="81">
        <f>VLOOKUP($A190,Table4[],30,FALSE)</f>
        <v>0</v>
      </c>
      <c r="K190" s="82">
        <f>VLOOKUP($A190,Table4[],17,FALSE)</f>
        <v>1</v>
      </c>
      <c r="L190" s="82">
        <f>VLOOKUP($A190,Table4[],18,FALSE)</f>
        <v>0</v>
      </c>
      <c r="M190" s="82" t="str">
        <f>IF(VLOOKUP($A190,Table2[],8,FALSE)=0,"",VLOOKUP($A190,Table2[],8,FALSE))</f>
        <v>Small-Scale (potable, &lt;25 users)</v>
      </c>
      <c r="N190" s="82">
        <f>VLOOKUP($A190,Table2[],14,FALSE)</f>
        <v>0</v>
      </c>
      <c r="O190" s="82" t="str">
        <f>IF(VLOOKUP($A190,Table2[],15,FALSE)=0,"",VLOOKUP($A190,Table2[],15,FALSE))</f>
        <v>On-Site</v>
      </c>
      <c r="P190" s="82" t="str">
        <f>IF(VLOOKUP($A190,Table2[],16,FALSE)=0,"",VLOOKUP($A190,Table2[],16,FALSE))</f>
        <v/>
      </c>
      <c r="Q190" s="83" t="str">
        <f>IF(ISNA(VLOOKUP($A190,Table3[],6,FALSE)),"None",VLOOKUP($A190,Table3[],6,FALSE))</f>
        <v>None</v>
      </c>
      <c r="R190" s="83" t="str">
        <f>IF(ISNA(VLOOKUP($A190,Table3[],7,FALSE)),"Unknown",VLOOKUP($A190,Table3[],7,FALSE))</f>
        <v>Very High</v>
      </c>
      <c r="S190" s="83" t="str">
        <f>IF(ISNA(VLOOKUP($A190,Table3[],8,FALSE)),"None",VLOOKUP($A190,Table3[],8,FALSE))</f>
        <v>None</v>
      </c>
      <c r="T190" s="84">
        <f>IF(ISNA(VLOOKUP($A190,Table3[],13,FALSE)),"Unknown",VLOOKUP($A190,Table3[],13,FALSE))</f>
        <v>8</v>
      </c>
      <c r="U190" s="85">
        <f>IF(ISNA(VLOOKUP($A190,Table3[],14,FALSE)),"Unknown",VLOOKUP($A190,Table3[],14,FALSE))</f>
        <v>1.6</v>
      </c>
      <c r="V190" s="84">
        <f>IF(ISNA(VLOOKUP($A190,Table3[],21,FALSE)),0,VLOOKUP($A190,Table3[],21,FALSE))</f>
        <v>0</v>
      </c>
      <c r="W190" s="85">
        <f>IF(ISNA(VLOOKUP($A190,Table3[],22,FALSE)),0,VLOOKUP($A190,Table3[],22,FALSE))</f>
        <v>0</v>
      </c>
    </row>
    <row r="191" spans="1:23" s="73" customFormat="1" x14ac:dyDescent="0.25">
      <c r="A191" s="35">
        <v>60</v>
      </c>
      <c r="B191" s="138" t="str">
        <f>VLOOKUP(A191,Registry!$A$4:$AA$241,2,FALSE)</f>
        <v>Black Mountain Park</v>
      </c>
      <c r="C191" s="138" t="str">
        <f>VLOOKUP(A191,Registry!$A$4:$AA$241,3,FALSE)</f>
        <v>Windham</v>
      </c>
      <c r="D191" s="138" t="str">
        <f>VLOOKUP(A191,Registry!$A$4:$AA$241,4,FALSE)</f>
        <v>Brattleboro</v>
      </c>
      <c r="E191" s="138">
        <f>IF(VLOOKUP(A191,Registry!$A$4:$AA$241,7,FALSE)=0,"",VLOOKUP(A191,Registry!$A$4:$AA$241,7,FALSE))</f>
        <v>1956</v>
      </c>
      <c r="F191" s="138" t="str">
        <f>IF(VLOOKUP(A191,Registry!$A$4:$AA$241,20,FALSE)=0,"",VLOOKUP(A191,Registry!$A$4:$AA$241,20,FALSE))</f>
        <v>Cooperative</v>
      </c>
      <c r="G191" s="138">
        <f>VLOOKUP(A191,Registry!$A$4:$AA$241,21,FALSE)</f>
        <v>29</v>
      </c>
      <c r="H191" s="81">
        <f>VLOOKUP($A191,Table4[],36,FALSE)</f>
        <v>0.75862068965517238</v>
      </c>
      <c r="I191" s="129">
        <f>VLOOKUP($A191,Table4[],41,FALSE)</f>
        <v>9.1803278688524587E-2</v>
      </c>
      <c r="J191" s="81">
        <f>VLOOKUP($A191,Table4[],30,FALSE)</f>
        <v>6.8965517241379309E-2</v>
      </c>
      <c r="K191" s="82">
        <f>VLOOKUP($A191,Table4[],17,FALSE)</f>
        <v>-2</v>
      </c>
      <c r="L191" s="82">
        <f>VLOOKUP($A191,Table4[],18,FALSE)</f>
        <v>0</v>
      </c>
      <c r="M191" s="82" t="str">
        <f>IF(VLOOKUP($A191,Table2[],8,FALSE)=0,"",VLOOKUP($A191,Table2[],8,FALSE))</f>
        <v>Consecutive Community</v>
      </c>
      <c r="N191" s="82">
        <f>VLOOKUP($A191,Table2[],14,FALSE)</f>
        <v>1</v>
      </c>
      <c r="O191" s="82" t="str">
        <f>IF(VLOOKUP($A191,Table2[],15,FALSE)=0,"",VLOOKUP($A191,Table2[],15,FALSE))</f>
        <v>Municipal</v>
      </c>
      <c r="P191" s="82" t="str">
        <f>IF(VLOOKUP($A191,Table2[],16,FALSE)=0,"",VLOOKUP($A191,Table2[],16,FALSE))</f>
        <v/>
      </c>
      <c r="Q191" s="83" t="str">
        <f>IF(ISNA(VLOOKUP($A191,Table3[],6,FALSE)),"None",VLOOKUP($A191,Table3[],6,FALSE))</f>
        <v>None</v>
      </c>
      <c r="R191" s="83" t="str">
        <f>IF(ISNA(VLOOKUP($A191,Table3[],7,FALSE)),"Unknown",VLOOKUP($A191,Table3[],7,FALSE))</f>
        <v>Extreme</v>
      </c>
      <c r="S191" s="83" t="str">
        <f>IF(ISNA(VLOOKUP($A191,Table3[],8,FALSE)),"None",VLOOKUP($A191,Table3[],8,FALSE))</f>
        <v>None</v>
      </c>
      <c r="T191" s="84">
        <f>IF(ISNA(VLOOKUP($A191,Table3[],13,FALSE)),"Unknown",VLOOKUP($A191,Table3[],13,FALSE))</f>
        <v>11</v>
      </c>
      <c r="U191" s="85">
        <f>IF(ISNA(VLOOKUP($A191,Table3[],14,FALSE)),"Unknown",VLOOKUP($A191,Table3[],14,FALSE))</f>
        <v>0.37931034482758619</v>
      </c>
      <c r="V191" s="84">
        <f>IF(ISNA(VLOOKUP($A191,Table3[],21,FALSE)),0,VLOOKUP($A191,Table3[],21,FALSE))</f>
        <v>0</v>
      </c>
      <c r="W191" s="85">
        <f>IF(ISNA(VLOOKUP($A191,Table3[],22,FALSE)),0,VLOOKUP($A191,Table3[],22,FALSE))</f>
        <v>0</v>
      </c>
    </row>
    <row r="192" spans="1:23" s="73" customFormat="1" x14ac:dyDescent="0.25">
      <c r="A192" s="35">
        <v>137</v>
      </c>
      <c r="B192" s="138" t="str">
        <f>VLOOKUP(A192,Registry!$A$4:$AA$241,2,FALSE)</f>
        <v>Deepwood Mobile Home Park</v>
      </c>
      <c r="C192" s="138" t="str">
        <f>VLOOKUP(A192,Registry!$A$4:$AA$241,3,FALSE)</f>
        <v>Windham</v>
      </c>
      <c r="D192" s="138" t="str">
        <f>VLOOKUP(A192,Registry!$A$4:$AA$241,4,FALSE)</f>
        <v>Brattleboro</v>
      </c>
      <c r="E192" s="138">
        <f>IF(VLOOKUP(A192,Registry!$A$4:$AA$241,7,FALSE)=0,"",VLOOKUP(A192,Registry!$A$4:$AA$241,7,FALSE))</f>
        <v>1991</v>
      </c>
      <c r="F192" s="138" t="str">
        <f>IF(VLOOKUP(A192,Registry!$A$4:$AA$241,20,FALSE)=0,"",VLOOKUP(A192,Registry!$A$4:$AA$241,20,FALSE))</f>
        <v>Non-profit</v>
      </c>
      <c r="G192" s="138">
        <f>VLOOKUP(A192,Registry!$A$4:$AA$241,21,FALSE)</f>
        <v>44</v>
      </c>
      <c r="H192" s="81">
        <f>VLOOKUP($A192,Table4[],36,FALSE)</f>
        <v>0.95454545454545459</v>
      </c>
      <c r="I192" s="129">
        <f>VLOOKUP($A192,Table4[],41,FALSE)</f>
        <v>6.6496163682864456E-2</v>
      </c>
      <c r="J192" s="81">
        <f>VLOOKUP($A192,Table4[],30,FALSE)</f>
        <v>2.2727272727272728E-2</v>
      </c>
      <c r="K192" s="82">
        <f>VLOOKUP($A192,Table4[],17,FALSE)</f>
        <v>0</v>
      </c>
      <c r="L192" s="82">
        <f>VLOOKUP($A192,Table4[],18,FALSE)</f>
        <v>-1</v>
      </c>
      <c r="M192" s="82" t="str">
        <f>IF(VLOOKUP($A192,Table2[],8,FALSE)=0,"",VLOOKUP($A192,Table2[],8,FALSE))</f>
        <v>Consecutive Community</v>
      </c>
      <c r="N192" s="82">
        <f>VLOOKUP($A192,Table2[],14,FALSE)</f>
        <v>0</v>
      </c>
      <c r="O192" s="82" t="str">
        <f>IF(VLOOKUP($A192,Table2[],15,FALSE)=0,"",VLOOKUP($A192,Table2[],15,FALSE))</f>
        <v>Municipal</v>
      </c>
      <c r="P192" s="82" t="str">
        <f>IF(VLOOKUP($A192,Table2[],16,FALSE)=0,"",VLOOKUP($A192,Table2[],16,FALSE))</f>
        <v/>
      </c>
      <c r="Q192" s="83" t="str">
        <f>IF(ISNA(VLOOKUP($A192,Table3[],6,FALSE)),"None",VLOOKUP($A192,Table3[],6,FALSE))</f>
        <v>None</v>
      </c>
      <c r="R192" s="83" t="str">
        <f>IF(ISNA(VLOOKUP($A192,Table3[],7,FALSE)),"Unknown",VLOOKUP($A192,Table3[],7,FALSE))</f>
        <v>Unknown</v>
      </c>
      <c r="S192" s="83" t="str">
        <f>IF(ISNA(VLOOKUP($A192,Table3[],8,FALSE)),"None",VLOOKUP($A192,Table3[],8,FALSE))</f>
        <v>100 Year Flood Plain</v>
      </c>
      <c r="T192" s="84">
        <f>IF(ISNA(VLOOKUP($A192,Table3[],13,FALSE)),"Unknown",VLOOKUP($A192,Table3[],13,FALSE))</f>
        <v>0</v>
      </c>
      <c r="U192" s="85">
        <f>IF(ISNA(VLOOKUP($A192,Table3[],14,FALSE)),"Unknown",VLOOKUP($A192,Table3[],14,FALSE))</f>
        <v>0</v>
      </c>
      <c r="V192" s="84">
        <f>IF(ISNA(VLOOKUP($A192,Table3[],21,FALSE)),0,VLOOKUP($A192,Table3[],21,FALSE))</f>
        <v>0</v>
      </c>
      <c r="W192" s="85">
        <f>IF(ISNA(VLOOKUP($A192,Table3[],22,FALSE)),0,VLOOKUP($A192,Table3[],22,FALSE))</f>
        <v>0</v>
      </c>
    </row>
    <row r="193" spans="1:23" s="73" customFormat="1" x14ac:dyDescent="0.25">
      <c r="A193" s="35">
        <v>61</v>
      </c>
      <c r="B193" s="138" t="str">
        <f>VLOOKUP(A193,Registry!$A$4:$AA$241,2,FALSE)</f>
        <v>Glen Park</v>
      </c>
      <c r="C193" s="138" t="str">
        <f>VLOOKUP(A193,Registry!$A$4:$AA$241,3,FALSE)</f>
        <v>Windham</v>
      </c>
      <c r="D193" s="138" t="str">
        <f>VLOOKUP(A193,Registry!$A$4:$AA$241,4,FALSE)</f>
        <v>Brattleboro</v>
      </c>
      <c r="E193" s="138">
        <f>IF(VLOOKUP(A193,Registry!$A$4:$AA$241,7,FALSE)=0,"",VLOOKUP(A193,Registry!$A$4:$AA$241,7,FALSE))</f>
        <v>1953</v>
      </c>
      <c r="F193" s="138" t="str">
        <f>IF(VLOOKUP(A193,Registry!$A$4:$AA$241,20,FALSE)=0,"",VLOOKUP(A193,Registry!$A$4:$AA$241,20,FALSE))</f>
        <v>Cooperative</v>
      </c>
      <c r="G193" s="138">
        <f>VLOOKUP(A193,Registry!$A$4:$AA$241,21,FALSE)</f>
        <v>21</v>
      </c>
      <c r="H193" s="81">
        <f>VLOOKUP($A193,Table4[],36,FALSE)</f>
        <v>1.0476190476190477</v>
      </c>
      <c r="I193" s="129">
        <f>VLOOKUP($A193,Table4[],41,FALSE)</f>
        <v>9.1803278688524587E-2</v>
      </c>
      <c r="J193" s="81">
        <f>VLOOKUP($A193,Table4[],30,FALSE)</f>
        <v>4.7619047619047616E-2</v>
      </c>
      <c r="K193" s="82">
        <f>VLOOKUP($A193,Table4[],17,FALSE)</f>
        <v>0</v>
      </c>
      <c r="L193" s="82">
        <f>VLOOKUP($A193,Table4[],18,FALSE)</f>
        <v>0</v>
      </c>
      <c r="M193" s="82" t="str">
        <f>IF(VLOOKUP($A193,Table2[],8,FALSE)=0,"",VLOOKUP($A193,Table2[],8,FALSE))</f>
        <v>Consecutive Community</v>
      </c>
      <c r="N193" s="82">
        <f>VLOOKUP($A193,Table2[],14,FALSE)</f>
        <v>0</v>
      </c>
      <c r="O193" s="82" t="str">
        <f>IF(VLOOKUP($A193,Table2[],15,FALSE)=0,"",VLOOKUP($A193,Table2[],15,FALSE))</f>
        <v>Municipal</v>
      </c>
      <c r="P193" s="82" t="str">
        <f>IF(VLOOKUP($A193,Table2[],16,FALSE)=0,"",VLOOKUP($A193,Table2[],16,FALSE))</f>
        <v/>
      </c>
      <c r="Q193" s="83" t="str">
        <f>IF(ISNA(VLOOKUP($A193,Table3[],6,FALSE)),"None",VLOOKUP($A193,Table3[],6,FALSE))</f>
        <v>Floodway</v>
      </c>
      <c r="R193" s="83" t="str">
        <f>IF(ISNA(VLOOKUP($A193,Table3[],7,FALSE)),"Unknown",VLOOKUP($A193,Table3[],7,FALSE))</f>
        <v>Extreme</v>
      </c>
      <c r="S193" s="83" t="str">
        <f>IF(ISNA(VLOOKUP($A193,Table3[],8,FALSE)),"None",VLOOKUP($A193,Table3[],8,FALSE))</f>
        <v>Floodway</v>
      </c>
      <c r="T193" s="84">
        <f>IF(ISNA(VLOOKUP($A193,Table3[],13,FALSE)),"Unknown",VLOOKUP($A193,Table3[],13,FALSE))</f>
        <v>9</v>
      </c>
      <c r="U193" s="85">
        <f>IF(ISNA(VLOOKUP($A193,Table3[],14,FALSE)),"Unknown",VLOOKUP($A193,Table3[],14,FALSE))</f>
        <v>0.42857142857142855</v>
      </c>
      <c r="V193" s="84">
        <f>IF(ISNA(VLOOKUP($A193,Table3[],21,FALSE)),0,VLOOKUP($A193,Table3[],21,FALSE))</f>
        <v>33</v>
      </c>
      <c r="W193" s="85">
        <f>IF(ISNA(VLOOKUP($A193,Table3[],22,FALSE)),0,VLOOKUP($A193,Table3[],22,FALSE))</f>
        <v>1</v>
      </c>
    </row>
    <row r="194" spans="1:23" s="73" customFormat="1" x14ac:dyDescent="0.25">
      <c r="A194" s="35">
        <v>59</v>
      </c>
      <c r="B194" s="138" t="str">
        <f>VLOOKUP(A194,Registry!$A$4:$AA$241,2,FALSE)</f>
        <v>Mountain Home Park</v>
      </c>
      <c r="C194" s="138" t="str">
        <f>VLOOKUP(A194,Registry!$A$4:$AA$241,3,FALSE)</f>
        <v>Windham</v>
      </c>
      <c r="D194" s="138" t="str">
        <f>VLOOKUP(A194,Registry!$A$4:$AA$241,4,FALSE)</f>
        <v>Brattleboro</v>
      </c>
      <c r="E194" s="138">
        <f>IF(VLOOKUP(A194,Registry!$A$4:$AA$241,7,FALSE)=0,"",VLOOKUP(A194,Registry!$A$4:$AA$241,7,FALSE))</f>
        <v>1958</v>
      </c>
      <c r="F194" s="138" t="str">
        <f>IF(VLOOKUP(A194,Registry!$A$4:$AA$241,20,FALSE)=0,"",VLOOKUP(A194,Registry!$A$4:$AA$241,20,FALSE))</f>
        <v>Cooperative</v>
      </c>
      <c r="G194" s="138">
        <f>VLOOKUP(A194,Registry!$A$4:$AA$241,21,FALSE)</f>
        <v>262</v>
      </c>
      <c r="H194" s="81">
        <f>VLOOKUP($A194,Table4[],36,FALSE)</f>
        <v>0.98091603053435117</v>
      </c>
      <c r="I194" s="129">
        <f>VLOOKUP($A194,Table4[],41,FALSE)</f>
        <v>9.4339622641509441E-2</v>
      </c>
      <c r="J194" s="81">
        <f>VLOOKUP($A194,Table4[],30,FALSE)</f>
        <v>0</v>
      </c>
      <c r="K194" s="82">
        <f>VLOOKUP($A194,Table4[],17,FALSE)</f>
        <v>1</v>
      </c>
      <c r="L194" s="82">
        <f>VLOOKUP($A194,Table4[],18,FALSE)</f>
        <v>3</v>
      </c>
      <c r="M194" s="82" t="str">
        <f>IF(VLOOKUP($A194,Table2[],8,FALSE)=0,"",VLOOKUP($A194,Table2[],8,FALSE))</f>
        <v>Municipal</v>
      </c>
      <c r="N194" s="82">
        <f>VLOOKUP($A194,Table2[],14,FALSE)</f>
        <v>0</v>
      </c>
      <c r="O194" s="82" t="str">
        <f>IF(VLOOKUP($A194,Table2[],15,FALSE)=0,"",VLOOKUP($A194,Table2[],15,FALSE))</f>
        <v>Municipal</v>
      </c>
      <c r="P194" s="82" t="str">
        <f>IF(VLOOKUP($A194,Table2[],16,FALSE)=0,"",VLOOKUP($A194,Table2[],16,FALSE))</f>
        <v>MH-2-0014, WW-2-0311-R2</v>
      </c>
      <c r="Q194" s="83" t="str">
        <f>IF(ISNA(VLOOKUP($A194,Table3[],6,FALSE)),"None",VLOOKUP($A194,Table3[],6,FALSE))</f>
        <v>Floodway</v>
      </c>
      <c r="R194" s="83" t="str">
        <f>IF(ISNA(VLOOKUP($A194,Table3[],7,FALSE)),"Unknown",VLOOKUP($A194,Table3[],7,FALSE))</f>
        <v>Extreme</v>
      </c>
      <c r="S194" s="83" t="str">
        <f>IF(ISNA(VLOOKUP($A194,Table3[],8,FALSE)),"None",VLOOKUP($A194,Table3[],8,FALSE))</f>
        <v>Floodway</v>
      </c>
      <c r="T194" s="84">
        <f>IF(ISNA(VLOOKUP($A194,Table3[],13,FALSE)),"Unknown",VLOOKUP($A194,Table3[],13,FALSE))</f>
        <v>37</v>
      </c>
      <c r="U194" s="85">
        <f>IF(ISNA(VLOOKUP($A194,Table3[],14,FALSE)),"Unknown",VLOOKUP($A194,Table3[],14,FALSE))</f>
        <v>0.14122137404580154</v>
      </c>
      <c r="V194" s="84">
        <f>IF(ISNA(VLOOKUP($A194,Table3[],21,FALSE)),0,VLOOKUP($A194,Table3[],21,FALSE))</f>
        <v>90</v>
      </c>
      <c r="W194" s="85">
        <f>IF(ISNA(VLOOKUP($A194,Table3[],22,FALSE)),0,VLOOKUP($A194,Table3[],22,FALSE))</f>
        <v>0.34351145038167941</v>
      </c>
    </row>
    <row r="195" spans="1:23" s="73" customFormat="1" x14ac:dyDescent="0.25">
      <c r="A195" s="35">
        <v>246</v>
      </c>
      <c r="B195" s="138" t="str">
        <f>VLOOKUP(A195,Registry!$A$4:$AA$241,2,FALSE)</f>
        <v>Charette's Trailer Park</v>
      </c>
      <c r="C195" s="138" t="str">
        <f>VLOOKUP(A195,Registry!$A$4:$AA$241,3,FALSE)</f>
        <v>Windham</v>
      </c>
      <c r="D195" s="138" t="str">
        <f>VLOOKUP(A195,Registry!$A$4:$AA$241,4,FALSE)</f>
        <v>Dummerston</v>
      </c>
      <c r="E195" s="138">
        <f>IF(VLOOKUP(A195,Registry!$A$4:$AA$241,7,FALSE)=0,"",VLOOKUP(A195,Registry!$A$4:$AA$241,7,FALSE))</f>
        <v>1954</v>
      </c>
      <c r="F195" s="138" t="str">
        <f>IF(VLOOKUP(A195,Registry!$A$4:$AA$241,20,FALSE)=0,"",VLOOKUP(A195,Registry!$A$4:$AA$241,20,FALSE))</f>
        <v>Non-profit</v>
      </c>
      <c r="G195" s="138">
        <f>VLOOKUP(A195,Registry!$A$4:$AA$241,21,FALSE)</f>
        <v>14</v>
      </c>
      <c r="H195" s="81">
        <f>VLOOKUP($A195,Table4[],36,FALSE)</f>
        <v>1</v>
      </c>
      <c r="I195" s="129">
        <f>VLOOKUP($A195,Table4[],41,FALSE)</f>
        <v>6.8571428571428575E-2</v>
      </c>
      <c r="J195" s="81">
        <f>VLOOKUP($A195,Table4[],30,FALSE)</f>
        <v>0</v>
      </c>
      <c r="K195" s="82">
        <f>VLOOKUP($A195,Table4[],17,FALSE)</f>
        <v>0</v>
      </c>
      <c r="L195" s="82">
        <f>VLOOKUP($A195,Table4[],18,FALSE)</f>
        <v>0</v>
      </c>
      <c r="M195" s="82" t="str">
        <f>IF(VLOOKUP($A195,Table2[],8,FALSE)=0,"",VLOOKUP($A195,Table2[],8,FALSE))</f>
        <v xml:space="preserve">Community </v>
      </c>
      <c r="N195" s="82">
        <f>VLOOKUP($A195,Table2[],14,FALSE)</f>
        <v>0</v>
      </c>
      <c r="O195" s="82" t="str">
        <f>IF(VLOOKUP($A195,Table2[],15,FALSE)=0,"",VLOOKUP($A195,Table2[],15,FALSE))</f>
        <v/>
      </c>
      <c r="P195" s="82" t="str">
        <f>IF(VLOOKUP($A195,Table2[],16,FALSE)=0,"",VLOOKUP($A195,Table2[],16,FALSE))</f>
        <v/>
      </c>
      <c r="Q195" s="83" t="str">
        <f>IF(ISNA(VLOOKUP($A195,Table3[],6,FALSE)),"None",VLOOKUP($A195,Table3[],6,FALSE))</f>
        <v>None</v>
      </c>
      <c r="R195" s="83" t="str">
        <f>IF(ISNA(VLOOKUP($A195,Table3[],7,FALSE)),"Unknown",VLOOKUP($A195,Table3[],7,FALSE))</f>
        <v>Unknown</v>
      </c>
      <c r="S195" s="83" t="str">
        <f>IF(ISNA(VLOOKUP($A195,Table3[],8,FALSE)),"None",VLOOKUP($A195,Table3[],8,FALSE))</f>
        <v>None</v>
      </c>
      <c r="T195" s="84" t="str">
        <f>IF(ISNA(VLOOKUP($A195,Table3[],13,FALSE)),"Unknown",VLOOKUP($A195,Table3[],13,FALSE))</f>
        <v>Unknown</v>
      </c>
      <c r="U195" s="85" t="str">
        <f>IF(ISNA(VLOOKUP($A195,Table3[],14,FALSE)),"Unknown",VLOOKUP($A195,Table3[],14,FALSE))</f>
        <v>Unknown</v>
      </c>
      <c r="V195" s="84">
        <f>IF(ISNA(VLOOKUP($A195,Table3[],21,FALSE)),0,VLOOKUP($A195,Table3[],21,FALSE))</f>
        <v>0</v>
      </c>
      <c r="W195" s="85">
        <f>IF(ISNA(VLOOKUP($A195,Table3[],22,FALSE)),0,VLOOKUP($A195,Table3[],22,FALSE))</f>
        <v>0</v>
      </c>
    </row>
    <row r="196" spans="1:23" s="73" customFormat="1" x14ac:dyDescent="0.25">
      <c r="A196" s="35">
        <v>62</v>
      </c>
      <c r="B196" s="138" t="str">
        <f>VLOOKUP(A196,Registry!$A$4:$AA$241,2,FALSE)</f>
        <v>Northstar MHP</v>
      </c>
      <c r="C196" s="138" t="str">
        <f>VLOOKUP(A196,Registry!$A$4:$AA$241,3,FALSE)</f>
        <v>Windham</v>
      </c>
      <c r="D196" s="138" t="str">
        <f>VLOOKUP(A196,Registry!$A$4:$AA$241,4,FALSE)</f>
        <v>Guilford</v>
      </c>
      <c r="E196" s="138">
        <f>IF(VLOOKUP(A196,Registry!$A$4:$AA$241,7,FALSE)=0,"",VLOOKUP(A196,Registry!$A$4:$AA$241,7,FALSE))</f>
        <v>1960</v>
      </c>
      <c r="F196" s="138" t="str">
        <f>IF(VLOOKUP(A196,Registry!$A$4:$AA$241,20,FALSE)=0,"",VLOOKUP(A196,Registry!$A$4:$AA$241,20,FALSE))</f>
        <v>For profit</v>
      </c>
      <c r="G196" s="138">
        <f>VLOOKUP(A196,Registry!$A$4:$AA$241,21,FALSE)</f>
        <v>5</v>
      </c>
      <c r="H196" s="81">
        <f>VLOOKUP($A196,Table4[],36,FALSE)</f>
        <v>1</v>
      </c>
      <c r="I196" s="129">
        <f>VLOOKUP($A196,Table4[],41,FALSE)</f>
        <v>0</v>
      </c>
      <c r="J196" s="81">
        <f>VLOOKUP($A196,Table4[],30,FALSE)</f>
        <v>0</v>
      </c>
      <c r="K196" s="82">
        <f>VLOOKUP($A196,Table4[],17,FALSE)</f>
        <v>1</v>
      </c>
      <c r="L196" s="82">
        <f>VLOOKUP($A196,Table4[],18,FALSE)</f>
        <v>0</v>
      </c>
      <c r="M196" s="82" t="str">
        <f>IF(VLOOKUP($A196,Table2[],8,FALSE)=0,"",VLOOKUP($A196,Table2[],8,FALSE))</f>
        <v>Small-Scale (potable, &lt;25 users)</v>
      </c>
      <c r="N196" s="82">
        <f>VLOOKUP($A196,Table2[],14,FALSE)</f>
        <v>0</v>
      </c>
      <c r="O196" s="82" t="str">
        <f>IF(VLOOKUP($A196,Table2[],15,FALSE)=0,"",VLOOKUP($A196,Table2[],15,FALSE))</f>
        <v>On-Site</v>
      </c>
      <c r="P196" s="82" t="str">
        <f>IF(VLOOKUP($A196,Table2[],16,FALSE)=0,"",VLOOKUP($A196,Table2[],16,FALSE))</f>
        <v/>
      </c>
      <c r="Q196" s="83" t="str">
        <f>IF(ISNA(VLOOKUP($A196,Table3[],6,FALSE)),"None",VLOOKUP($A196,Table3[],6,FALSE))</f>
        <v>None</v>
      </c>
      <c r="R196" s="83" t="str">
        <f>IF(ISNA(VLOOKUP($A196,Table3[],7,FALSE)),"Unknown",VLOOKUP($A196,Table3[],7,FALSE))</f>
        <v>Unknown</v>
      </c>
      <c r="S196" s="83" t="str">
        <f>IF(ISNA(VLOOKUP($A196,Table3[],8,FALSE)),"None",VLOOKUP($A196,Table3[],8,FALSE))</f>
        <v>None</v>
      </c>
      <c r="T196" s="84" t="str">
        <f>IF(ISNA(VLOOKUP($A196,Table3[],13,FALSE)),"Unknown",VLOOKUP($A196,Table3[],13,FALSE))</f>
        <v>Unknown</v>
      </c>
      <c r="U196" s="85" t="str">
        <f>IF(ISNA(VLOOKUP($A196,Table3[],14,FALSE)),"Unknown",VLOOKUP($A196,Table3[],14,FALSE))</f>
        <v>Unknown</v>
      </c>
      <c r="V196" s="84">
        <f>IF(ISNA(VLOOKUP($A196,Table3[],21,FALSE)),0,VLOOKUP($A196,Table3[],21,FALSE))</f>
        <v>0</v>
      </c>
      <c r="W196" s="85">
        <f>IF(ISNA(VLOOKUP($A196,Table3[],22,FALSE)),0,VLOOKUP($A196,Table3[],22,FALSE))</f>
        <v>0</v>
      </c>
    </row>
    <row r="197" spans="1:23" s="73" customFormat="1" x14ac:dyDescent="0.25">
      <c r="A197" s="35">
        <v>43</v>
      </c>
      <c r="B197" s="138" t="str">
        <f>VLOOKUP(A197,Registry!$A$4:$AA$241,2,FALSE)</f>
        <v>Kings Plot, LLC</v>
      </c>
      <c r="C197" s="138" t="str">
        <f>VLOOKUP(A197,Registry!$A$4:$AA$241,3,FALSE)</f>
        <v>Windham</v>
      </c>
      <c r="D197" s="138" t="str">
        <f>VLOOKUP(A197,Registry!$A$4:$AA$241,4,FALSE)</f>
        <v>Jamaica</v>
      </c>
      <c r="E197" s="138">
        <f>IF(VLOOKUP(A197,Registry!$A$4:$AA$241,7,FALSE)=0,"",VLOOKUP(A197,Registry!$A$4:$AA$241,7,FALSE))</f>
        <v>1980</v>
      </c>
      <c r="F197" s="138" t="str">
        <f>IF(VLOOKUP(A197,Registry!$A$4:$AA$241,20,FALSE)=0,"",VLOOKUP(A197,Registry!$A$4:$AA$241,20,FALSE))</f>
        <v>For profit</v>
      </c>
      <c r="G197" s="138">
        <f>VLOOKUP(A197,Registry!$A$4:$AA$241,21,FALSE)</f>
        <v>10</v>
      </c>
      <c r="H197" s="81">
        <f>VLOOKUP($A197,Table4[],36,FALSE)</f>
        <v>0.6</v>
      </c>
      <c r="I197" s="129">
        <f>VLOOKUP($A197,Table4[],41,FALSE)</f>
        <v>0.42857142857142855</v>
      </c>
      <c r="J197" s="81">
        <f>VLOOKUP($A197,Table4[],30,FALSE)</f>
        <v>0</v>
      </c>
      <c r="K197" s="82">
        <f>VLOOKUP($A197,Table4[],17,FALSE)</f>
        <v>3</v>
      </c>
      <c r="L197" s="82">
        <f>VLOOKUP($A197,Table4[],18,FALSE)</f>
        <v>0</v>
      </c>
      <c r="M197" s="82" t="str">
        <f>IF(VLOOKUP($A197,Table2[],8,FALSE)=0,"",VLOOKUP($A197,Table2[],8,FALSE))</f>
        <v>Small-Scale (potable, &lt;25 users)</v>
      </c>
      <c r="N197" s="82">
        <f>VLOOKUP($A197,Table2[],14,FALSE)</f>
        <v>0</v>
      </c>
      <c r="O197" s="82" t="str">
        <f>IF(VLOOKUP($A197,Table2[],15,FALSE)=0,"",VLOOKUP($A197,Table2[],15,FALSE))</f>
        <v>Community On-Site</v>
      </c>
      <c r="P197" s="82" t="str">
        <f>IF(VLOOKUP($A197,Table2[],16,FALSE)=0,"",VLOOKUP($A197,Table2[],16,FALSE))</f>
        <v>MHP-2-0010</v>
      </c>
      <c r="Q197" s="83" t="str">
        <f>IF(ISNA(VLOOKUP($A197,Table3[],6,FALSE)),"None",VLOOKUP($A197,Table3[],6,FALSE))</f>
        <v>None</v>
      </c>
      <c r="R197" s="83" t="str">
        <f>IF(ISNA(VLOOKUP($A197,Table3[],7,FALSE)),"Unknown",VLOOKUP($A197,Table3[],7,FALSE))</f>
        <v>Unknown</v>
      </c>
      <c r="S197" s="83" t="str">
        <f>IF(ISNA(VLOOKUP($A197,Table3[],8,FALSE)),"None",VLOOKUP($A197,Table3[],8,FALSE))</f>
        <v>None</v>
      </c>
      <c r="T197" s="84">
        <f>IF(ISNA(VLOOKUP($A197,Table3[],13,FALSE)),"Unknown",VLOOKUP($A197,Table3[],13,FALSE))</f>
        <v>0</v>
      </c>
      <c r="U197" s="85">
        <f>IF(ISNA(VLOOKUP($A197,Table3[],14,FALSE)),"Unknown",VLOOKUP($A197,Table3[],14,FALSE))</f>
        <v>0</v>
      </c>
      <c r="V197" s="84">
        <f>IF(ISNA(VLOOKUP($A197,Table3[],21,FALSE)),0,VLOOKUP($A197,Table3[],21,FALSE))</f>
        <v>0</v>
      </c>
      <c r="W197" s="85">
        <f>IF(ISNA(VLOOKUP($A197,Table3[],22,FALSE)),0,VLOOKUP($A197,Table3[],22,FALSE))</f>
        <v>0</v>
      </c>
    </row>
    <row r="198" spans="1:23" s="73" customFormat="1" x14ac:dyDescent="0.25">
      <c r="A198" s="163">
        <v>63</v>
      </c>
      <c r="B198" s="164" t="str">
        <f>VLOOKUP(A198,Registry!$A$4:$AA$241,2,FALSE)</f>
        <v>West River Park</v>
      </c>
      <c r="C198" s="164" t="str">
        <f>VLOOKUP(A198,Registry!$A$4:$AA$241,3,FALSE)</f>
        <v>Windham</v>
      </c>
      <c r="D198" s="164" t="str">
        <f>VLOOKUP(A198,Registry!$A$4:$AA$241,4,FALSE)</f>
        <v>Jamaica</v>
      </c>
      <c r="E198" s="164">
        <f>IF(VLOOKUP(A198,Registry!$A$4:$AA$241,7,FALSE)=0,"",VLOOKUP(A198,Registry!$A$4:$AA$241,7,FALSE))</f>
        <v>1937</v>
      </c>
      <c r="F198" s="164" t="str">
        <f>IF(VLOOKUP(A198,Registry!$A$4:$AA$241,20,FALSE)=0,"",VLOOKUP(A198,Registry!$A$4:$AA$241,20,FALSE))</f>
        <v>For profit</v>
      </c>
      <c r="G198" s="164">
        <f>VLOOKUP(A198,Registry!$A$4:$AA$241,21,FALSE)</f>
        <v>22</v>
      </c>
      <c r="H198" s="165">
        <f>VLOOKUP($A198,Table4[],36,FALSE)</f>
        <v>0</v>
      </c>
      <c r="I198" s="166" t="str">
        <f>VLOOKUP($A198,Table4[],41,FALSE)</f>
        <v>-</v>
      </c>
      <c r="J198" s="165">
        <f>VLOOKUP($A198,Table4[],30,FALSE)</f>
        <v>0</v>
      </c>
      <c r="K198" s="167">
        <f>VLOOKUP($A198,Table4[],17,FALSE)</f>
        <v>0</v>
      </c>
      <c r="L198" s="167">
        <f>VLOOKUP($A198,Table4[],18,FALSE)</f>
        <v>0</v>
      </c>
      <c r="M198" s="167" t="str">
        <f>IF(VLOOKUP($A198,Table2[],8,FALSE)=0,"",VLOOKUP($A198,Table2[],8,FALSE))</f>
        <v/>
      </c>
      <c r="N198" s="167">
        <f>VLOOKUP($A198,Table2[],14,FALSE)</f>
        <v>0</v>
      </c>
      <c r="O198" s="167" t="str">
        <f>IF(VLOOKUP($A198,Table2[],15,FALSE)=0,"",VLOOKUP($A198,Table2[],15,FALSE))</f>
        <v/>
      </c>
      <c r="P198" s="167" t="str">
        <f>IF(VLOOKUP($A198,Table2[],16,FALSE)=0,"",VLOOKUP($A198,Table2[],16,FALSE))</f>
        <v/>
      </c>
      <c r="Q198" s="168">
        <f>IF(ISNA(VLOOKUP($A198,Table3[],6,FALSE)),"None",VLOOKUP($A198,Table3[],6,FALSE))</f>
        <v>0</v>
      </c>
      <c r="R198" s="168">
        <f>IF(ISNA(VLOOKUP($A198,Table3[],7,FALSE)),"Unknown",VLOOKUP($A198,Table3[],7,FALSE))</f>
        <v>0</v>
      </c>
      <c r="S198" s="168">
        <f>IF(ISNA(VLOOKUP($A198,Table3[],8,FALSE)),"None",VLOOKUP($A198,Table3[],8,FALSE))</f>
        <v>0</v>
      </c>
      <c r="T198" s="169">
        <f>IF(ISNA(VLOOKUP($A198,Table3[],13,FALSE)),"Unknown",VLOOKUP($A198,Table3[],13,FALSE))</f>
        <v>0</v>
      </c>
      <c r="U198" s="170">
        <f>IF(ISNA(VLOOKUP($A198,Table3[],14,FALSE)),"Unknown",VLOOKUP($A198,Table3[],14,FALSE))</f>
        <v>0</v>
      </c>
      <c r="V198" s="169">
        <f>IF(ISNA(VLOOKUP($A198,Table3[],21,FALSE)),0,VLOOKUP($A198,Table3[],21,FALSE))</f>
        <v>0</v>
      </c>
      <c r="W198" s="170">
        <f>IF(ISNA(VLOOKUP($A198,Table3[],22,FALSE)),0,VLOOKUP($A198,Table3[],22,FALSE))</f>
        <v>0</v>
      </c>
    </row>
    <row r="199" spans="1:23" s="73" customFormat="1" x14ac:dyDescent="0.25">
      <c r="A199" s="35">
        <v>248</v>
      </c>
      <c r="B199" s="138" t="str">
        <f>VLOOKUP(A199,Registry!$A$4:$AA$241,2,FALSE)</f>
        <v>Wilkins Trailer Park</v>
      </c>
      <c r="C199" s="138" t="str">
        <f>VLOOKUP(A199,Registry!$A$4:$AA$241,3,FALSE)</f>
        <v>Windham</v>
      </c>
      <c r="D199" s="138" t="str">
        <f>VLOOKUP(A199,Registry!$A$4:$AA$241,4,FALSE)</f>
        <v>Jamaica</v>
      </c>
      <c r="E199" s="138">
        <f>IF(VLOOKUP(A199,Registry!$A$4:$AA$241,7,FALSE)=0,"",VLOOKUP(A199,Registry!$A$4:$AA$241,7,FALSE))</f>
        <v>1957</v>
      </c>
      <c r="F199" s="138" t="str">
        <f>IF(VLOOKUP(A199,Registry!$A$4:$AA$241,20,FALSE)=0,"",VLOOKUP(A199,Registry!$A$4:$AA$241,20,FALSE))</f>
        <v>For profit</v>
      </c>
      <c r="G199" s="138">
        <f>VLOOKUP(A199,Registry!$A$4:$AA$241,21,FALSE)</f>
        <v>7</v>
      </c>
      <c r="H199" s="81">
        <f>VLOOKUP($A199,Table4[],36,FALSE)</f>
        <v>1</v>
      </c>
      <c r="I199" s="129">
        <f>VLOOKUP($A199,Table4[],41,FALSE)</f>
        <v>0</v>
      </c>
      <c r="J199" s="81">
        <f>VLOOKUP($A199,Table4[],30,FALSE)</f>
        <v>0</v>
      </c>
      <c r="K199" s="82">
        <f>VLOOKUP($A199,Table4[],17,FALSE)</f>
        <v>0</v>
      </c>
      <c r="L199" s="82">
        <f>VLOOKUP($A199,Table4[],18,FALSE)</f>
        <v>0</v>
      </c>
      <c r="M199" s="82" t="str">
        <f>IF(VLOOKUP($A199,Table2[],8,FALSE)=0,"",VLOOKUP($A199,Table2[],8,FALSE))</f>
        <v>Small-Scale (potable, &lt;25 users)</v>
      </c>
      <c r="N199" s="82">
        <f>VLOOKUP($A199,Table2[],14,FALSE)</f>
        <v>0</v>
      </c>
      <c r="O199" s="82" t="str">
        <f>IF(VLOOKUP($A199,Table2[],15,FALSE)=0,"",VLOOKUP($A199,Table2[],15,FALSE))</f>
        <v>On-Site</v>
      </c>
      <c r="P199" s="82" t="str">
        <f>IF(VLOOKUP($A199,Table2[],16,FALSE)=0,"",VLOOKUP($A199,Table2[],16,FALSE))</f>
        <v/>
      </c>
      <c r="Q199" s="83" t="str">
        <f>IF(ISNA(VLOOKUP($A199,Table3[],6,FALSE)),"None",VLOOKUP($A199,Table3[],6,FALSE))</f>
        <v>100 Year Flood Plain</v>
      </c>
      <c r="R199" s="83" t="str">
        <f>IF(ISNA(VLOOKUP($A199,Table3[],7,FALSE)),"Unknown",VLOOKUP($A199,Table3[],7,FALSE))</f>
        <v>Unknown</v>
      </c>
      <c r="S199" s="83" t="str">
        <f>IF(ISNA(VLOOKUP($A199,Table3[],8,FALSE)),"None",VLOOKUP($A199,Table3[],8,FALSE))</f>
        <v>Not Available</v>
      </c>
      <c r="T199" s="84">
        <f>IF(ISNA(VLOOKUP($A199,Table3[],13,FALSE)),"Unknown",VLOOKUP($A199,Table3[],13,FALSE))</f>
        <v>1</v>
      </c>
      <c r="U199" s="85">
        <f>IF(ISNA(VLOOKUP($A199,Table3[],14,FALSE)),"Unknown",VLOOKUP($A199,Table3[],14,FALSE))</f>
        <v>0.14285714285714285</v>
      </c>
      <c r="V199" s="84">
        <f>IF(ISNA(VLOOKUP($A199,Table3[],21,FALSE)),0,VLOOKUP($A199,Table3[],21,FALSE))</f>
        <v>10</v>
      </c>
      <c r="W199" s="85">
        <f>IF(ISNA(VLOOKUP($A199,Table3[],22,FALSE)),0,VLOOKUP($A199,Table3[],22,FALSE))</f>
        <v>1</v>
      </c>
    </row>
    <row r="200" spans="1:23" s="73" customFormat="1" x14ac:dyDescent="0.25">
      <c r="A200" s="35">
        <v>65</v>
      </c>
      <c r="B200" s="138" t="str">
        <f>VLOOKUP(A200,Registry!$A$4:$AA$241,2,FALSE)</f>
        <v>Locust Hill MHP</v>
      </c>
      <c r="C200" s="138" t="str">
        <f>VLOOKUP(A200,Registry!$A$4:$AA$241,3,FALSE)</f>
        <v>Windham</v>
      </c>
      <c r="D200" s="138" t="str">
        <f>VLOOKUP(A200,Registry!$A$4:$AA$241,4,FALSE)</f>
        <v>Putney</v>
      </c>
      <c r="E200" s="138">
        <f>IF(VLOOKUP(A200,Registry!$A$4:$AA$241,7,FALSE)=0,"",VLOOKUP(A200,Registry!$A$4:$AA$241,7,FALSE))</f>
        <v>1969</v>
      </c>
      <c r="F200" s="138" t="str">
        <f>IF(VLOOKUP(A200,Registry!$A$4:$AA$241,20,FALSE)=0,"",VLOOKUP(A200,Registry!$A$4:$AA$241,20,FALSE))</f>
        <v>Non-profit</v>
      </c>
      <c r="G200" s="138">
        <f>VLOOKUP(A200,Registry!$A$4:$AA$241,21,FALSE)</f>
        <v>22</v>
      </c>
      <c r="H200" s="81">
        <f>VLOOKUP($A200,Table4[],36,FALSE)</f>
        <v>0.81818181818181823</v>
      </c>
      <c r="I200" s="129">
        <f>VLOOKUP($A200,Table4[],41,FALSE)</f>
        <v>4.72972972972973E-2</v>
      </c>
      <c r="J200" s="81">
        <f>VLOOKUP($A200,Table4[],30,FALSE)</f>
        <v>4.5454545454545456E-2</v>
      </c>
      <c r="K200" s="82">
        <f>VLOOKUP($A200,Table4[],17,FALSE)</f>
        <v>2</v>
      </c>
      <c r="L200" s="82">
        <f>VLOOKUP($A200,Table4[],18,FALSE)</f>
        <v>1</v>
      </c>
      <c r="M200" s="82" t="str">
        <f>IF(VLOOKUP($A200,Table2[],8,FALSE)=0,"",VLOOKUP($A200,Table2[],8,FALSE))</f>
        <v>Municipal</v>
      </c>
      <c r="N200" s="82">
        <f>VLOOKUP($A200,Table2[],14,FALSE)</f>
        <v>0</v>
      </c>
      <c r="O200" s="82" t="str">
        <f>IF(VLOOKUP($A200,Table2[],15,FALSE)=0,"",VLOOKUP($A200,Table2[],15,FALSE))</f>
        <v/>
      </c>
      <c r="P200" s="82" t="str">
        <f>IF(VLOOKUP($A200,Table2[],16,FALSE)=0,"",VLOOKUP($A200,Table2[],16,FALSE))</f>
        <v/>
      </c>
      <c r="Q200" s="83" t="str">
        <f>IF(ISNA(VLOOKUP($A200,Table3[],6,FALSE)),"None",VLOOKUP($A200,Table3[],6,FALSE))</f>
        <v>None</v>
      </c>
      <c r="R200" s="83" t="str">
        <f>IF(ISNA(VLOOKUP($A200,Table3[],7,FALSE)),"Unknown",VLOOKUP($A200,Table3[],7,FALSE))</f>
        <v>Unknown</v>
      </c>
      <c r="S200" s="83" t="str">
        <f>IF(ISNA(VLOOKUP($A200,Table3[],8,FALSE)),"None",VLOOKUP($A200,Table3[],8,FALSE))</f>
        <v>None</v>
      </c>
      <c r="T200" s="84" t="str">
        <f>IF(ISNA(VLOOKUP($A200,Table3[],13,FALSE)),"Unknown",VLOOKUP($A200,Table3[],13,FALSE))</f>
        <v>Unknown</v>
      </c>
      <c r="U200" s="85" t="str">
        <f>IF(ISNA(VLOOKUP($A200,Table3[],14,FALSE)),"Unknown",VLOOKUP($A200,Table3[],14,FALSE))</f>
        <v>Unknown</v>
      </c>
      <c r="V200" s="84">
        <f>IF(ISNA(VLOOKUP($A200,Table3[],21,FALSE)),0,VLOOKUP($A200,Table3[],21,FALSE))</f>
        <v>0</v>
      </c>
      <c r="W200" s="85">
        <f>IF(ISNA(VLOOKUP($A200,Table3[],22,FALSE)),0,VLOOKUP($A200,Table3[],22,FALSE))</f>
        <v>0</v>
      </c>
    </row>
    <row r="201" spans="1:23" s="73" customFormat="1" x14ac:dyDescent="0.25">
      <c r="A201" s="35">
        <v>42</v>
      </c>
      <c r="B201" s="138" t="str">
        <f>VLOOKUP(A201,Registry!$A$4:$AA$241,2,FALSE)</f>
        <v>Benson's Park</v>
      </c>
      <c r="C201" s="138" t="str">
        <f>VLOOKUP(A201,Registry!$A$4:$AA$241,3,FALSE)</f>
        <v>Windham</v>
      </c>
      <c r="D201" s="138" t="str">
        <f>VLOOKUP(A201,Registry!$A$4:$AA$241,4,FALSE)</f>
        <v>Rockingham</v>
      </c>
      <c r="E201" s="138">
        <f>IF(VLOOKUP(A201,Registry!$A$4:$AA$241,7,FALSE)=0,"",VLOOKUP(A201,Registry!$A$4:$AA$241,7,FALSE))</f>
        <v>1960</v>
      </c>
      <c r="F201" s="138" t="str">
        <f>IF(VLOOKUP(A201,Registry!$A$4:$AA$241,20,FALSE)=0,"",VLOOKUP(A201,Registry!$A$4:$AA$241,20,FALSE))</f>
        <v>For profit</v>
      </c>
      <c r="G201" s="138">
        <f>VLOOKUP(A201,Registry!$A$4:$AA$241,21,FALSE)</f>
        <v>7</v>
      </c>
      <c r="H201" s="81">
        <f>VLOOKUP($A201,Table4[],36,FALSE)</f>
        <v>1</v>
      </c>
      <c r="I201" s="129">
        <f>VLOOKUP($A201,Table4[],41,FALSE)</f>
        <v>4.6931407942238268E-2</v>
      </c>
      <c r="J201" s="81">
        <f>VLOOKUP($A201,Table4[],30,FALSE)</f>
        <v>0</v>
      </c>
      <c r="K201" s="82">
        <f>VLOOKUP($A201,Table4[],17,FALSE)</f>
        <v>0</v>
      </c>
      <c r="L201" s="82">
        <f>VLOOKUP($A201,Table4[],18,FALSE)</f>
        <v>0</v>
      </c>
      <c r="M201" s="82" t="str">
        <f>IF(VLOOKUP($A201,Table2[],8,FALSE)=0,"",VLOOKUP($A201,Table2[],8,FALSE))</f>
        <v>Small-Scale (potable, &lt;25 users)</v>
      </c>
      <c r="N201" s="82">
        <f>VLOOKUP($A201,Table2[],14,FALSE)</f>
        <v>0</v>
      </c>
      <c r="O201" s="82" t="str">
        <f>IF(VLOOKUP($A201,Table2[],15,FALSE)=0,"",VLOOKUP($A201,Table2[],15,FALSE))</f>
        <v>Community On-Site</v>
      </c>
      <c r="P201" s="82" t="str">
        <f>IF(VLOOKUP($A201,Table2[],16,FALSE)=0,"",VLOOKUP($A201,Table2[],16,FALSE))</f>
        <v/>
      </c>
      <c r="Q201" s="83" t="str">
        <f>IF(ISNA(VLOOKUP($A201,Table3[],6,FALSE)),"None",VLOOKUP($A201,Table3[],6,FALSE))</f>
        <v>Floodway</v>
      </c>
      <c r="R201" s="83" t="str">
        <f>IF(ISNA(VLOOKUP($A201,Table3[],7,FALSE)),"Unknown",VLOOKUP($A201,Table3[],7,FALSE))</f>
        <v>High</v>
      </c>
      <c r="S201" s="83" t="str">
        <f>IF(ISNA(VLOOKUP($A201,Table3[],8,FALSE)),"None",VLOOKUP($A201,Table3[],8,FALSE))</f>
        <v>Floodway</v>
      </c>
      <c r="T201" s="84">
        <f>IF(ISNA(VLOOKUP($A201,Table3[],13,FALSE)),"Unknown",VLOOKUP($A201,Table3[],13,FALSE))</f>
        <v>2</v>
      </c>
      <c r="U201" s="85">
        <f>IF(ISNA(VLOOKUP($A201,Table3[],14,FALSE)),"Unknown",VLOOKUP($A201,Table3[],14,FALSE))</f>
        <v>0.2857142857142857</v>
      </c>
      <c r="V201" s="84">
        <f>IF(ISNA(VLOOKUP($A201,Table3[],21,FALSE)),0,VLOOKUP($A201,Table3[],21,FALSE))</f>
        <v>8</v>
      </c>
      <c r="W201" s="85">
        <f>IF(ISNA(VLOOKUP($A201,Table3[],22,FALSE)),0,VLOOKUP($A201,Table3[],22,FALSE))</f>
        <v>1</v>
      </c>
    </row>
    <row r="202" spans="1:23" s="73" customFormat="1" x14ac:dyDescent="0.25">
      <c r="A202" s="35">
        <v>252</v>
      </c>
      <c r="B202" s="138" t="str">
        <f>VLOOKUP(A202,Registry!$A$4:$AA$241,2,FALSE)</f>
        <v>Evergreen Mobile Home Park</v>
      </c>
      <c r="C202" s="138" t="str">
        <f>VLOOKUP(A202,Registry!$A$4:$AA$241,3,FALSE)</f>
        <v>Windham</v>
      </c>
      <c r="D202" s="138" t="str">
        <f>VLOOKUP(A202,Registry!$A$4:$AA$241,4,FALSE)</f>
        <v>Rockingham</v>
      </c>
      <c r="E202" s="138">
        <f>IF(VLOOKUP(A202,Registry!$A$4:$AA$241,7,FALSE)=0,"",VLOOKUP(A202,Registry!$A$4:$AA$241,7,FALSE))</f>
        <v>1970</v>
      </c>
      <c r="F202" s="138" t="str">
        <f>IF(VLOOKUP(A202,Registry!$A$4:$AA$241,20,FALSE)=0,"",VLOOKUP(A202,Registry!$A$4:$AA$241,20,FALSE))</f>
        <v>Non-profit</v>
      </c>
      <c r="G202" s="138">
        <f>VLOOKUP(A202,Registry!$A$4:$AA$241,21,FALSE)</f>
        <v>11</v>
      </c>
      <c r="H202" s="81">
        <f>VLOOKUP($A202,Table4[],36,FALSE)</f>
        <v>0.90909090909090906</v>
      </c>
      <c r="I202" s="129">
        <f>VLOOKUP($A202,Table4[],41,FALSE)</f>
        <v>5.3639846743295021E-2</v>
      </c>
      <c r="J202" s="81">
        <f>VLOOKUP($A202,Table4[],30,FALSE)</f>
        <v>0</v>
      </c>
      <c r="K202" s="82">
        <f>VLOOKUP($A202,Table4[],17,FALSE)</f>
        <v>1</v>
      </c>
      <c r="L202" s="82">
        <f>VLOOKUP($A202,Table4[],18,FALSE)</f>
        <v>-1</v>
      </c>
      <c r="M202" s="82" t="str">
        <f>IF(VLOOKUP($A202,Table2[],8,FALSE)=0,"",VLOOKUP($A202,Table2[],8,FALSE))</f>
        <v>Municipal</v>
      </c>
      <c r="N202" s="82">
        <f>VLOOKUP($A202,Table2[],14,FALSE)</f>
        <v>0</v>
      </c>
      <c r="O202" s="82" t="str">
        <f>IF(VLOOKUP($A202,Table2[],15,FALSE)=0,"",VLOOKUP($A202,Table2[],15,FALSE))</f>
        <v>Municipal</v>
      </c>
      <c r="P202" s="82" t="str">
        <f>IF(VLOOKUP($A202,Table2[],16,FALSE)=0,"",VLOOKUP($A202,Table2[],16,FALSE))</f>
        <v/>
      </c>
      <c r="Q202" s="83" t="str">
        <f>IF(ISNA(VLOOKUP($A202,Table3[],6,FALSE)),"None",VLOOKUP($A202,Table3[],6,FALSE))</f>
        <v>None</v>
      </c>
      <c r="R202" s="83" t="str">
        <f>IF(ISNA(VLOOKUP($A202,Table3[],7,FALSE)),"Unknown",VLOOKUP($A202,Table3[],7,FALSE))</f>
        <v>Unknown</v>
      </c>
      <c r="S202" s="83" t="str">
        <f>IF(ISNA(VLOOKUP($A202,Table3[],8,FALSE)),"None",VLOOKUP($A202,Table3[],8,FALSE))</f>
        <v>None</v>
      </c>
      <c r="T202" s="84" t="str">
        <f>IF(ISNA(VLOOKUP($A202,Table3[],13,FALSE)),"Unknown",VLOOKUP($A202,Table3[],13,FALSE))</f>
        <v>Unknown</v>
      </c>
      <c r="U202" s="85" t="str">
        <f>IF(ISNA(VLOOKUP($A202,Table3[],14,FALSE)),"Unknown",VLOOKUP($A202,Table3[],14,FALSE))</f>
        <v>Unknown</v>
      </c>
      <c r="V202" s="84">
        <f>IF(ISNA(VLOOKUP($A202,Table3[],21,FALSE)),0,VLOOKUP($A202,Table3[],21,FALSE))</f>
        <v>0</v>
      </c>
      <c r="W202" s="85">
        <f>IF(ISNA(VLOOKUP($A202,Table3[],22,FALSE)),0,VLOOKUP($A202,Table3[],22,FALSE))</f>
        <v>0</v>
      </c>
    </row>
    <row r="203" spans="1:23" s="73" customFormat="1" x14ac:dyDescent="0.25">
      <c r="A203" s="35">
        <v>127</v>
      </c>
      <c r="B203" s="138" t="str">
        <f>VLOOKUP(A203,Registry!$A$4:$AA$241,2,FALSE)</f>
        <v>North Shore Trailer Park</v>
      </c>
      <c r="C203" s="138" t="str">
        <f>VLOOKUP(A203,Registry!$A$4:$AA$241,3,FALSE)</f>
        <v>Windham</v>
      </c>
      <c r="D203" s="138" t="str">
        <f>VLOOKUP(A203,Registry!$A$4:$AA$241,4,FALSE)</f>
        <v>Rockingham</v>
      </c>
      <c r="E203" s="138">
        <f>IF(VLOOKUP(A203,Registry!$A$4:$AA$241,7,FALSE)=0,"",VLOOKUP(A203,Registry!$A$4:$AA$241,7,FALSE))</f>
        <v>1947</v>
      </c>
      <c r="F203" s="138" t="str">
        <f>IF(VLOOKUP(A203,Registry!$A$4:$AA$241,20,FALSE)=0,"",VLOOKUP(A203,Registry!$A$4:$AA$241,20,FALSE))</f>
        <v>For profit</v>
      </c>
      <c r="G203" s="138">
        <f>VLOOKUP(A203,Registry!$A$4:$AA$241,21,FALSE)</f>
        <v>21</v>
      </c>
      <c r="H203" s="81">
        <f>VLOOKUP($A203,Table4[],36,FALSE)</f>
        <v>1</v>
      </c>
      <c r="I203" s="129">
        <f>VLOOKUP($A203,Table4[],41,FALSE)</f>
        <v>2.9411764705882353E-2</v>
      </c>
      <c r="J203" s="81">
        <f>VLOOKUP($A203,Table4[],30,FALSE)</f>
        <v>0</v>
      </c>
      <c r="K203" s="82">
        <f>VLOOKUP($A203,Table4[],17,FALSE)</f>
        <v>0</v>
      </c>
      <c r="L203" s="82">
        <f>VLOOKUP($A203,Table4[],18,FALSE)</f>
        <v>0</v>
      </c>
      <c r="M203" s="82" t="str">
        <f>IF(VLOOKUP($A203,Table2[],8,FALSE)=0,"",VLOOKUP($A203,Table2[],8,FALSE))</f>
        <v xml:space="preserve">Community </v>
      </c>
      <c r="N203" s="82">
        <f>VLOOKUP($A203,Table2[],14,FALSE)</f>
        <v>0</v>
      </c>
      <c r="O203" s="82" t="str">
        <f>IF(VLOOKUP($A203,Table2[],15,FALSE)=0,"",VLOOKUP($A203,Table2[],15,FALSE))</f>
        <v/>
      </c>
      <c r="P203" s="82" t="str">
        <f>IF(VLOOKUP($A203,Table2[],16,FALSE)=0,"",VLOOKUP($A203,Table2[],16,FALSE))</f>
        <v/>
      </c>
      <c r="Q203" s="83" t="str">
        <f>IF(ISNA(VLOOKUP($A203,Table3[],6,FALSE)),"None",VLOOKUP($A203,Table3[],6,FALSE))</f>
        <v>100 Year Flood Plain</v>
      </c>
      <c r="R203" s="83" t="str">
        <f>IF(ISNA(VLOOKUP($A203,Table3[],7,FALSE)),"Unknown",VLOOKUP($A203,Table3[],7,FALSE))</f>
        <v>Unknown</v>
      </c>
      <c r="S203" s="83" t="str">
        <f>IF(ISNA(VLOOKUP($A203,Table3[],8,FALSE)),"None",VLOOKUP($A203,Table3[],8,FALSE))</f>
        <v>Floodway</v>
      </c>
      <c r="T203" s="84">
        <f>IF(ISNA(VLOOKUP($A203,Table3[],13,FALSE)),"Unknown",VLOOKUP($A203,Table3[],13,FALSE))</f>
        <v>12</v>
      </c>
      <c r="U203" s="85">
        <f>IF(ISNA(VLOOKUP($A203,Table3[],14,FALSE)),"Unknown",VLOOKUP($A203,Table3[],14,FALSE))</f>
        <v>0.5714285714285714</v>
      </c>
      <c r="V203" s="84">
        <f>IF(ISNA(VLOOKUP($A203,Table3[],21,FALSE)),0,VLOOKUP($A203,Table3[],21,FALSE))</f>
        <v>21</v>
      </c>
      <c r="W203" s="85">
        <f>IF(ISNA(VLOOKUP($A203,Table3[],22,FALSE)),0,VLOOKUP($A203,Table3[],22,FALSE))</f>
        <v>1</v>
      </c>
    </row>
    <row r="204" spans="1:23" s="73" customFormat="1" x14ac:dyDescent="0.25">
      <c r="A204" s="35">
        <v>56</v>
      </c>
      <c r="B204" s="138" t="str">
        <f>VLOOKUP(A204,Registry!$A$4:$AA$241,2,FALSE)</f>
        <v>Vernon Estates Inc.</v>
      </c>
      <c r="C204" s="138" t="str">
        <f>VLOOKUP(A204,Registry!$A$4:$AA$241,3,FALSE)</f>
        <v>Windham</v>
      </c>
      <c r="D204" s="138" t="str">
        <f>VLOOKUP(A204,Registry!$A$4:$AA$241,4,FALSE)</f>
        <v>Vernon</v>
      </c>
      <c r="E204" s="138">
        <f>IF(VLOOKUP(A204,Registry!$A$4:$AA$241,7,FALSE)=0,"",VLOOKUP(A204,Registry!$A$4:$AA$241,7,FALSE))</f>
        <v>1991</v>
      </c>
      <c r="F204" s="138" t="str">
        <f>IF(VLOOKUP(A204,Registry!$A$4:$AA$241,20,FALSE)=0,"",VLOOKUP(A204,Registry!$A$4:$AA$241,20,FALSE))</f>
        <v>For profit</v>
      </c>
      <c r="G204" s="138">
        <f>VLOOKUP(A204,Registry!$A$4:$AA$241,21,FALSE)</f>
        <v>10</v>
      </c>
      <c r="H204" s="81">
        <f>VLOOKUP($A204,Table4[],36,FALSE)</f>
        <v>1</v>
      </c>
      <c r="I204" s="129">
        <f>VLOOKUP($A204,Table4[],41,FALSE)</f>
        <v>0</v>
      </c>
      <c r="J204" s="81">
        <f>VLOOKUP($A204,Table4[],30,FALSE)</f>
        <v>0</v>
      </c>
      <c r="K204" s="82">
        <f>VLOOKUP($A204,Table4[],17,FALSE)</f>
        <v>0</v>
      </c>
      <c r="L204" s="82">
        <f>VLOOKUP($A204,Table4[],18,FALSE)</f>
        <v>0</v>
      </c>
      <c r="M204" s="82" t="str">
        <f>IF(VLOOKUP($A204,Table2[],8,FALSE)=0,"",VLOOKUP($A204,Table2[],8,FALSE))</f>
        <v>Small-Scale (potable, &lt;25 users)</v>
      </c>
      <c r="N204" s="82">
        <f>VLOOKUP($A204,Table2[],14,FALSE)</f>
        <v>0</v>
      </c>
      <c r="O204" s="82" t="str">
        <f>IF(VLOOKUP($A204,Table2[],15,FALSE)=0,"",VLOOKUP($A204,Table2[],15,FALSE))</f>
        <v>On-Site</v>
      </c>
      <c r="P204" s="82" t="str">
        <f>IF(VLOOKUP($A204,Table2[],16,FALSE)=0,"",VLOOKUP($A204,Table2[],16,FALSE))</f>
        <v/>
      </c>
      <c r="Q204" s="83" t="str">
        <f>IF(ISNA(VLOOKUP($A204,Table3[],6,FALSE)),"None",VLOOKUP($A204,Table3[],6,FALSE))</f>
        <v>100 Year Flood Plain</v>
      </c>
      <c r="R204" s="83" t="str">
        <f>IF(ISNA(VLOOKUP($A204,Table3[],7,FALSE)),"Unknown",VLOOKUP($A204,Table3[],7,FALSE))</f>
        <v>Unknown</v>
      </c>
      <c r="S204" s="83" t="str">
        <f>IF(ISNA(VLOOKUP($A204,Table3[],8,FALSE)),"None",VLOOKUP($A204,Table3[],8,FALSE))</f>
        <v>100 Year Flood Plain</v>
      </c>
      <c r="T204" s="84">
        <f>IF(ISNA(VLOOKUP($A204,Table3[],13,FALSE)),"Unknown",VLOOKUP($A204,Table3[],13,FALSE))</f>
        <v>5</v>
      </c>
      <c r="U204" s="85">
        <f>IF(ISNA(VLOOKUP($A204,Table3[],14,FALSE)),"Unknown",VLOOKUP($A204,Table3[],14,FALSE))</f>
        <v>0.5</v>
      </c>
      <c r="V204" s="84">
        <f>IF(ISNA(VLOOKUP($A204,Table3[],21,FALSE)),0,VLOOKUP($A204,Table3[],21,FALSE))</f>
        <v>7</v>
      </c>
      <c r="W204" s="85">
        <f>IF(ISNA(VLOOKUP($A204,Table3[],22,FALSE)),0,VLOOKUP($A204,Table3[],22,FALSE))</f>
        <v>0.7</v>
      </c>
    </row>
    <row r="205" spans="1:23" s="73" customFormat="1" x14ac:dyDescent="0.25">
      <c r="A205" s="35">
        <v>32</v>
      </c>
      <c r="B205" s="138" t="str">
        <f>VLOOKUP(A205,Registry!$A$4:$AA$241,2,FALSE)</f>
        <v>Shady Pines Mobile Home Park</v>
      </c>
      <c r="C205" s="138" t="str">
        <f>VLOOKUP(A205,Registry!$A$4:$AA$241,3,FALSE)</f>
        <v>Windham</v>
      </c>
      <c r="D205" s="138" t="str">
        <f>VLOOKUP(A205,Registry!$A$4:$AA$241,4,FALSE)</f>
        <v>Westminster</v>
      </c>
      <c r="E205" s="138">
        <f>IF(VLOOKUP(A205,Registry!$A$4:$AA$241,7,FALSE)=0,"",VLOOKUP(A205,Registry!$A$4:$AA$241,7,FALSE))</f>
        <v>1968</v>
      </c>
      <c r="F205" s="138" t="str">
        <f>IF(VLOOKUP(A205,Registry!$A$4:$AA$241,20,FALSE)=0,"",VLOOKUP(A205,Registry!$A$4:$AA$241,20,FALSE))</f>
        <v>Non-profit</v>
      </c>
      <c r="G205" s="138">
        <f>VLOOKUP(A205,Registry!$A$4:$AA$241,21,FALSE)</f>
        <v>28</v>
      </c>
      <c r="H205" s="81">
        <f>VLOOKUP($A205,Table4[],36,FALSE)</f>
        <v>0.8928571428571429</v>
      </c>
      <c r="I205" s="129">
        <f>VLOOKUP($A205,Table4[],41,FALSE)</f>
        <v>0.10932475884244373</v>
      </c>
      <c r="J205" s="81">
        <f>VLOOKUP($A205,Table4[],30,FALSE)</f>
        <v>3.5714285714285712E-2</v>
      </c>
      <c r="K205" s="82">
        <f>VLOOKUP($A205,Table4[],17,FALSE)</f>
        <v>-1</v>
      </c>
      <c r="L205" s="82">
        <f>VLOOKUP($A205,Table4[],18,FALSE)</f>
        <v>0</v>
      </c>
      <c r="M205" s="82" t="str">
        <f>IF(VLOOKUP($A205,Table2[],8,FALSE)=0,"",VLOOKUP($A205,Table2[],8,FALSE))</f>
        <v xml:space="preserve">Community </v>
      </c>
      <c r="N205" s="82">
        <f>VLOOKUP($A205,Table2[],14,FALSE)</f>
        <v>0</v>
      </c>
      <c r="O205" s="82" t="str">
        <f>IF(VLOOKUP($A205,Table2[],15,FALSE)=0,"",VLOOKUP($A205,Table2[],15,FALSE))</f>
        <v/>
      </c>
      <c r="P205" s="82" t="str">
        <f>IF(VLOOKUP($A205,Table2[],16,FALSE)=0,"",VLOOKUP($A205,Table2[],16,FALSE))</f>
        <v/>
      </c>
      <c r="Q205" s="83" t="str">
        <f>IF(ISNA(VLOOKUP($A205,Table3[],6,FALSE)),"None",VLOOKUP($A205,Table3[],6,FALSE))</f>
        <v>None</v>
      </c>
      <c r="R205" s="83" t="str">
        <f>IF(ISNA(VLOOKUP($A205,Table3[],7,FALSE)),"Unknown",VLOOKUP($A205,Table3[],7,FALSE))</f>
        <v>Unknown</v>
      </c>
      <c r="S205" s="83" t="str">
        <f>IF(ISNA(VLOOKUP($A205,Table3[],8,FALSE)),"None",VLOOKUP($A205,Table3[],8,FALSE))</f>
        <v>None</v>
      </c>
      <c r="T205" s="84" t="str">
        <f>IF(ISNA(VLOOKUP($A205,Table3[],13,FALSE)),"Unknown",VLOOKUP($A205,Table3[],13,FALSE))</f>
        <v>Unknown</v>
      </c>
      <c r="U205" s="85" t="str">
        <f>IF(ISNA(VLOOKUP($A205,Table3[],14,FALSE)),"Unknown",VLOOKUP($A205,Table3[],14,FALSE))</f>
        <v>Unknown</v>
      </c>
      <c r="V205" s="84">
        <f>IF(ISNA(VLOOKUP($A205,Table3[],21,FALSE)),0,VLOOKUP($A205,Table3[],21,FALSE))</f>
        <v>0</v>
      </c>
      <c r="W205" s="85">
        <f>IF(ISNA(VLOOKUP($A205,Table3[],22,FALSE)),0,VLOOKUP($A205,Table3[],22,FALSE))</f>
        <v>0</v>
      </c>
    </row>
    <row r="206" spans="1:23" s="73" customFormat="1" x14ac:dyDescent="0.25">
      <c r="A206" s="35">
        <v>14</v>
      </c>
      <c r="B206" s="138" t="str">
        <f>VLOOKUP(A206,Registry!$A$4:$AA$241,2,FALSE)</f>
        <v>Mountain View Estates</v>
      </c>
      <c r="C206" s="138" t="str">
        <f>VLOOKUP(A206,Registry!$A$4:$AA$241,3,FALSE)</f>
        <v>Windsor</v>
      </c>
      <c r="D206" s="138" t="str">
        <f>VLOOKUP(A206,Registry!$A$4:$AA$241,4,FALSE)</f>
        <v>Bethel</v>
      </c>
      <c r="E206" s="138">
        <f>IF(VLOOKUP(A206,Registry!$A$4:$AA$241,7,FALSE)=0,"",VLOOKUP(A206,Registry!$A$4:$AA$241,7,FALSE))</f>
        <v>1965</v>
      </c>
      <c r="F206" s="138" t="str">
        <f>IF(VLOOKUP(A206,Registry!$A$4:$AA$241,20,FALSE)=0,"",VLOOKUP(A206,Registry!$A$4:$AA$241,20,FALSE))</f>
        <v>For profit</v>
      </c>
      <c r="G206" s="138">
        <f>VLOOKUP(A206,Registry!$A$4:$AA$241,21,FALSE)</f>
        <v>10</v>
      </c>
      <c r="H206" s="81">
        <f>VLOOKUP($A206,Table4[],36,FALSE)</f>
        <v>1</v>
      </c>
      <c r="I206" s="129" t="str">
        <f>VLOOKUP($A206,Table4[],41,FALSE)</f>
        <v>-</v>
      </c>
      <c r="J206" s="81">
        <f>VLOOKUP($A206,Table4[],30,FALSE)</f>
        <v>-0.2</v>
      </c>
      <c r="K206" s="82">
        <f>VLOOKUP($A206,Table4[],17,FALSE)</f>
        <v>1</v>
      </c>
      <c r="L206" s="82">
        <f>VLOOKUP($A206,Table4[],18,FALSE)</f>
        <v>0</v>
      </c>
      <c r="M206" s="82" t="str">
        <f>IF(VLOOKUP($A206,Table2[],8,FALSE)=0,"",VLOOKUP($A206,Table2[],8,FALSE))</f>
        <v>Small-Scale (potable, &lt;25 users)</v>
      </c>
      <c r="N206" s="82">
        <f>VLOOKUP($A206,Table2[],14,FALSE)</f>
        <v>0</v>
      </c>
      <c r="O206" s="82" t="str">
        <f>IF(VLOOKUP($A206,Table2[],15,FALSE)=0,"",VLOOKUP($A206,Table2[],15,FALSE))</f>
        <v>Individual On-Site</v>
      </c>
      <c r="P206" s="82" t="str">
        <f>IF(VLOOKUP($A206,Table2[],16,FALSE)=0,"",VLOOKUP($A206,Table2[],16,FALSE))</f>
        <v>WW-3-3153</v>
      </c>
      <c r="Q206" s="83" t="str">
        <f>IF(ISNA(VLOOKUP($A206,Table3[],6,FALSE)),"None",VLOOKUP($A206,Table3[],6,FALSE))</f>
        <v>None</v>
      </c>
      <c r="R206" s="83" t="str">
        <f>IF(ISNA(VLOOKUP($A206,Table3[],7,FALSE)),"Unknown",VLOOKUP($A206,Table3[],7,FALSE))</f>
        <v>Unknown</v>
      </c>
      <c r="S206" s="83" t="str">
        <f>IF(ISNA(VLOOKUP($A206,Table3[],8,FALSE)),"None",VLOOKUP($A206,Table3[],8,FALSE))</f>
        <v>None</v>
      </c>
      <c r="T206" s="84" t="str">
        <f>IF(ISNA(VLOOKUP($A206,Table3[],13,FALSE)),"Unknown",VLOOKUP($A206,Table3[],13,FALSE))</f>
        <v>Unknown</v>
      </c>
      <c r="U206" s="85" t="str">
        <f>IF(ISNA(VLOOKUP($A206,Table3[],14,FALSE)),"Unknown",VLOOKUP($A206,Table3[],14,FALSE))</f>
        <v>Unknown</v>
      </c>
      <c r="V206" s="84">
        <f>IF(ISNA(VLOOKUP($A206,Table3[],21,FALSE)),0,VLOOKUP($A206,Table3[],21,FALSE))</f>
        <v>0</v>
      </c>
      <c r="W206" s="85">
        <f>IF(ISNA(VLOOKUP($A206,Table3[],22,FALSE)),0,VLOOKUP($A206,Table3[],22,FALSE))</f>
        <v>0</v>
      </c>
    </row>
    <row r="207" spans="1:23" s="73" customFormat="1" x14ac:dyDescent="0.25">
      <c r="A207" s="35">
        <v>13</v>
      </c>
      <c r="B207" s="138" t="str">
        <f>VLOOKUP(A207,Registry!$A$4:$AA$241,2,FALSE)</f>
        <v>Richards Mobile Home Park</v>
      </c>
      <c r="C207" s="138" t="str">
        <f>VLOOKUP(A207,Registry!$A$4:$AA$241,3,FALSE)</f>
        <v>Windsor</v>
      </c>
      <c r="D207" s="138" t="str">
        <f>VLOOKUP(A207,Registry!$A$4:$AA$241,4,FALSE)</f>
        <v>Bethel</v>
      </c>
      <c r="E207" s="138">
        <f>IF(VLOOKUP(A207,Registry!$A$4:$AA$241,7,FALSE)=0,"",VLOOKUP(A207,Registry!$A$4:$AA$241,7,FALSE))</f>
        <v>1950</v>
      </c>
      <c r="F207" s="138" t="str">
        <f>IF(VLOOKUP(A207,Registry!$A$4:$AA$241,20,FALSE)=0,"",VLOOKUP(A207,Registry!$A$4:$AA$241,20,FALSE))</f>
        <v>For profit</v>
      </c>
      <c r="G207" s="138">
        <f>VLOOKUP(A207,Registry!$A$4:$AA$241,21,FALSE)</f>
        <v>21</v>
      </c>
      <c r="H207" s="81">
        <f>VLOOKUP($A207,Table4[],36,FALSE)</f>
        <v>1</v>
      </c>
      <c r="I207" s="129">
        <f>VLOOKUP($A207,Table4[],41,FALSE)</f>
        <v>8.1081081081081086E-2</v>
      </c>
      <c r="J207" s="81">
        <f>VLOOKUP($A207,Table4[],30,FALSE)</f>
        <v>0</v>
      </c>
      <c r="K207" s="82">
        <f>VLOOKUP($A207,Table4[],17,FALSE)</f>
        <v>0</v>
      </c>
      <c r="L207" s="82">
        <f>VLOOKUP($A207,Table4[],18,FALSE)</f>
        <v>0</v>
      </c>
      <c r="M207" s="82" t="str">
        <f>IF(VLOOKUP($A207,Table2[],8,FALSE)=0,"",VLOOKUP($A207,Table2[],8,FALSE))</f>
        <v>Municipal</v>
      </c>
      <c r="N207" s="82">
        <f>VLOOKUP($A207,Table2[],14,FALSE)</f>
        <v>0</v>
      </c>
      <c r="O207" s="82" t="str">
        <f>IF(VLOOKUP($A207,Table2[],15,FALSE)=0,"",VLOOKUP($A207,Table2[],15,FALSE))</f>
        <v>Municipal</v>
      </c>
      <c r="P207" s="82" t="str">
        <f>IF(VLOOKUP($A207,Table2[],16,FALSE)=0,"",VLOOKUP($A207,Table2[],16,FALSE))</f>
        <v/>
      </c>
      <c r="Q207" s="83" t="str">
        <f>IF(ISNA(VLOOKUP($A207,Table3[],6,FALSE)),"None",VLOOKUP($A207,Table3[],6,FALSE))</f>
        <v>100 Year Flood Plain</v>
      </c>
      <c r="R207" s="83" t="str">
        <f>IF(ISNA(VLOOKUP($A207,Table3[],7,FALSE)),"Unknown",VLOOKUP($A207,Table3[],7,FALSE))</f>
        <v>Unknown</v>
      </c>
      <c r="S207" s="83" t="str">
        <f>IF(ISNA(VLOOKUP($A207,Table3[],8,FALSE)),"None",VLOOKUP($A207,Table3[],8,FALSE))</f>
        <v>100 Year Flood Plain</v>
      </c>
      <c r="T207" s="84">
        <f>IF(ISNA(VLOOKUP($A207,Table3[],13,FALSE)),"Unknown",VLOOKUP($A207,Table3[],13,FALSE))</f>
        <v>0</v>
      </c>
      <c r="U207" s="85">
        <f>IF(ISNA(VLOOKUP($A207,Table3[],14,FALSE)),"Unknown",VLOOKUP($A207,Table3[],14,FALSE))</f>
        <v>0</v>
      </c>
      <c r="V207" s="84">
        <f>IF(ISNA(VLOOKUP($A207,Table3[],21,FALSE)),0,VLOOKUP($A207,Table3[],21,FALSE))</f>
        <v>17</v>
      </c>
      <c r="W207" s="85">
        <f>IF(ISNA(VLOOKUP($A207,Table3[],22,FALSE)),0,VLOOKUP($A207,Table3[],22,FALSE))</f>
        <v>0.80952380952380953</v>
      </c>
    </row>
    <row r="208" spans="1:23" s="73" customFormat="1" x14ac:dyDescent="0.25">
      <c r="A208" s="35">
        <v>41</v>
      </c>
      <c r="B208" s="138" t="str">
        <f>VLOOKUP(A208,Registry!$A$4:$AA$241,2,FALSE)</f>
        <v>Farrugia Mobile Home Park</v>
      </c>
      <c r="C208" s="138" t="str">
        <f>VLOOKUP(A208,Registry!$A$4:$AA$241,3,FALSE)</f>
        <v>Windsor</v>
      </c>
      <c r="D208" s="138" t="str">
        <f>VLOOKUP(A208,Registry!$A$4:$AA$241,4,FALSE)</f>
        <v>Cavendish</v>
      </c>
      <c r="E208" s="138">
        <f>IF(VLOOKUP(A208,Registry!$A$4:$AA$241,7,FALSE)=0,"",VLOOKUP(A208,Registry!$A$4:$AA$241,7,FALSE))</f>
        <v>1982</v>
      </c>
      <c r="F208" s="138" t="str">
        <f>IF(VLOOKUP(A208,Registry!$A$4:$AA$241,20,FALSE)=0,"",VLOOKUP(A208,Registry!$A$4:$AA$241,20,FALSE))</f>
        <v>For profit</v>
      </c>
      <c r="G208" s="138">
        <f>VLOOKUP(A208,Registry!$A$4:$AA$241,21,FALSE)</f>
        <v>8</v>
      </c>
      <c r="H208" s="81">
        <f>VLOOKUP($A208,Table4[],36,FALSE)</f>
        <v>0.875</v>
      </c>
      <c r="I208" s="129">
        <f>VLOOKUP($A208,Table4[],41,FALSE)</f>
        <v>3.1003134796238202E-2</v>
      </c>
      <c r="J208" s="81">
        <f>VLOOKUP($A208,Table4[],30,FALSE)</f>
        <v>0</v>
      </c>
      <c r="K208" s="82">
        <f>VLOOKUP($A208,Table4[],17,FALSE)</f>
        <v>0</v>
      </c>
      <c r="L208" s="82">
        <f>VLOOKUP($A208,Table4[],18,FALSE)</f>
        <v>0</v>
      </c>
      <c r="M208" s="82" t="str">
        <f>IF(VLOOKUP($A208,Table2[],8,FALSE)=0,"",VLOOKUP($A208,Table2[],8,FALSE))</f>
        <v>Small-Scale (potable, &lt;25 users)</v>
      </c>
      <c r="N208" s="82">
        <f>VLOOKUP($A208,Table2[],14,FALSE)</f>
        <v>0</v>
      </c>
      <c r="O208" s="82" t="str">
        <f>IF(VLOOKUP($A208,Table2[],15,FALSE)=0,"",VLOOKUP($A208,Table2[],15,FALSE))</f>
        <v>Municipal</v>
      </c>
      <c r="P208" s="82" t="str">
        <f>IF(VLOOKUP($A208,Table2[],16,FALSE)=0,"",VLOOKUP($A208,Table2[],16,FALSE))</f>
        <v/>
      </c>
      <c r="Q208" s="83" t="str">
        <f>IF(ISNA(VLOOKUP($A208,Table3[],6,FALSE)),"None",VLOOKUP($A208,Table3[],6,FALSE))</f>
        <v>None</v>
      </c>
      <c r="R208" s="83" t="str">
        <f>IF(ISNA(VLOOKUP($A208,Table3[],7,FALSE)),"Unknown",VLOOKUP($A208,Table3[],7,FALSE))</f>
        <v>Unknown</v>
      </c>
      <c r="S208" s="83" t="str">
        <f>IF(ISNA(VLOOKUP($A208,Table3[],8,FALSE)),"None",VLOOKUP($A208,Table3[],8,FALSE))</f>
        <v>None</v>
      </c>
      <c r="T208" s="84" t="str">
        <f>IF(ISNA(VLOOKUP($A208,Table3[],13,FALSE)),"Unknown",VLOOKUP($A208,Table3[],13,FALSE))</f>
        <v>Unknown</v>
      </c>
      <c r="U208" s="85" t="str">
        <f>IF(ISNA(VLOOKUP($A208,Table3[],14,FALSE)),"Unknown",VLOOKUP($A208,Table3[],14,FALSE))</f>
        <v>Unknown</v>
      </c>
      <c r="V208" s="84">
        <f>IF(ISNA(VLOOKUP($A208,Table3[],21,FALSE)),0,VLOOKUP($A208,Table3[],21,FALSE))</f>
        <v>0</v>
      </c>
      <c r="W208" s="85">
        <f>IF(ISNA(VLOOKUP($A208,Table3[],22,FALSE)),0,VLOOKUP($A208,Table3[],22,FALSE))</f>
        <v>0</v>
      </c>
    </row>
    <row r="209" spans="1:23" s="73" customFormat="1" x14ac:dyDescent="0.25">
      <c r="A209" s="35">
        <v>34</v>
      </c>
      <c r="B209" s="138" t="str">
        <f>VLOOKUP(A209,Registry!$A$4:$AA$241,2,FALSE)</f>
        <v>Amsden's Mobile Home Park</v>
      </c>
      <c r="C209" s="138" t="str">
        <f>VLOOKUP(A209,Registry!$A$4:$AA$241,3,FALSE)</f>
        <v>Windsor</v>
      </c>
      <c r="D209" s="138" t="str">
        <f>VLOOKUP(A209,Registry!$A$4:$AA$241,4,FALSE)</f>
        <v>Chester</v>
      </c>
      <c r="E209" s="138">
        <f>IF(VLOOKUP(A209,Registry!$A$4:$AA$241,7,FALSE)=0,"",VLOOKUP(A209,Registry!$A$4:$AA$241,7,FALSE))</f>
        <v>1960</v>
      </c>
      <c r="F209" s="138" t="str">
        <f>IF(VLOOKUP(A209,Registry!$A$4:$AA$241,20,FALSE)=0,"",VLOOKUP(A209,Registry!$A$4:$AA$241,20,FALSE))</f>
        <v>For profit</v>
      </c>
      <c r="G209" s="138">
        <f>VLOOKUP(A209,Registry!$A$4:$AA$241,21,FALSE)</f>
        <v>3</v>
      </c>
      <c r="H209" s="81">
        <f>VLOOKUP($A209,Table4[],36,FALSE)</f>
        <v>1</v>
      </c>
      <c r="I209" s="129">
        <f>VLOOKUP($A209,Table4[],41,FALSE)</f>
        <v>0</v>
      </c>
      <c r="J209" s="81">
        <f>VLOOKUP($A209,Table4[],30,FALSE)</f>
        <v>0</v>
      </c>
      <c r="K209" s="82">
        <f>VLOOKUP($A209,Table4[],17,FALSE)</f>
        <v>0</v>
      </c>
      <c r="L209" s="82">
        <f>VLOOKUP($A209,Table4[],18,FALSE)</f>
        <v>0</v>
      </c>
      <c r="M209" s="82" t="str">
        <f>IF(VLOOKUP($A209,Table2[],8,FALSE)=0,"",VLOOKUP($A209,Table2[],8,FALSE))</f>
        <v>Small-Scale (potable, &lt;25 users)</v>
      </c>
      <c r="N209" s="82">
        <f>VLOOKUP($A209,Table2[],14,FALSE)</f>
        <v>0</v>
      </c>
      <c r="O209" s="82" t="str">
        <f>IF(VLOOKUP($A209,Table2[],15,FALSE)=0,"",VLOOKUP($A209,Table2[],15,FALSE))</f>
        <v>Individual On-Site</v>
      </c>
      <c r="P209" s="82" t="str">
        <f>IF(VLOOKUP($A209,Table2[],16,FALSE)=0,"",VLOOKUP($A209,Table2[],16,FALSE))</f>
        <v>MH-2-0002</v>
      </c>
      <c r="Q209" s="83" t="str">
        <f>IF(ISNA(VLOOKUP($A209,Table3[],6,FALSE)),"None",VLOOKUP($A209,Table3[],6,FALSE))</f>
        <v>None</v>
      </c>
      <c r="R209" s="83" t="str">
        <f>IF(ISNA(VLOOKUP($A209,Table3[],7,FALSE)),"Unknown",VLOOKUP($A209,Table3[],7,FALSE))</f>
        <v>Unknown</v>
      </c>
      <c r="S209" s="83" t="str">
        <f>IF(ISNA(VLOOKUP($A209,Table3[],8,FALSE)),"None",VLOOKUP($A209,Table3[],8,FALSE))</f>
        <v>None</v>
      </c>
      <c r="T209" s="84" t="str">
        <f>IF(ISNA(VLOOKUP($A209,Table3[],13,FALSE)),"Unknown",VLOOKUP($A209,Table3[],13,FALSE))</f>
        <v>Unknown</v>
      </c>
      <c r="U209" s="85" t="str">
        <f>IF(ISNA(VLOOKUP($A209,Table3[],14,FALSE)),"Unknown",VLOOKUP($A209,Table3[],14,FALSE))</f>
        <v>Unknown</v>
      </c>
      <c r="V209" s="84">
        <f>IF(ISNA(VLOOKUP($A209,Table3[],21,FALSE)),0,VLOOKUP($A209,Table3[],21,FALSE))</f>
        <v>0</v>
      </c>
      <c r="W209" s="85">
        <f>IF(ISNA(VLOOKUP($A209,Table3[],22,FALSE)),0,VLOOKUP($A209,Table3[],22,FALSE))</f>
        <v>0</v>
      </c>
    </row>
    <row r="210" spans="1:23" s="73" customFormat="1" x14ac:dyDescent="0.25">
      <c r="A210" s="35">
        <v>36</v>
      </c>
      <c r="B210" s="138" t="str">
        <f>VLOOKUP(A210,Registry!$A$4:$AA$241,2,FALSE)</f>
        <v>Farrar Mobile Home Park</v>
      </c>
      <c r="C210" s="138" t="str">
        <f>VLOOKUP(A210,Registry!$A$4:$AA$241,3,FALSE)</f>
        <v>Windsor</v>
      </c>
      <c r="D210" s="138" t="str">
        <f>VLOOKUP(A210,Registry!$A$4:$AA$241,4,FALSE)</f>
        <v>Chester</v>
      </c>
      <c r="E210" s="138">
        <f>IF(VLOOKUP(A210,Registry!$A$4:$AA$241,7,FALSE)=0,"",VLOOKUP(A210,Registry!$A$4:$AA$241,7,FALSE))</f>
        <v>1970</v>
      </c>
      <c r="F210" s="138" t="str">
        <f>IF(VLOOKUP(A210,Registry!$A$4:$AA$241,20,FALSE)=0,"",VLOOKUP(A210,Registry!$A$4:$AA$241,20,FALSE))</f>
        <v>For profit</v>
      </c>
      <c r="G210" s="138">
        <f>VLOOKUP(A210,Registry!$A$4:$AA$241,21,FALSE)</f>
        <v>3</v>
      </c>
      <c r="H210" s="81">
        <f>VLOOKUP($A210,Table4[],36,FALSE)</f>
        <v>0.66666666666666663</v>
      </c>
      <c r="I210" s="129" t="str">
        <f>VLOOKUP($A210,Table4[],41,FALSE)</f>
        <v>-</v>
      </c>
      <c r="J210" s="81">
        <f>VLOOKUP($A210,Table4[],30,FALSE)</f>
        <v>0</v>
      </c>
      <c r="K210" s="82">
        <f>VLOOKUP($A210,Table4[],17,FALSE)</f>
        <v>0</v>
      </c>
      <c r="L210" s="82">
        <f>VLOOKUP($A210,Table4[],18,FALSE)</f>
        <v>0</v>
      </c>
      <c r="M210" s="82" t="str">
        <f>IF(VLOOKUP($A210,Table2[],8,FALSE)=0,"",VLOOKUP($A210,Table2[],8,FALSE))</f>
        <v>Municipal</v>
      </c>
      <c r="N210" s="82">
        <f>VLOOKUP($A210,Table2[],14,FALSE)</f>
        <v>0</v>
      </c>
      <c r="O210" s="82" t="str">
        <f>IF(VLOOKUP($A210,Table2[],15,FALSE)=0,"",VLOOKUP($A210,Table2[],15,FALSE))</f>
        <v>Municipal</v>
      </c>
      <c r="P210" s="82" t="str">
        <f>IF(VLOOKUP($A210,Table2[],16,FALSE)=0,"",VLOOKUP($A210,Table2[],16,FALSE))</f>
        <v/>
      </c>
      <c r="Q210" s="83" t="str">
        <f>IF(ISNA(VLOOKUP($A210,Table3[],6,FALSE)),"None",VLOOKUP($A210,Table3[],6,FALSE))</f>
        <v>None</v>
      </c>
      <c r="R210" s="83" t="str">
        <f>IF(ISNA(VLOOKUP($A210,Table3[],7,FALSE)),"Unknown",VLOOKUP($A210,Table3[],7,FALSE))</f>
        <v>Unknown</v>
      </c>
      <c r="S210" s="83" t="str">
        <f>IF(ISNA(VLOOKUP($A210,Table3[],8,FALSE)),"None",VLOOKUP($A210,Table3[],8,FALSE))</f>
        <v>None</v>
      </c>
      <c r="T210" s="84" t="str">
        <f>IF(ISNA(VLOOKUP($A210,Table3[],13,FALSE)),"Unknown",VLOOKUP($A210,Table3[],13,FALSE))</f>
        <v>Unknown</v>
      </c>
      <c r="U210" s="85" t="str">
        <f>IF(ISNA(VLOOKUP($A210,Table3[],14,FALSE)),"Unknown",VLOOKUP($A210,Table3[],14,FALSE))</f>
        <v>Unknown</v>
      </c>
      <c r="V210" s="84">
        <f>IF(ISNA(VLOOKUP($A210,Table3[],21,FALSE)),0,VLOOKUP($A210,Table3[],21,FALSE))</f>
        <v>0</v>
      </c>
      <c r="W210" s="85">
        <f>IF(ISNA(VLOOKUP($A210,Table3[],22,FALSE)),0,VLOOKUP($A210,Table3[],22,FALSE))</f>
        <v>0</v>
      </c>
    </row>
    <row r="211" spans="1:23" s="73" customFormat="1" x14ac:dyDescent="0.25">
      <c r="A211" s="35">
        <v>7</v>
      </c>
      <c r="B211" s="138" t="str">
        <f>VLOOKUP(A211,Registry!$A$4:$AA$241,2,FALSE)</f>
        <v>Chambers Mobile Home Village</v>
      </c>
      <c r="C211" s="138" t="str">
        <f>VLOOKUP(A211,Registry!$A$4:$AA$241,3,FALSE)</f>
        <v>Windsor</v>
      </c>
      <c r="D211" s="138" t="str">
        <f>VLOOKUP(A211,Registry!$A$4:$AA$241,4,FALSE)</f>
        <v>Hartford</v>
      </c>
      <c r="E211" s="138">
        <f>IF(VLOOKUP(A211,Registry!$A$4:$AA$241,7,FALSE)=0,"",VLOOKUP(A211,Registry!$A$4:$AA$241,7,FALSE))</f>
        <v>1960</v>
      </c>
      <c r="F211" s="138" t="str">
        <f>IF(VLOOKUP(A211,Registry!$A$4:$AA$241,20,FALSE)=0,"",VLOOKUP(A211,Registry!$A$4:$AA$241,20,FALSE))</f>
        <v>For profit</v>
      </c>
      <c r="G211" s="138">
        <f>VLOOKUP(A211,Registry!$A$4:$AA$241,21,FALSE)</f>
        <v>85</v>
      </c>
      <c r="H211" s="81">
        <f>VLOOKUP($A211,Table4[],36,FALSE)</f>
        <v>0.75294117647058822</v>
      </c>
      <c r="I211" s="129">
        <f>VLOOKUP($A211,Table4[],41,FALSE)</f>
        <v>8.7499999999999994E-2</v>
      </c>
      <c r="J211" s="81">
        <f>VLOOKUP($A211,Table4[],30,FALSE)</f>
        <v>-2.3529411764705882E-2</v>
      </c>
      <c r="K211" s="82">
        <f>VLOOKUP($A211,Table4[],17,FALSE)</f>
        <v>1</v>
      </c>
      <c r="L211" s="82">
        <f>VLOOKUP($A211,Table4[],18,FALSE)</f>
        <v>0</v>
      </c>
      <c r="M211" s="82" t="str">
        <f>IF(VLOOKUP($A211,Table2[],8,FALSE)=0,"",VLOOKUP($A211,Table2[],8,FALSE))</f>
        <v>Consecutive Community</v>
      </c>
      <c r="N211" s="82">
        <f>VLOOKUP($A211,Table2[],14,FALSE)</f>
        <v>12</v>
      </c>
      <c r="O211" s="82" t="str">
        <f>IF(VLOOKUP($A211,Table2[],15,FALSE)=0,"",VLOOKUP($A211,Table2[],15,FALSE))</f>
        <v>Municipal</v>
      </c>
      <c r="P211" s="82" t="str">
        <f>IF(VLOOKUP($A211,Table2[],16,FALSE)=0,"",VLOOKUP($A211,Table2[],16,FALSE))</f>
        <v>WW-3-0850</v>
      </c>
      <c r="Q211" s="83" t="str">
        <f>IF(ISNA(VLOOKUP($A211,Table3[],6,FALSE)),"None",VLOOKUP($A211,Table3[],6,FALSE))</f>
        <v>None</v>
      </c>
      <c r="R211" s="83" t="str">
        <f>IF(ISNA(VLOOKUP($A211,Table3[],7,FALSE)),"Unknown",VLOOKUP($A211,Table3[],7,FALSE))</f>
        <v>Unknown</v>
      </c>
      <c r="S211" s="83" t="str">
        <f>IF(ISNA(VLOOKUP($A211,Table3[],8,FALSE)),"None",VLOOKUP($A211,Table3[],8,FALSE))</f>
        <v>None</v>
      </c>
      <c r="T211" s="84" t="str">
        <f>IF(ISNA(VLOOKUP($A211,Table3[],13,FALSE)),"Unknown",VLOOKUP($A211,Table3[],13,FALSE))</f>
        <v>Unknown</v>
      </c>
      <c r="U211" s="85" t="str">
        <f>IF(ISNA(VLOOKUP($A211,Table3[],14,FALSE)),"Unknown",VLOOKUP($A211,Table3[],14,FALSE))</f>
        <v>Unknown</v>
      </c>
      <c r="V211" s="84">
        <f>IF(ISNA(VLOOKUP($A211,Table3[],21,FALSE)),0,VLOOKUP($A211,Table3[],21,FALSE))</f>
        <v>0</v>
      </c>
      <c r="W211" s="85">
        <f>IF(ISNA(VLOOKUP($A211,Table3[],22,FALSE)),0,VLOOKUP($A211,Table3[],22,FALSE))</f>
        <v>0</v>
      </c>
    </row>
    <row r="212" spans="1:23" s="73" customFormat="1" x14ac:dyDescent="0.25">
      <c r="A212" s="35">
        <v>234</v>
      </c>
      <c r="B212" s="138" t="str">
        <f>VLOOKUP(A212,Registry!$A$4:$AA$241,2,FALSE)</f>
        <v>Merrimac Mobile Home Park</v>
      </c>
      <c r="C212" s="138" t="str">
        <f>VLOOKUP(A212,Registry!$A$4:$AA$241,3,FALSE)</f>
        <v>Windsor</v>
      </c>
      <c r="D212" s="138" t="str">
        <f>VLOOKUP(A212,Registry!$A$4:$AA$241,4,FALSE)</f>
        <v>Hartford</v>
      </c>
      <c r="E212" s="138">
        <f>IF(VLOOKUP(A212,Registry!$A$4:$AA$241,7,FALSE)=0,"",VLOOKUP(A212,Registry!$A$4:$AA$241,7,FALSE))</f>
        <v>1968</v>
      </c>
      <c r="F212" s="138" t="str">
        <f>IF(VLOOKUP(A212,Registry!$A$4:$AA$241,20,FALSE)=0,"",VLOOKUP(A212,Registry!$A$4:$AA$241,20,FALSE))</f>
        <v>For profit</v>
      </c>
      <c r="G212" s="138">
        <f>VLOOKUP(A212,Registry!$A$4:$AA$241,21,FALSE)</f>
        <v>47</v>
      </c>
      <c r="H212" s="81">
        <f>VLOOKUP($A212,Table4[],36,FALSE)</f>
        <v>1</v>
      </c>
      <c r="I212" s="129">
        <f>VLOOKUP($A212,Table4[],41,FALSE)</f>
        <v>0.11139240506329114</v>
      </c>
      <c r="J212" s="81">
        <f>VLOOKUP($A212,Table4[],30,FALSE)</f>
        <v>0</v>
      </c>
      <c r="K212" s="82">
        <f>VLOOKUP($A212,Table4[],17,FALSE)</f>
        <v>-1</v>
      </c>
      <c r="L212" s="82">
        <f>VLOOKUP($A212,Table4[],18,FALSE)</f>
        <v>0</v>
      </c>
      <c r="M212" s="82" t="str">
        <f>IF(VLOOKUP($A212,Table2[],8,FALSE)=0,"",VLOOKUP($A212,Table2[],8,FALSE))</f>
        <v xml:space="preserve">Community </v>
      </c>
      <c r="N212" s="82">
        <f>VLOOKUP($A212,Table2[],14,FALSE)</f>
        <v>3</v>
      </c>
      <c r="O212" s="82" t="str">
        <f>IF(VLOOKUP($A212,Table2[],15,FALSE)=0,"",VLOOKUP($A212,Table2[],15,FALSE))</f>
        <v>Municipal</v>
      </c>
      <c r="P212" s="82" t="str">
        <f>IF(VLOOKUP($A212,Table2[],16,FALSE)=0,"",VLOOKUP($A212,Table2[],16,FALSE))</f>
        <v/>
      </c>
      <c r="Q212" s="83" t="str">
        <f>IF(ISNA(VLOOKUP($A212,Table3[],6,FALSE)),"None",VLOOKUP($A212,Table3[],6,FALSE))</f>
        <v>None</v>
      </c>
      <c r="R212" s="83" t="str">
        <f>IF(ISNA(VLOOKUP($A212,Table3[],7,FALSE)),"Unknown",VLOOKUP($A212,Table3[],7,FALSE))</f>
        <v>Unknown</v>
      </c>
      <c r="S212" s="83" t="str">
        <f>IF(ISNA(VLOOKUP($A212,Table3[],8,FALSE)),"None",VLOOKUP($A212,Table3[],8,FALSE))</f>
        <v>None</v>
      </c>
      <c r="T212" s="84">
        <f>IF(ISNA(VLOOKUP($A212,Table3[],13,FALSE)),"Unknown",VLOOKUP($A212,Table3[],13,FALSE))</f>
        <v>0</v>
      </c>
      <c r="U212" s="85">
        <f>IF(ISNA(VLOOKUP($A212,Table3[],14,FALSE)),"Unknown",VLOOKUP($A212,Table3[],14,FALSE))</f>
        <v>0</v>
      </c>
      <c r="V212" s="84">
        <f>IF(ISNA(VLOOKUP($A212,Table3[],21,FALSE)),0,VLOOKUP($A212,Table3[],21,FALSE))</f>
        <v>0</v>
      </c>
      <c r="W212" s="85">
        <f>IF(ISNA(VLOOKUP($A212,Table3[],22,FALSE)),0,VLOOKUP($A212,Table3[],22,FALSE))</f>
        <v>0</v>
      </c>
    </row>
    <row r="213" spans="1:23" s="73" customFormat="1" x14ac:dyDescent="0.25">
      <c r="A213" s="35">
        <v>141</v>
      </c>
      <c r="B213" s="138" t="str">
        <f>VLOOKUP(A213,Registry!$A$4:$AA$241,2,FALSE)</f>
        <v>Olcott Falls Mobile Home Park</v>
      </c>
      <c r="C213" s="138" t="str">
        <f>VLOOKUP(A213,Registry!$A$4:$AA$241,3,FALSE)</f>
        <v>Windsor</v>
      </c>
      <c r="D213" s="138" t="str">
        <f>VLOOKUP(A213,Registry!$A$4:$AA$241,4,FALSE)</f>
        <v>Hartford</v>
      </c>
      <c r="E213" s="138" t="str">
        <f>IF(VLOOKUP(A213,Registry!$A$4:$AA$241,7,FALSE)=0,"",VLOOKUP(A213,Registry!$A$4:$AA$241,7,FALSE))</f>
        <v/>
      </c>
      <c r="F213" s="138" t="str">
        <f>IF(VLOOKUP(A213,Registry!$A$4:$AA$241,20,FALSE)=0,"",VLOOKUP(A213,Registry!$A$4:$AA$241,20,FALSE))</f>
        <v>Non-profit</v>
      </c>
      <c r="G213" s="138">
        <f>VLOOKUP(A213,Registry!$A$4:$AA$241,21,FALSE)</f>
        <v>40</v>
      </c>
      <c r="H213" s="81">
        <f>VLOOKUP($A213,Table4[],36,FALSE)</f>
        <v>1</v>
      </c>
      <c r="I213" s="129">
        <f>VLOOKUP($A213,Table4[],41,FALSE)</f>
        <v>6.0096153846153848E-2</v>
      </c>
      <c r="J213" s="81">
        <f>VLOOKUP($A213,Table4[],30,FALSE)</f>
        <v>0</v>
      </c>
      <c r="K213" s="82">
        <f>VLOOKUP($A213,Table4[],17,FALSE)</f>
        <v>0</v>
      </c>
      <c r="L213" s="82">
        <f>VLOOKUP($A213,Table4[],18,FALSE)</f>
        <v>0</v>
      </c>
      <c r="M213" s="82" t="str">
        <f>IF(VLOOKUP($A213,Table2[],8,FALSE)=0,"",VLOOKUP($A213,Table2[],8,FALSE))</f>
        <v>Municipal</v>
      </c>
      <c r="N213" s="82">
        <f>VLOOKUP($A213,Table2[],14,FALSE)</f>
        <v>0</v>
      </c>
      <c r="O213" s="82" t="str">
        <f>IF(VLOOKUP($A213,Table2[],15,FALSE)=0,"",VLOOKUP($A213,Table2[],15,FALSE))</f>
        <v>Municipal</v>
      </c>
      <c r="P213" s="82" t="str">
        <f>IF(VLOOKUP($A213,Table2[],16,FALSE)=0,"",VLOOKUP($A213,Table2[],16,FALSE))</f>
        <v/>
      </c>
      <c r="Q213" s="83" t="str">
        <f>IF(ISNA(VLOOKUP($A213,Table3[],6,FALSE)),"None",VLOOKUP($A213,Table3[],6,FALSE))</f>
        <v>None</v>
      </c>
      <c r="R213" s="83" t="str">
        <f>IF(ISNA(VLOOKUP($A213,Table3[],7,FALSE)),"Unknown",VLOOKUP($A213,Table3[],7,FALSE))</f>
        <v>Unknown</v>
      </c>
      <c r="S213" s="83" t="str">
        <f>IF(ISNA(VLOOKUP($A213,Table3[],8,FALSE)),"None",VLOOKUP($A213,Table3[],8,FALSE))</f>
        <v>None</v>
      </c>
      <c r="T213" s="84" t="str">
        <f>IF(ISNA(VLOOKUP($A213,Table3[],13,FALSE)),"Unknown",VLOOKUP($A213,Table3[],13,FALSE))</f>
        <v>Unknown</v>
      </c>
      <c r="U213" s="85" t="str">
        <f>IF(ISNA(VLOOKUP($A213,Table3[],14,FALSE)),"Unknown",VLOOKUP($A213,Table3[],14,FALSE))</f>
        <v>Unknown</v>
      </c>
      <c r="V213" s="84">
        <f>IF(ISNA(VLOOKUP($A213,Table3[],21,FALSE)),0,VLOOKUP($A213,Table3[],21,FALSE))</f>
        <v>0</v>
      </c>
      <c r="W213" s="85">
        <f>IF(ISNA(VLOOKUP($A213,Table3[],22,FALSE)),0,VLOOKUP($A213,Table3[],22,FALSE))</f>
        <v>0</v>
      </c>
    </row>
    <row r="214" spans="1:23" s="73" customFormat="1" x14ac:dyDescent="0.25">
      <c r="A214" s="35">
        <v>200</v>
      </c>
      <c r="B214" s="138" t="str">
        <f>VLOOKUP(A214,Registry!$A$4:$AA$241,2,FALSE)</f>
        <v>Tall Timbers MH Community, LLC</v>
      </c>
      <c r="C214" s="138" t="str">
        <f>VLOOKUP(A214,Registry!$A$4:$AA$241,3,FALSE)</f>
        <v>Windsor</v>
      </c>
      <c r="D214" s="138" t="str">
        <f>VLOOKUP(A214,Registry!$A$4:$AA$241,4,FALSE)</f>
        <v>Hartford</v>
      </c>
      <c r="E214" s="138">
        <f>IF(VLOOKUP(A214,Registry!$A$4:$AA$241,7,FALSE)=0,"",VLOOKUP(A214,Registry!$A$4:$AA$241,7,FALSE))</f>
        <v>1977</v>
      </c>
      <c r="F214" s="138" t="str">
        <f>IF(VLOOKUP(A214,Registry!$A$4:$AA$241,20,FALSE)=0,"",VLOOKUP(A214,Registry!$A$4:$AA$241,20,FALSE))</f>
        <v>For profit</v>
      </c>
      <c r="G214" s="138">
        <f>VLOOKUP(A214,Registry!$A$4:$AA$241,21,FALSE)</f>
        <v>105</v>
      </c>
      <c r="H214" s="81">
        <f>VLOOKUP($A214,Table4[],36,FALSE)</f>
        <v>1</v>
      </c>
      <c r="I214" s="129">
        <f>VLOOKUP($A214,Table4[],41,FALSE)</f>
        <v>0</v>
      </c>
      <c r="J214" s="81">
        <f>VLOOKUP($A214,Table4[],30,FALSE)</f>
        <v>0</v>
      </c>
      <c r="K214" s="82">
        <f>VLOOKUP($A214,Table4[],17,FALSE)</f>
        <v>1</v>
      </c>
      <c r="L214" s="82">
        <f>VLOOKUP($A214,Table4[],18,FALSE)</f>
        <v>0</v>
      </c>
      <c r="M214" s="82" t="str">
        <f>IF(VLOOKUP($A214,Table2[],8,FALSE)=0,"",VLOOKUP($A214,Table2[],8,FALSE))</f>
        <v xml:space="preserve">Community </v>
      </c>
      <c r="N214" s="82">
        <f>VLOOKUP($A214,Table2[],14,FALSE)</f>
        <v>1</v>
      </c>
      <c r="O214" s="82" t="str">
        <f>IF(VLOOKUP($A214,Table2[],15,FALSE)=0,"",VLOOKUP($A214,Table2[],15,FALSE))</f>
        <v>Community On-Site</v>
      </c>
      <c r="P214" s="82" t="str">
        <f>IF(VLOOKUP($A214,Table2[],16,FALSE)=0,"",VLOOKUP($A214,Table2[],16,FALSE))</f>
        <v>3W0155, WW-3-1547-2</v>
      </c>
      <c r="Q214" s="83" t="str">
        <f>IF(ISNA(VLOOKUP($A214,Table3[],6,FALSE)),"None",VLOOKUP($A214,Table3[],6,FALSE))</f>
        <v>None</v>
      </c>
      <c r="R214" s="83" t="str">
        <f>IF(ISNA(VLOOKUP($A214,Table3[],7,FALSE)),"Unknown",VLOOKUP($A214,Table3[],7,FALSE))</f>
        <v>Unknown</v>
      </c>
      <c r="S214" s="83" t="str">
        <f>IF(ISNA(VLOOKUP($A214,Table3[],8,FALSE)),"None",VLOOKUP($A214,Table3[],8,FALSE))</f>
        <v>None</v>
      </c>
      <c r="T214" s="84" t="str">
        <f>IF(ISNA(VLOOKUP($A214,Table3[],13,FALSE)),"Unknown",VLOOKUP($A214,Table3[],13,FALSE))</f>
        <v>Unknown</v>
      </c>
      <c r="U214" s="85" t="str">
        <f>IF(ISNA(VLOOKUP($A214,Table3[],14,FALSE)),"Unknown",VLOOKUP($A214,Table3[],14,FALSE))</f>
        <v>Unknown</v>
      </c>
      <c r="V214" s="84">
        <f>IF(ISNA(VLOOKUP($A214,Table3[],21,FALSE)),0,VLOOKUP($A214,Table3[],21,FALSE))</f>
        <v>0</v>
      </c>
      <c r="W214" s="85">
        <f>IF(ISNA(VLOOKUP($A214,Table3[],22,FALSE)),0,VLOOKUP($A214,Table3[],22,FALSE))</f>
        <v>0</v>
      </c>
    </row>
    <row r="215" spans="1:23" s="73" customFormat="1" x14ac:dyDescent="0.25">
      <c r="A215" s="35">
        <v>15</v>
      </c>
      <c r="B215" s="138" t="str">
        <f>VLOOKUP(A215,Registry!$A$4:$AA$241,2,FALSE)</f>
        <v>Skunk Hollow Mobile Home Park</v>
      </c>
      <c r="C215" s="138" t="str">
        <f>VLOOKUP(A215,Registry!$A$4:$AA$241,3,FALSE)</f>
        <v>Windsor</v>
      </c>
      <c r="D215" s="138" t="str">
        <f>VLOOKUP(A215,Registry!$A$4:$AA$241,4,FALSE)</f>
        <v>Hartland</v>
      </c>
      <c r="E215" s="138">
        <f>IF(VLOOKUP(A215,Registry!$A$4:$AA$241,7,FALSE)=0,"",VLOOKUP(A215,Registry!$A$4:$AA$241,7,FALSE))</f>
        <v>1951</v>
      </c>
      <c r="F215" s="138" t="str">
        <f>IF(VLOOKUP(A215,Registry!$A$4:$AA$241,20,FALSE)=0,"",VLOOKUP(A215,Registry!$A$4:$AA$241,20,FALSE))</f>
        <v>For profit</v>
      </c>
      <c r="G215" s="138">
        <f>VLOOKUP(A215,Registry!$A$4:$AA$241,21,FALSE)</f>
        <v>9</v>
      </c>
      <c r="H215" s="81">
        <f>VLOOKUP($A215,Table4[],36,FALSE)</f>
        <v>1</v>
      </c>
      <c r="I215" s="129">
        <f>VLOOKUP($A215,Table4[],41,FALSE)</f>
        <v>0</v>
      </c>
      <c r="J215" s="81">
        <f>VLOOKUP($A215,Table4[],30,FALSE)</f>
        <v>0</v>
      </c>
      <c r="K215" s="82">
        <f>VLOOKUP($A215,Table4[],17,FALSE)</f>
        <v>0</v>
      </c>
      <c r="L215" s="82">
        <f>VLOOKUP($A215,Table4[],18,FALSE)</f>
        <v>0</v>
      </c>
      <c r="M215" s="82" t="str">
        <f>IF(VLOOKUP($A215,Table2[],8,FALSE)=0,"",VLOOKUP($A215,Table2[],8,FALSE))</f>
        <v>Small-Scale (potable, &lt;25 users)</v>
      </c>
      <c r="N215" s="82">
        <f>VLOOKUP($A215,Table2[],14,FALSE)</f>
        <v>0</v>
      </c>
      <c r="O215" s="82" t="str">
        <f>IF(VLOOKUP($A215,Table2[],15,FALSE)=0,"",VLOOKUP($A215,Table2[],15,FALSE))</f>
        <v>Community On-Site</v>
      </c>
      <c r="P215" s="82" t="str">
        <f>IF(VLOOKUP($A215,Table2[],16,FALSE)=0,"",VLOOKUP($A215,Table2[],16,FALSE))</f>
        <v/>
      </c>
      <c r="Q215" s="83" t="str">
        <f>IF(ISNA(VLOOKUP($A215,Table3[],6,FALSE)),"None",VLOOKUP($A215,Table3[],6,FALSE))</f>
        <v>100 Year Flood Plain</v>
      </c>
      <c r="R215" s="83" t="str">
        <f>IF(ISNA(VLOOKUP($A215,Table3[],7,FALSE)),"Unknown",VLOOKUP($A215,Table3[],7,FALSE))</f>
        <v>Unknown</v>
      </c>
      <c r="S215" s="83" t="str">
        <f>IF(ISNA(VLOOKUP($A215,Table3[],8,FALSE)),"None",VLOOKUP($A215,Table3[],8,FALSE))</f>
        <v>100 Year Flood Plain</v>
      </c>
      <c r="T215" s="84">
        <f>IF(ISNA(VLOOKUP($A215,Table3[],13,FALSE)),"Unknown",VLOOKUP($A215,Table3[],13,FALSE))</f>
        <v>8</v>
      </c>
      <c r="U215" s="85">
        <f>IF(ISNA(VLOOKUP($A215,Table3[],14,FALSE)),"Unknown",VLOOKUP($A215,Table3[],14,FALSE))</f>
        <v>0.88888888888888884</v>
      </c>
      <c r="V215" s="84">
        <f>IF(ISNA(VLOOKUP($A215,Table3[],21,FALSE)),0,VLOOKUP($A215,Table3[],21,FALSE))</f>
        <v>8</v>
      </c>
      <c r="W215" s="85">
        <f>IF(ISNA(VLOOKUP($A215,Table3[],22,FALSE)),0,VLOOKUP($A215,Table3[],22,FALSE))</f>
        <v>0.88888888888888884</v>
      </c>
    </row>
    <row r="216" spans="1:23" s="73" customFormat="1" x14ac:dyDescent="0.25">
      <c r="A216" s="35">
        <v>235</v>
      </c>
      <c r="B216" s="138" t="str">
        <f>VLOOKUP(A216,Registry!$A$4:$AA$241,2,FALSE)</f>
        <v>Woodside Manor</v>
      </c>
      <c r="C216" s="138" t="str">
        <f>VLOOKUP(A216,Registry!$A$4:$AA$241,3,FALSE)</f>
        <v>Windsor</v>
      </c>
      <c r="D216" s="138" t="str">
        <f>VLOOKUP(A216,Registry!$A$4:$AA$241,4,FALSE)</f>
        <v>Hartland</v>
      </c>
      <c r="E216" s="138">
        <f>IF(VLOOKUP(A216,Registry!$A$4:$AA$241,7,FALSE)=0,"",VLOOKUP(A216,Registry!$A$4:$AA$241,7,FALSE))</f>
        <v>1965</v>
      </c>
      <c r="F216" s="138" t="str">
        <f>IF(VLOOKUP(A216,Registry!$A$4:$AA$241,20,FALSE)=0,"",VLOOKUP(A216,Registry!$A$4:$AA$241,20,FALSE))</f>
        <v>For profit</v>
      </c>
      <c r="G216" s="138">
        <f>VLOOKUP(A216,Registry!$A$4:$AA$241,21,FALSE)</f>
        <v>87</v>
      </c>
      <c r="H216" s="81">
        <f>VLOOKUP($A216,Table4[],36,FALSE)</f>
        <v>1</v>
      </c>
      <c r="I216" s="129">
        <f>VLOOKUP($A216,Table4[],41,FALSE)</f>
        <v>0.1108433734939759</v>
      </c>
      <c r="J216" s="81">
        <f>VLOOKUP($A216,Table4[],30,FALSE)</f>
        <v>0</v>
      </c>
      <c r="K216" s="82">
        <f>VLOOKUP($A216,Table4[],17,FALSE)</f>
        <v>-1</v>
      </c>
      <c r="L216" s="82">
        <f>VLOOKUP($A216,Table4[],18,FALSE)</f>
        <v>0</v>
      </c>
      <c r="M216" s="82" t="str">
        <f>IF(VLOOKUP($A216,Table2[],8,FALSE)=0,"",VLOOKUP($A216,Table2[],8,FALSE))</f>
        <v xml:space="preserve">Community </v>
      </c>
      <c r="N216" s="82">
        <f>VLOOKUP($A216,Table2[],14,FALSE)</f>
        <v>1</v>
      </c>
      <c r="O216" s="82" t="str">
        <f>IF(VLOOKUP($A216,Table2[],15,FALSE)=0,"",VLOOKUP($A216,Table2[],15,FALSE))</f>
        <v>Community On-Site</v>
      </c>
      <c r="P216" s="82" t="str">
        <f>IF(VLOOKUP($A216,Table2[],16,FALSE)=0,"",VLOOKUP($A216,Table2[],16,FALSE))</f>
        <v>MHP-3-0007</v>
      </c>
      <c r="Q216" s="83" t="str">
        <f>IF(ISNA(VLOOKUP($A216,Table3[],6,FALSE)),"None",VLOOKUP($A216,Table3[],6,FALSE))</f>
        <v>None</v>
      </c>
      <c r="R216" s="83" t="str">
        <f>IF(ISNA(VLOOKUP($A216,Table3[],7,FALSE)),"Unknown",VLOOKUP($A216,Table3[],7,FALSE))</f>
        <v>Unknown</v>
      </c>
      <c r="S216" s="83" t="str">
        <f>IF(ISNA(VLOOKUP($A216,Table3[],8,FALSE)),"None",VLOOKUP($A216,Table3[],8,FALSE))</f>
        <v>None</v>
      </c>
      <c r="T216" s="84" t="str">
        <f>IF(ISNA(VLOOKUP($A216,Table3[],13,FALSE)),"Unknown",VLOOKUP($A216,Table3[],13,FALSE))</f>
        <v>Unknown</v>
      </c>
      <c r="U216" s="85" t="str">
        <f>IF(ISNA(VLOOKUP($A216,Table3[],14,FALSE)),"Unknown",VLOOKUP($A216,Table3[],14,FALSE))</f>
        <v>Unknown</v>
      </c>
      <c r="V216" s="84">
        <f>IF(ISNA(VLOOKUP($A216,Table3[],21,FALSE)),0,VLOOKUP($A216,Table3[],21,FALSE))</f>
        <v>0</v>
      </c>
      <c r="W216" s="85">
        <f>IF(ISNA(VLOOKUP($A216,Table3[],22,FALSE)),0,VLOOKUP($A216,Table3[],22,FALSE))</f>
        <v>0</v>
      </c>
    </row>
    <row r="217" spans="1:23" s="73" customFormat="1" x14ac:dyDescent="0.25">
      <c r="A217" s="35">
        <v>37</v>
      </c>
      <c r="B217" s="138" t="str">
        <f>VLOOKUP(A217,Registry!$A$4:$AA$241,2,FALSE)</f>
        <v>Black River Mobile Court</v>
      </c>
      <c r="C217" s="138" t="str">
        <f>VLOOKUP(A217,Registry!$A$4:$AA$241,3,FALSE)</f>
        <v>Windsor</v>
      </c>
      <c r="D217" s="138" t="str">
        <f>VLOOKUP(A217,Registry!$A$4:$AA$241,4,FALSE)</f>
        <v>Ludlow</v>
      </c>
      <c r="E217" s="138">
        <f>IF(VLOOKUP(A217,Registry!$A$4:$AA$241,7,FALSE)=0,"",VLOOKUP(A217,Registry!$A$4:$AA$241,7,FALSE))</f>
        <v>1967</v>
      </c>
      <c r="F217" s="138" t="str">
        <f>IF(VLOOKUP(A217,Registry!$A$4:$AA$241,20,FALSE)=0,"",VLOOKUP(A217,Registry!$A$4:$AA$241,20,FALSE))</f>
        <v>For profit</v>
      </c>
      <c r="G217" s="138">
        <f>VLOOKUP(A217,Registry!$A$4:$AA$241,21,FALSE)</f>
        <v>15</v>
      </c>
      <c r="H217" s="81">
        <f>VLOOKUP($A217,Table4[],36,FALSE)</f>
        <v>1</v>
      </c>
      <c r="I217" s="129">
        <f>VLOOKUP($A217,Table4[],41,FALSE)</f>
        <v>0.12195121951219512</v>
      </c>
      <c r="J217" s="81">
        <f>VLOOKUP($A217,Table4[],30,FALSE)</f>
        <v>0</v>
      </c>
      <c r="K217" s="82">
        <f>VLOOKUP($A217,Table4[],17,FALSE)</f>
        <v>-1</v>
      </c>
      <c r="L217" s="82">
        <f>VLOOKUP($A217,Table4[],18,FALSE)</f>
        <v>0</v>
      </c>
      <c r="M217" s="82" t="str">
        <f>IF(VLOOKUP($A217,Table2[],8,FALSE)=0,"",VLOOKUP($A217,Table2[],8,FALSE))</f>
        <v>Municipal</v>
      </c>
      <c r="N217" s="82">
        <f>VLOOKUP($A217,Table2[],14,FALSE)</f>
        <v>0</v>
      </c>
      <c r="O217" s="82" t="str">
        <f>IF(VLOOKUP($A217,Table2[],15,FALSE)=0,"",VLOOKUP($A217,Table2[],15,FALSE))</f>
        <v>Municipal</v>
      </c>
      <c r="P217" s="82" t="str">
        <f>IF(VLOOKUP($A217,Table2[],16,FALSE)=0,"",VLOOKUP($A217,Table2[],16,FALSE))</f>
        <v/>
      </c>
      <c r="Q217" s="83" t="str">
        <f>IF(ISNA(VLOOKUP($A217,Table3[],6,FALSE)),"None",VLOOKUP($A217,Table3[],6,FALSE))</f>
        <v>Floodway</v>
      </c>
      <c r="R217" s="83" t="str">
        <f>IF(ISNA(VLOOKUP($A217,Table3[],7,FALSE)),"Unknown",VLOOKUP($A217,Table3[],7,FALSE))</f>
        <v>High</v>
      </c>
      <c r="S217" s="83" t="str">
        <f>IF(ISNA(VLOOKUP($A217,Table3[],8,FALSE)),"None",VLOOKUP($A217,Table3[],8,FALSE))</f>
        <v>Floodway</v>
      </c>
      <c r="T217" s="84">
        <f>IF(ISNA(VLOOKUP($A217,Table3[],13,FALSE)),"Unknown",VLOOKUP($A217,Table3[],13,FALSE))</f>
        <v>4</v>
      </c>
      <c r="U217" s="85">
        <f>IF(ISNA(VLOOKUP($A217,Table3[],14,FALSE)),"Unknown",VLOOKUP($A217,Table3[],14,FALSE))</f>
        <v>0.26666666666666666</v>
      </c>
      <c r="V217" s="84">
        <f>IF(ISNA(VLOOKUP($A217,Table3[],21,FALSE)),0,VLOOKUP($A217,Table3[],21,FALSE))</f>
        <v>14</v>
      </c>
      <c r="W217" s="85">
        <f>IF(ISNA(VLOOKUP($A217,Table3[],22,FALSE)),0,VLOOKUP($A217,Table3[],22,FALSE))</f>
        <v>0.93333333333333335</v>
      </c>
    </row>
    <row r="218" spans="1:23" s="73" customFormat="1" x14ac:dyDescent="0.25">
      <c r="A218" s="86">
        <v>320</v>
      </c>
      <c r="B218" s="138" t="str">
        <f>VLOOKUP(A218,Registry!$A$4:$AA$241,2,FALSE)</f>
        <v>Hideaway Campground Association, Inc.</v>
      </c>
      <c r="C218" s="138" t="str">
        <f>VLOOKUP(A218,Registry!$A$4:$AA$241,3,FALSE)</f>
        <v>Windsor</v>
      </c>
      <c r="D218" s="138" t="str">
        <f>VLOOKUP(A218,Registry!$A$4:$AA$241,4,FALSE)</f>
        <v>Ludlow</v>
      </c>
      <c r="E218" s="138">
        <f>IF(VLOOKUP(A218,Registry!$A$4:$AA$241,7,FALSE)=0,"",VLOOKUP(A218,Registry!$A$4:$AA$241,7,FALSE))</f>
        <v>2008</v>
      </c>
      <c r="F218" s="138" t="str">
        <f>IF(VLOOKUP(A218,Registry!$A$4:$AA$241,20,FALSE)=0,"",VLOOKUP(A218,Registry!$A$4:$AA$241,20,FALSE))</f>
        <v>Non-profit</v>
      </c>
      <c r="G218" s="138">
        <f>VLOOKUP(A218,Registry!$A$4:$AA$241,21,FALSE)</f>
        <v>29</v>
      </c>
      <c r="H218" s="81">
        <f>VLOOKUP($A218,Table4[],36,FALSE)</f>
        <v>1</v>
      </c>
      <c r="I218" s="129">
        <f>VLOOKUP($A218,Table4[],41,FALSE)</f>
        <v>0</v>
      </c>
      <c r="J218" s="81">
        <f>VLOOKUP($A218,Table4[],30,FALSE)</f>
        <v>0</v>
      </c>
      <c r="K218" s="82">
        <f>VLOOKUP($A218,Table4[],17,FALSE)</f>
        <v>0</v>
      </c>
      <c r="L218" s="82">
        <f>VLOOKUP($A218,Table4[],18,FALSE)</f>
        <v>0</v>
      </c>
      <c r="M218" s="82" t="str">
        <f>IF(VLOOKUP($A218,Table2[],8,FALSE)=0,"",VLOOKUP($A218,Table2[],8,FALSE))</f>
        <v>Community</v>
      </c>
      <c r="N218" s="82">
        <f>VLOOKUP($A218,Table2[],14,FALSE)</f>
        <v>0</v>
      </c>
      <c r="O218" s="82" t="str">
        <f>IF(VLOOKUP($A218,Table2[],15,FALSE)=0,"",VLOOKUP($A218,Table2[],15,FALSE))</f>
        <v/>
      </c>
      <c r="P218" s="82" t="str">
        <f>IF(VLOOKUP($A218,Table2[],16,FALSE)=0,"",VLOOKUP($A218,Table2[],16,FALSE))</f>
        <v/>
      </c>
      <c r="Q218" s="83" t="str">
        <f>IF(ISNA(VLOOKUP($A218,Table3[],6,FALSE)),"None",VLOOKUP($A218,Table3[],6,FALSE))</f>
        <v>None</v>
      </c>
      <c r="R218" s="83" t="str">
        <f>IF(ISNA(VLOOKUP($A218,Table3[],7,FALSE)),"Unknown",VLOOKUP($A218,Table3[],7,FALSE))</f>
        <v>Unknown</v>
      </c>
      <c r="S218" s="83" t="str">
        <f>IF(ISNA(VLOOKUP($A218,Table3[],8,FALSE)),"None",VLOOKUP($A218,Table3[],8,FALSE))</f>
        <v>None</v>
      </c>
      <c r="T218" s="84">
        <f>IF(ISNA(VLOOKUP($A218,Table3[],13,FALSE)),"Unknown",VLOOKUP($A218,Table3[],13,FALSE))</f>
        <v>0</v>
      </c>
      <c r="U218" s="85">
        <f>IF(ISNA(VLOOKUP($A218,Table3[],14,FALSE)),"Unknown",VLOOKUP($A218,Table3[],14,FALSE))</f>
        <v>0</v>
      </c>
      <c r="V218" s="84">
        <f>IF(ISNA(VLOOKUP($A218,Table3[],21,FALSE)),0,VLOOKUP($A218,Table3[],21,FALSE))</f>
        <v>0</v>
      </c>
      <c r="W218" s="85">
        <f>IF(ISNA(VLOOKUP($A218,Table3[],22,FALSE)),0,VLOOKUP($A218,Table3[],22,FALSE))</f>
        <v>0</v>
      </c>
    </row>
    <row r="219" spans="1:23" s="73" customFormat="1" x14ac:dyDescent="0.25">
      <c r="A219" s="35">
        <v>241</v>
      </c>
      <c r="B219" s="138" t="str">
        <f>VLOOKUP(A219,Registry!$A$4:$AA$241,2,FALSE)</f>
        <v>Stryhas Trailer Park</v>
      </c>
      <c r="C219" s="138" t="str">
        <f>VLOOKUP(A219,Registry!$A$4:$AA$241,3,FALSE)</f>
        <v>Windsor</v>
      </c>
      <c r="D219" s="138" t="str">
        <f>VLOOKUP(A219,Registry!$A$4:$AA$241,4,FALSE)</f>
        <v>Ludlow</v>
      </c>
      <c r="E219" s="138">
        <f>IF(VLOOKUP(A219,Registry!$A$4:$AA$241,7,FALSE)=0,"",VLOOKUP(A219,Registry!$A$4:$AA$241,7,FALSE))</f>
        <v>1972</v>
      </c>
      <c r="F219" s="138" t="str">
        <f>IF(VLOOKUP(A219,Registry!$A$4:$AA$241,20,FALSE)=0,"",VLOOKUP(A219,Registry!$A$4:$AA$241,20,FALSE))</f>
        <v>For profit</v>
      </c>
      <c r="G219" s="138">
        <f>VLOOKUP(A219,Registry!$A$4:$AA$241,21,FALSE)</f>
        <v>11</v>
      </c>
      <c r="H219" s="81">
        <f>VLOOKUP($A219,Table4[],36,FALSE)</f>
        <v>0.90909090909090906</v>
      </c>
      <c r="I219" s="129">
        <f>VLOOKUP($A219,Table4[],41,FALSE)</f>
        <v>0</v>
      </c>
      <c r="J219" s="81">
        <f>VLOOKUP($A219,Table4[],30,FALSE)</f>
        <v>-9.0909090909090912E-2</v>
      </c>
      <c r="K219" s="82">
        <f>VLOOKUP($A219,Table4[],17,FALSE)</f>
        <v>0</v>
      </c>
      <c r="L219" s="82">
        <f>VLOOKUP($A219,Table4[],18,FALSE)</f>
        <v>0</v>
      </c>
      <c r="M219" s="82" t="str">
        <f>IF(VLOOKUP($A219,Table2[],8,FALSE)=0,"",VLOOKUP($A219,Table2[],8,FALSE))</f>
        <v>Municipal</v>
      </c>
      <c r="N219" s="82">
        <f>VLOOKUP($A219,Table2[],14,FALSE)</f>
        <v>0</v>
      </c>
      <c r="O219" s="82" t="str">
        <f>IF(VLOOKUP($A219,Table2[],15,FALSE)=0,"",VLOOKUP($A219,Table2[],15,FALSE))</f>
        <v>Municipal</v>
      </c>
      <c r="P219" s="82" t="str">
        <f>IF(VLOOKUP($A219,Table2[],16,FALSE)=0,"",VLOOKUP($A219,Table2[],16,FALSE))</f>
        <v/>
      </c>
      <c r="Q219" s="83" t="str">
        <f>IF(ISNA(VLOOKUP($A219,Table3[],6,FALSE)),"None",VLOOKUP($A219,Table3[],6,FALSE))</f>
        <v>None</v>
      </c>
      <c r="R219" s="83" t="str">
        <f>IF(ISNA(VLOOKUP($A219,Table3[],7,FALSE)),"Unknown",VLOOKUP($A219,Table3[],7,FALSE))</f>
        <v>Unknown</v>
      </c>
      <c r="S219" s="83" t="str">
        <f>IF(ISNA(VLOOKUP($A219,Table3[],8,FALSE)),"None",VLOOKUP($A219,Table3[],8,FALSE))</f>
        <v>None</v>
      </c>
      <c r="T219" s="84" t="str">
        <f>IF(ISNA(VLOOKUP($A219,Table3[],13,FALSE)),"Unknown",VLOOKUP($A219,Table3[],13,FALSE))</f>
        <v>Unknown</v>
      </c>
      <c r="U219" s="85" t="str">
        <f>IF(ISNA(VLOOKUP($A219,Table3[],14,FALSE)),"Unknown",VLOOKUP($A219,Table3[],14,FALSE))</f>
        <v>Unknown</v>
      </c>
      <c r="V219" s="84">
        <f>IF(ISNA(VLOOKUP($A219,Table3[],21,FALSE)),0,VLOOKUP($A219,Table3[],21,FALSE))</f>
        <v>0</v>
      </c>
      <c r="W219" s="85">
        <f>IF(ISNA(VLOOKUP($A219,Table3[],22,FALSE)),0,VLOOKUP($A219,Table3[],22,FALSE))</f>
        <v>0</v>
      </c>
    </row>
    <row r="220" spans="1:23" s="73" customFormat="1" x14ac:dyDescent="0.25">
      <c r="A220" s="35">
        <v>38</v>
      </c>
      <c r="B220" s="138" t="str">
        <f>VLOOKUP(A220,Registry!$A$4:$AA$241,2,FALSE)</f>
        <v>Tuckerville</v>
      </c>
      <c r="C220" s="138" t="str">
        <f>VLOOKUP(A220,Registry!$A$4:$AA$241,3,FALSE)</f>
        <v>Windsor</v>
      </c>
      <c r="D220" s="138" t="str">
        <f>VLOOKUP(A220,Registry!$A$4:$AA$241,4,FALSE)</f>
        <v>Ludlow</v>
      </c>
      <c r="E220" s="138">
        <f>IF(VLOOKUP(A220,Registry!$A$4:$AA$241,7,FALSE)=0,"",VLOOKUP(A220,Registry!$A$4:$AA$241,7,FALSE))</f>
        <v>1983</v>
      </c>
      <c r="F220" s="138" t="str">
        <f>IF(VLOOKUP(A220,Registry!$A$4:$AA$241,20,FALSE)=0,"",VLOOKUP(A220,Registry!$A$4:$AA$241,20,FALSE))</f>
        <v>Non-profit</v>
      </c>
      <c r="G220" s="138">
        <f>VLOOKUP(A220,Registry!$A$4:$AA$241,21,FALSE)</f>
        <v>23</v>
      </c>
      <c r="H220" s="81">
        <f>VLOOKUP($A220,Table4[],36,FALSE)</f>
        <v>0.95652173913043481</v>
      </c>
      <c r="I220" s="129">
        <f>VLOOKUP($A220,Table4[],41,FALSE)</f>
        <v>3.3898305084745763E-2</v>
      </c>
      <c r="J220" s="81">
        <f>VLOOKUP($A220,Table4[],30,FALSE)</f>
        <v>-4.3478260869565216E-2</v>
      </c>
      <c r="K220" s="82">
        <f>VLOOKUP($A220,Table4[],17,FALSE)</f>
        <v>0</v>
      </c>
      <c r="L220" s="82">
        <f>VLOOKUP($A220,Table4[],18,FALSE)</f>
        <v>0</v>
      </c>
      <c r="M220" s="82" t="str">
        <f>IF(VLOOKUP($A220,Table2[],8,FALSE)=0,"",VLOOKUP($A220,Table2[],8,FALSE))</f>
        <v xml:space="preserve">Community </v>
      </c>
      <c r="N220" s="82">
        <f>VLOOKUP($A220,Table2[],14,FALSE)</f>
        <v>0</v>
      </c>
      <c r="O220" s="82" t="str">
        <f>IF(VLOOKUP($A220,Table2[],15,FALSE)=0,"",VLOOKUP($A220,Table2[],15,FALSE))</f>
        <v>Community On-Site</v>
      </c>
      <c r="P220" s="82" t="str">
        <f>IF(VLOOKUP($A220,Table2[],16,FALSE)=0,"",VLOOKUP($A220,Table2[],16,FALSE))</f>
        <v>WW-2-0568-5</v>
      </c>
      <c r="Q220" s="83" t="str">
        <f>IF(ISNA(VLOOKUP($A220,Table3[],6,FALSE)),"None",VLOOKUP($A220,Table3[],6,FALSE))</f>
        <v>None</v>
      </c>
      <c r="R220" s="83" t="str">
        <f>IF(ISNA(VLOOKUP($A220,Table3[],7,FALSE)),"Unknown",VLOOKUP($A220,Table3[],7,FALSE))</f>
        <v>Unknown</v>
      </c>
      <c r="S220" s="83" t="str">
        <f>IF(ISNA(VLOOKUP($A220,Table3[],8,FALSE)),"None",VLOOKUP($A220,Table3[],8,FALSE))</f>
        <v>None</v>
      </c>
      <c r="T220" s="84" t="str">
        <f>IF(ISNA(VLOOKUP($A220,Table3[],13,FALSE)),"Unknown",VLOOKUP($A220,Table3[],13,FALSE))</f>
        <v>Unknown</v>
      </c>
      <c r="U220" s="85" t="str">
        <f>IF(ISNA(VLOOKUP($A220,Table3[],14,FALSE)),"Unknown",VLOOKUP($A220,Table3[],14,FALSE))</f>
        <v>Unknown</v>
      </c>
      <c r="V220" s="84">
        <f>IF(ISNA(VLOOKUP($A220,Table3[],21,FALSE)),0,VLOOKUP($A220,Table3[],21,FALSE))</f>
        <v>0</v>
      </c>
      <c r="W220" s="85">
        <f>IF(ISNA(VLOOKUP($A220,Table3[],22,FALSE)),0,VLOOKUP($A220,Table3[],22,FALSE))</f>
        <v>0</v>
      </c>
    </row>
    <row r="221" spans="1:23" s="73" customFormat="1" x14ac:dyDescent="0.25">
      <c r="A221" s="141">
        <v>327</v>
      </c>
      <c r="B221" s="138" t="str">
        <f>VLOOKUP(A221,Registry!$A$4:$AA$241,2,FALSE)</f>
        <v>Moses MHP</v>
      </c>
      <c r="C221" s="138" t="str">
        <f>VLOOKUP(A221,Registry!$A$4:$AA$241,3,FALSE)</f>
        <v>Windsor</v>
      </c>
      <c r="D221" s="138" t="str">
        <f>VLOOKUP(A221,Registry!$A$4:$AA$241,4,FALSE)</f>
        <v>Royalton</v>
      </c>
      <c r="E221" s="138">
        <f>IF(VLOOKUP(A221,Registry!$A$4:$AA$241,7,FALSE)=0,"",VLOOKUP(A221,Registry!$A$4:$AA$241,7,FALSE))</f>
        <v>2000</v>
      </c>
      <c r="F221" s="138" t="str">
        <f>IF(VLOOKUP(A221,Registry!$A$4:$AA$241,20,FALSE)=0,"",VLOOKUP(A221,Registry!$A$4:$AA$241,20,FALSE))</f>
        <v>For profit</v>
      </c>
      <c r="G221" s="138">
        <f>VLOOKUP(A221,Registry!$A$4:$AA$241,21,FALSE)</f>
        <v>7</v>
      </c>
      <c r="H221" s="81">
        <f>VLOOKUP($A221,Table4[],36,FALSE)</f>
        <v>1</v>
      </c>
      <c r="I221" s="143" t="str">
        <f>VLOOKUP($A221,Table4[],41,FALSE)</f>
        <v>-</v>
      </c>
      <c r="J221" s="142">
        <f>VLOOKUP($A221,Table4[],30,FALSE)</f>
        <v>0</v>
      </c>
      <c r="K221" s="144">
        <f>VLOOKUP($A221,Table4[],17,FALSE)</f>
        <v>0</v>
      </c>
      <c r="L221" s="144">
        <f>VLOOKUP($A221,Table4[],18,FALSE)</f>
        <v>0</v>
      </c>
      <c r="M221" s="144" t="str">
        <f>IF(VLOOKUP($A221,Table2[],8,FALSE)=0,"",VLOOKUP($A221,Table2[],8,FALSE))</f>
        <v/>
      </c>
      <c r="N221" s="144">
        <f>VLOOKUP($A221,Table2[],14,FALSE)</f>
        <v>0</v>
      </c>
      <c r="O221" s="144" t="str">
        <f>IF(VLOOKUP($A221,Table2[],15,FALSE)=0,"",VLOOKUP($A221,Table2[],15,FALSE))</f>
        <v/>
      </c>
      <c r="P221" s="144" t="str">
        <f>IF(VLOOKUP($A221,Table2[],16,FALSE)=0,"",VLOOKUP($A221,Table2[],16,FALSE))</f>
        <v/>
      </c>
      <c r="Q221" s="145" t="str">
        <f>IF(ISNA(VLOOKUP($A221,Table3[],6,FALSE)),"None",VLOOKUP($A221,Table3[],6,FALSE))</f>
        <v>None</v>
      </c>
      <c r="R221" s="145" t="str">
        <f>IF(ISNA(VLOOKUP($A221,Table3[],7,FALSE)),"Unknown",VLOOKUP($A221,Table3[],7,FALSE))</f>
        <v>Unknown</v>
      </c>
      <c r="S221" s="145" t="str">
        <f>IF(ISNA(VLOOKUP($A221,Table3[],8,FALSE)),"None",VLOOKUP($A221,Table3[],8,FALSE))</f>
        <v>None</v>
      </c>
      <c r="T221" s="146" t="str">
        <f>IF(ISNA(VLOOKUP($A221,Table3[],13,FALSE)),"Unknown",VLOOKUP($A221,Table3[],13,FALSE))</f>
        <v>Unknown</v>
      </c>
      <c r="U221" s="147" t="str">
        <f>IF(ISNA(VLOOKUP($A221,Table3[],14,FALSE)),"Unknown",VLOOKUP($A221,Table3[],14,FALSE))</f>
        <v>Unknown</v>
      </c>
      <c r="V221" s="146">
        <f>IF(ISNA(VLOOKUP($A221,Table3[],21,FALSE)),0,VLOOKUP($A221,Table3[],21,FALSE))</f>
        <v>0</v>
      </c>
      <c r="W221" s="147">
        <f>IF(ISNA(VLOOKUP($A221,Table3[],22,FALSE)),0,VLOOKUP($A221,Table3[],22,FALSE))</f>
        <v>0</v>
      </c>
    </row>
    <row r="222" spans="1:23" s="73" customFormat="1" x14ac:dyDescent="0.25">
      <c r="A222" s="35">
        <v>26</v>
      </c>
      <c r="B222" s="138" t="str">
        <f>VLOOKUP(A222,Registry!$A$4:$AA$241,2,FALSE)</f>
        <v>Overlooked Park</v>
      </c>
      <c r="C222" s="138" t="str">
        <f>VLOOKUP(A222,Registry!$A$4:$AA$241,3,FALSE)</f>
        <v>Windsor</v>
      </c>
      <c r="D222" s="138" t="str">
        <f>VLOOKUP(A222,Registry!$A$4:$AA$241,4,FALSE)</f>
        <v>Royalton</v>
      </c>
      <c r="E222" s="138">
        <f>IF(VLOOKUP(A222,Registry!$A$4:$AA$241,7,FALSE)=0,"",VLOOKUP(A222,Registry!$A$4:$AA$241,7,FALSE))</f>
        <v>1974</v>
      </c>
      <c r="F222" s="138" t="str">
        <f>IF(VLOOKUP(A222,Registry!$A$4:$AA$241,20,FALSE)=0,"",VLOOKUP(A222,Registry!$A$4:$AA$241,20,FALSE))</f>
        <v>For profit</v>
      </c>
      <c r="G222" s="138">
        <f>VLOOKUP(A222,Registry!$A$4:$AA$241,21,FALSE)</f>
        <v>6</v>
      </c>
      <c r="H222" s="81">
        <f>VLOOKUP($A222,Table4[],36,FALSE)</f>
        <v>1</v>
      </c>
      <c r="I222" s="129">
        <f>VLOOKUP($A222,Table4[],41,FALSE)</f>
        <v>5.8823529411764705E-2</v>
      </c>
      <c r="J222" s="81">
        <f>VLOOKUP($A222,Table4[],30,FALSE)</f>
        <v>0</v>
      </c>
      <c r="K222" s="82">
        <f>VLOOKUP($A222,Table4[],17,FALSE)</f>
        <v>0</v>
      </c>
      <c r="L222" s="82">
        <f>VLOOKUP($A222,Table4[],18,FALSE)</f>
        <v>0</v>
      </c>
      <c r="M222" s="82" t="str">
        <f>IF(VLOOKUP($A222,Table2[],8,FALSE)=0,"",VLOOKUP($A222,Table2[],8,FALSE))</f>
        <v/>
      </c>
      <c r="N222" s="82">
        <f>VLOOKUP($A222,Table2[],14,FALSE)</f>
        <v>0</v>
      </c>
      <c r="O222" s="82" t="str">
        <f>IF(VLOOKUP($A222,Table2[],15,FALSE)=0,"",VLOOKUP($A222,Table2[],15,FALSE))</f>
        <v/>
      </c>
      <c r="P222" s="82" t="str">
        <f>IF(VLOOKUP($A222,Table2[],16,FALSE)=0,"",VLOOKUP($A222,Table2[],16,FALSE))</f>
        <v>MHP-3-0008</v>
      </c>
      <c r="Q222" s="83" t="str">
        <f>IF(ISNA(VLOOKUP($A222,Table3[],6,FALSE)),"None",VLOOKUP($A222,Table3[],6,FALSE))</f>
        <v>None</v>
      </c>
      <c r="R222" s="83" t="str">
        <f>IF(ISNA(VLOOKUP($A222,Table3[],7,FALSE)),"Unknown",VLOOKUP($A222,Table3[],7,FALSE))</f>
        <v>Unknown</v>
      </c>
      <c r="S222" s="83" t="str">
        <f>IF(ISNA(VLOOKUP($A222,Table3[],8,FALSE)),"None",VLOOKUP($A222,Table3[],8,FALSE))</f>
        <v>None</v>
      </c>
      <c r="T222" s="84" t="str">
        <f>IF(ISNA(VLOOKUP($A222,Table3[],13,FALSE)),"Unknown",VLOOKUP($A222,Table3[],13,FALSE))</f>
        <v>Unknown</v>
      </c>
      <c r="U222" s="85" t="str">
        <f>IF(ISNA(VLOOKUP($A222,Table3[],14,FALSE)),"Unknown",VLOOKUP($A222,Table3[],14,FALSE))</f>
        <v>Unknown</v>
      </c>
      <c r="V222" s="84">
        <f>IF(ISNA(VLOOKUP($A222,Table3[],21,FALSE)),0,VLOOKUP($A222,Table3[],21,FALSE))</f>
        <v>0</v>
      </c>
      <c r="W222" s="85">
        <f>IF(ISNA(VLOOKUP($A222,Table3[],22,FALSE)),0,VLOOKUP($A222,Table3[],22,FALSE))</f>
        <v>0</v>
      </c>
    </row>
    <row r="223" spans="1:23" s="73" customFormat="1" x14ac:dyDescent="0.25">
      <c r="A223" s="141">
        <v>326</v>
      </c>
      <c r="B223" s="138" t="str">
        <f>VLOOKUP(A223,Registry!$A$4:$AA$241,2,FALSE)</f>
        <v>Pinney Lane MHP</v>
      </c>
      <c r="C223" s="138" t="str">
        <f>VLOOKUP(A223,Registry!$A$4:$AA$241,3,FALSE)</f>
        <v>Windsor</v>
      </c>
      <c r="D223" s="138" t="str">
        <f>VLOOKUP(A223,Registry!$A$4:$AA$241,4,FALSE)</f>
        <v>Royalton</v>
      </c>
      <c r="E223" s="138">
        <f>IF(VLOOKUP(A223,Registry!$A$4:$AA$241,7,FALSE)=0,"",VLOOKUP(A223,Registry!$A$4:$AA$241,7,FALSE))</f>
        <v>1996</v>
      </c>
      <c r="F223" s="138" t="str">
        <f>IF(VLOOKUP(A223,Registry!$A$4:$AA$241,20,FALSE)=0,"",VLOOKUP(A223,Registry!$A$4:$AA$241,20,FALSE))</f>
        <v>For profit</v>
      </c>
      <c r="G223" s="138">
        <f>VLOOKUP(A223,Registry!$A$4:$AA$241,21,FALSE)</f>
        <v>8</v>
      </c>
      <c r="H223" s="81">
        <f>VLOOKUP($A223,Table4[],36,FALSE)</f>
        <v>1</v>
      </c>
      <c r="I223" s="143" t="str">
        <f>VLOOKUP($A223,Table4[],41,FALSE)</f>
        <v>-</v>
      </c>
      <c r="J223" s="142">
        <f>VLOOKUP($A223,Table4[],30,FALSE)</f>
        <v>0</v>
      </c>
      <c r="K223" s="144">
        <f>VLOOKUP($A223,Table4[],17,FALSE)</f>
        <v>0</v>
      </c>
      <c r="L223" s="144">
        <f>VLOOKUP($A223,Table4[],18,FALSE)</f>
        <v>0</v>
      </c>
      <c r="M223" s="144" t="str">
        <f>IF(VLOOKUP($A223,Table2[],8,FALSE)=0,"",VLOOKUP($A223,Table2[],8,FALSE))</f>
        <v/>
      </c>
      <c r="N223" s="144">
        <f>VLOOKUP($A223,Table2[],14,FALSE)</f>
        <v>0</v>
      </c>
      <c r="O223" s="144" t="str">
        <f>IF(VLOOKUP($A223,Table2[],15,FALSE)=0,"",VLOOKUP($A223,Table2[],15,FALSE))</f>
        <v/>
      </c>
      <c r="P223" s="144" t="str">
        <f>IF(VLOOKUP($A223,Table2[],16,FALSE)=0,"",VLOOKUP($A223,Table2[],16,FALSE))</f>
        <v/>
      </c>
      <c r="Q223" s="145" t="str">
        <f>IF(ISNA(VLOOKUP($A223,Table3[],6,FALSE)),"None",VLOOKUP($A223,Table3[],6,FALSE))</f>
        <v>None</v>
      </c>
      <c r="R223" s="145" t="str">
        <f>IF(ISNA(VLOOKUP($A223,Table3[],7,FALSE)),"Unknown",VLOOKUP($A223,Table3[],7,FALSE))</f>
        <v>Unknown</v>
      </c>
      <c r="S223" s="145" t="str">
        <f>IF(ISNA(VLOOKUP($A223,Table3[],8,FALSE)),"None",VLOOKUP($A223,Table3[],8,FALSE))</f>
        <v>None</v>
      </c>
      <c r="T223" s="146" t="str">
        <f>IF(ISNA(VLOOKUP($A223,Table3[],13,FALSE)),"Unknown",VLOOKUP($A223,Table3[],13,FALSE))</f>
        <v>Unknown</v>
      </c>
      <c r="U223" s="147" t="str">
        <f>IF(ISNA(VLOOKUP($A223,Table3[],14,FALSE)),"Unknown",VLOOKUP($A223,Table3[],14,FALSE))</f>
        <v>Unknown</v>
      </c>
      <c r="V223" s="146">
        <f>IF(ISNA(VLOOKUP($A223,Table3[],21,FALSE)),0,VLOOKUP($A223,Table3[],21,FALSE))</f>
        <v>0</v>
      </c>
      <c r="W223" s="147">
        <f>IF(ISNA(VLOOKUP($A223,Table3[],22,FALSE)),0,VLOOKUP($A223,Table3[],22,FALSE))</f>
        <v>0</v>
      </c>
    </row>
    <row r="224" spans="1:23" s="73" customFormat="1" x14ac:dyDescent="0.25">
      <c r="A224" s="35">
        <v>8</v>
      </c>
      <c r="B224" s="138" t="str">
        <f>VLOOKUP(A224,Registry!$A$4:$AA$241,2,FALSE)</f>
        <v>Riverbend Park</v>
      </c>
      <c r="C224" s="138" t="str">
        <f>VLOOKUP(A224,Registry!$A$4:$AA$241,3,FALSE)</f>
        <v>Windsor</v>
      </c>
      <c r="D224" s="138" t="str">
        <f>VLOOKUP(A224,Registry!$A$4:$AA$241,4,FALSE)</f>
        <v>Royalton</v>
      </c>
      <c r="E224" s="138">
        <f>IF(VLOOKUP(A224,Registry!$A$4:$AA$241,7,FALSE)=0,"",VLOOKUP(A224,Registry!$A$4:$AA$241,7,FALSE))</f>
        <v>1975</v>
      </c>
      <c r="F224" s="138" t="str">
        <f>IF(VLOOKUP(A224,Registry!$A$4:$AA$241,20,FALSE)=0,"",VLOOKUP(A224,Registry!$A$4:$AA$241,20,FALSE))</f>
        <v>Non-profit</v>
      </c>
      <c r="G224" s="138">
        <f>VLOOKUP(A224,Registry!$A$4:$AA$241,21,FALSE)</f>
        <v>9</v>
      </c>
      <c r="H224" s="81">
        <f>VLOOKUP($A224,Table4[],36,FALSE)</f>
        <v>1</v>
      </c>
      <c r="I224" s="129">
        <f>VLOOKUP($A224,Table4[],41,FALSE)</f>
        <v>0</v>
      </c>
      <c r="J224" s="81">
        <f>VLOOKUP($A224,Table4[],30,FALSE)</f>
        <v>0</v>
      </c>
      <c r="K224" s="82">
        <f>VLOOKUP($A224,Table4[],17,FALSE)</f>
        <v>0</v>
      </c>
      <c r="L224" s="82">
        <f>VLOOKUP($A224,Table4[],18,FALSE)</f>
        <v>0</v>
      </c>
      <c r="M224" s="82" t="str">
        <f>IF(VLOOKUP($A224,Table2[],8,FALSE)=0,"",VLOOKUP($A224,Table2[],8,FALSE))</f>
        <v>Municipal</v>
      </c>
      <c r="N224" s="82">
        <f>VLOOKUP($A224,Table2[],14,FALSE)</f>
        <v>0</v>
      </c>
      <c r="O224" s="82" t="str">
        <f>IF(VLOOKUP($A224,Table2[],15,FALSE)=0,"",VLOOKUP($A224,Table2[],15,FALSE))</f>
        <v>Municipal</v>
      </c>
      <c r="P224" s="82" t="str">
        <f>IF(VLOOKUP($A224,Table2[],16,FALSE)=0,"",VLOOKUP($A224,Table2[],16,FALSE))</f>
        <v/>
      </c>
      <c r="Q224" s="83" t="str">
        <f>IF(ISNA(VLOOKUP($A224,Table3[],6,FALSE)),"None",VLOOKUP($A224,Table3[],6,FALSE))</f>
        <v>None</v>
      </c>
      <c r="R224" s="83" t="str">
        <f>IF(ISNA(VLOOKUP($A224,Table3[],7,FALSE)),"Unknown",VLOOKUP($A224,Table3[],7,FALSE))</f>
        <v>Unknown</v>
      </c>
      <c r="S224" s="83" t="str">
        <f>IF(ISNA(VLOOKUP($A224,Table3[],8,FALSE)),"None",VLOOKUP($A224,Table3[],8,FALSE))</f>
        <v>None</v>
      </c>
      <c r="T224" s="84" t="str">
        <f>IF(ISNA(VLOOKUP($A224,Table3[],13,FALSE)),"Unknown",VLOOKUP($A224,Table3[],13,FALSE))</f>
        <v>Unknown</v>
      </c>
      <c r="U224" s="85" t="str">
        <f>IF(ISNA(VLOOKUP($A224,Table3[],14,FALSE)),"Unknown",VLOOKUP($A224,Table3[],14,FALSE))</f>
        <v>Unknown</v>
      </c>
      <c r="V224" s="84">
        <f>IF(ISNA(VLOOKUP($A224,Table3[],21,FALSE)),0,VLOOKUP($A224,Table3[],21,FALSE))</f>
        <v>0</v>
      </c>
      <c r="W224" s="85">
        <f>IF(ISNA(VLOOKUP($A224,Table3[],22,FALSE)),0,VLOOKUP($A224,Table3[],22,FALSE))</f>
        <v>0</v>
      </c>
    </row>
    <row r="225" spans="1:23" s="73" customFormat="1" x14ac:dyDescent="0.25">
      <c r="A225" s="35">
        <v>29</v>
      </c>
      <c r="B225" s="138" t="str">
        <f>VLOOKUP(A225,Registry!$A$4:$AA$241,2,FALSE)</f>
        <v>Royalton Terrace</v>
      </c>
      <c r="C225" s="138" t="str">
        <f>VLOOKUP(A225,Registry!$A$4:$AA$241,3,FALSE)</f>
        <v>Windsor</v>
      </c>
      <c r="D225" s="138" t="str">
        <f>VLOOKUP(A225,Registry!$A$4:$AA$241,4,FALSE)</f>
        <v>Royalton</v>
      </c>
      <c r="E225" s="138">
        <f>IF(VLOOKUP(A225,Registry!$A$4:$AA$241,7,FALSE)=0,"",VLOOKUP(A225,Registry!$A$4:$AA$241,7,FALSE))</f>
        <v>1967</v>
      </c>
      <c r="F225" s="138" t="str">
        <f>IF(VLOOKUP(A225,Registry!$A$4:$AA$241,20,FALSE)=0,"",VLOOKUP(A225,Registry!$A$4:$AA$241,20,FALSE))</f>
        <v>For profit</v>
      </c>
      <c r="G225" s="138">
        <f>VLOOKUP(A225,Registry!$A$4:$AA$241,21,FALSE)</f>
        <v>28</v>
      </c>
      <c r="H225" s="81">
        <f>VLOOKUP($A225,Table4[],36,FALSE)</f>
        <v>0.9642857142857143</v>
      </c>
      <c r="I225" s="129">
        <f>VLOOKUP($A225,Table4[],41,FALSE)</f>
        <v>9.5238095238095233E-2</v>
      </c>
      <c r="J225" s="81">
        <f>VLOOKUP($A225,Table4[],30,FALSE)</f>
        <v>3.5714285714285712E-2</v>
      </c>
      <c r="K225" s="82">
        <f>VLOOKUP($A225,Table4[],17,FALSE)</f>
        <v>0</v>
      </c>
      <c r="L225" s="82">
        <f>VLOOKUP($A225,Table4[],18,FALSE)</f>
        <v>0</v>
      </c>
      <c r="M225" s="82" t="str">
        <f>IF(VLOOKUP($A225,Table2[],8,FALSE)=0,"",VLOOKUP($A225,Table2[],8,FALSE))</f>
        <v xml:space="preserve">Community </v>
      </c>
      <c r="N225" s="82">
        <f>VLOOKUP($A225,Table2[],14,FALSE)</f>
        <v>1</v>
      </c>
      <c r="O225" s="82" t="str">
        <f>IF(VLOOKUP($A225,Table2[],15,FALSE)=0,"",VLOOKUP($A225,Table2[],15,FALSE))</f>
        <v>Individual On-Site</v>
      </c>
      <c r="P225" s="82" t="str">
        <f>IF(VLOOKUP($A225,Table2[],16,FALSE)=0,"",VLOOKUP($A225,Table2[],16,FALSE))</f>
        <v>WW-3-0586, WW-3-0586-1</v>
      </c>
      <c r="Q225" s="83" t="str">
        <f>IF(ISNA(VLOOKUP($A225,Table3[],6,FALSE)),"None",VLOOKUP($A225,Table3[],6,FALSE))</f>
        <v>100 Year Flood Plain</v>
      </c>
      <c r="R225" s="83" t="str">
        <f>IF(ISNA(VLOOKUP($A225,Table3[],7,FALSE)),"Unknown",VLOOKUP($A225,Table3[],7,FALSE))</f>
        <v>Unknown</v>
      </c>
      <c r="S225" s="83" t="str">
        <f>IF(ISNA(VLOOKUP($A225,Table3[],8,FALSE)),"None",VLOOKUP($A225,Table3[],8,FALSE))</f>
        <v>Floodway</v>
      </c>
      <c r="T225" s="84">
        <f>IF(ISNA(VLOOKUP($A225,Table3[],13,FALSE)),"Unknown",VLOOKUP($A225,Table3[],13,FALSE))</f>
        <v>3</v>
      </c>
      <c r="U225" s="85">
        <f>IF(ISNA(VLOOKUP($A225,Table3[],14,FALSE)),"Unknown",VLOOKUP($A225,Table3[],14,FALSE))</f>
        <v>0.10714285714285714</v>
      </c>
      <c r="V225" s="84">
        <f>IF(ISNA(VLOOKUP($A225,Table3[],21,FALSE)),0,VLOOKUP($A225,Table3[],21,FALSE))</f>
        <v>5</v>
      </c>
      <c r="W225" s="85">
        <f>IF(ISNA(VLOOKUP($A225,Table3[],22,FALSE)),0,VLOOKUP($A225,Table3[],22,FALSE))</f>
        <v>0.17857142857142858</v>
      </c>
    </row>
    <row r="226" spans="1:23" s="73" customFormat="1" x14ac:dyDescent="0.25">
      <c r="A226" s="141">
        <v>325</v>
      </c>
      <c r="B226" s="138" t="str">
        <f>VLOOKUP(A226,Registry!$A$4:$AA$241,2,FALSE)</f>
        <v>Thetford Lane MHP</v>
      </c>
      <c r="C226" s="138" t="str">
        <f>VLOOKUP(A226,Registry!$A$4:$AA$241,3,FALSE)</f>
        <v>Windsor</v>
      </c>
      <c r="D226" s="138" t="str">
        <f>VLOOKUP(A226,Registry!$A$4:$AA$241,4,FALSE)</f>
        <v>Royalton</v>
      </c>
      <c r="E226" s="138">
        <f>IF(VLOOKUP(A226,Registry!$A$4:$AA$241,7,FALSE)=0,"",VLOOKUP(A226,Registry!$A$4:$AA$241,7,FALSE))</f>
        <v>1996</v>
      </c>
      <c r="F226" s="138" t="str">
        <f>IF(VLOOKUP(A226,Registry!$A$4:$AA$241,20,FALSE)=0,"",VLOOKUP(A226,Registry!$A$4:$AA$241,20,FALSE))</f>
        <v>For profit</v>
      </c>
      <c r="G226" s="138">
        <f>VLOOKUP(A226,Registry!$A$4:$AA$241,21,FALSE)</f>
        <v>3</v>
      </c>
      <c r="H226" s="81">
        <f>VLOOKUP($A226,Table4[],36,FALSE)</f>
        <v>1</v>
      </c>
      <c r="I226" s="143" t="str">
        <f>VLOOKUP($A226,Table4[],41,FALSE)</f>
        <v>-</v>
      </c>
      <c r="J226" s="142">
        <f>VLOOKUP($A226,Table4[],30,FALSE)</f>
        <v>0</v>
      </c>
      <c r="K226" s="144">
        <f>VLOOKUP($A226,Table4[],17,FALSE)</f>
        <v>0</v>
      </c>
      <c r="L226" s="144">
        <f>VLOOKUP($A226,Table4[],18,FALSE)</f>
        <v>0</v>
      </c>
      <c r="M226" s="144" t="str">
        <f>IF(VLOOKUP($A226,Table2[],8,FALSE)=0,"",VLOOKUP($A226,Table2[],8,FALSE))</f>
        <v/>
      </c>
      <c r="N226" s="144">
        <f>VLOOKUP($A226,Table2[],14,FALSE)</f>
        <v>0</v>
      </c>
      <c r="O226" s="144" t="str">
        <f>IF(VLOOKUP($A226,Table2[],15,FALSE)=0,"",VLOOKUP($A226,Table2[],15,FALSE))</f>
        <v/>
      </c>
      <c r="P226" s="144" t="str">
        <f>IF(VLOOKUP($A226,Table2[],16,FALSE)=0,"",VLOOKUP($A226,Table2[],16,FALSE))</f>
        <v/>
      </c>
      <c r="Q226" s="145" t="str">
        <f>IF(ISNA(VLOOKUP($A226,Table3[],6,FALSE)),"None",VLOOKUP($A226,Table3[],6,FALSE))</f>
        <v>None</v>
      </c>
      <c r="R226" s="145" t="str">
        <f>IF(ISNA(VLOOKUP($A226,Table3[],7,FALSE)),"Unknown",VLOOKUP($A226,Table3[],7,FALSE))</f>
        <v>Unknown</v>
      </c>
      <c r="S226" s="145" t="str">
        <f>IF(ISNA(VLOOKUP($A226,Table3[],8,FALSE)),"None",VLOOKUP($A226,Table3[],8,FALSE))</f>
        <v>None</v>
      </c>
      <c r="T226" s="146" t="str">
        <f>IF(ISNA(VLOOKUP($A226,Table3[],13,FALSE)),"Unknown",VLOOKUP($A226,Table3[],13,FALSE))</f>
        <v>Unknown</v>
      </c>
      <c r="U226" s="147" t="str">
        <f>IF(ISNA(VLOOKUP($A226,Table3[],14,FALSE)),"Unknown",VLOOKUP($A226,Table3[],14,FALSE))</f>
        <v>Unknown</v>
      </c>
      <c r="V226" s="146">
        <f>IF(ISNA(VLOOKUP($A226,Table3[],21,FALSE)),0,VLOOKUP($A226,Table3[],21,FALSE))</f>
        <v>0</v>
      </c>
      <c r="W226" s="147">
        <f>IF(ISNA(VLOOKUP($A226,Table3[],22,FALSE)),0,VLOOKUP($A226,Table3[],22,FALSE))</f>
        <v>0</v>
      </c>
    </row>
    <row r="227" spans="1:23" s="73" customFormat="1" x14ac:dyDescent="0.25">
      <c r="A227" s="35">
        <v>25</v>
      </c>
      <c r="B227" s="138" t="str">
        <f>VLOOKUP(A227,Registry!$A$4:$AA$241,2,FALSE)</f>
        <v>T and L Mobile Home Park</v>
      </c>
      <c r="C227" s="138" t="str">
        <f>VLOOKUP(A227,Registry!$A$4:$AA$241,3,FALSE)</f>
        <v>Windsor</v>
      </c>
      <c r="D227" s="138" t="str">
        <f>VLOOKUP(A227,Registry!$A$4:$AA$241,4,FALSE)</f>
        <v>Sharon</v>
      </c>
      <c r="E227" s="138">
        <f>IF(VLOOKUP(A227,Registry!$A$4:$AA$241,7,FALSE)=0,"",VLOOKUP(A227,Registry!$A$4:$AA$241,7,FALSE))</f>
        <v>1970</v>
      </c>
      <c r="F227" s="138" t="str">
        <f>IF(VLOOKUP(A227,Registry!$A$4:$AA$241,20,FALSE)=0,"",VLOOKUP(A227,Registry!$A$4:$AA$241,20,FALSE))</f>
        <v>For profit</v>
      </c>
      <c r="G227" s="138">
        <f>VLOOKUP(A227,Registry!$A$4:$AA$241,21,FALSE)</f>
        <v>10</v>
      </c>
      <c r="H227" s="81">
        <f>VLOOKUP($A227,Table4[],36,FALSE)</f>
        <v>0.9</v>
      </c>
      <c r="I227" s="129">
        <f>VLOOKUP($A227,Table4[],41,FALSE)</f>
        <v>0.11377245508982035</v>
      </c>
      <c r="J227" s="81">
        <f>VLOOKUP($A227,Table4[],30,FALSE)</f>
        <v>0</v>
      </c>
      <c r="K227" s="82">
        <f>VLOOKUP($A227,Table4[],17,FALSE)</f>
        <v>1</v>
      </c>
      <c r="L227" s="82">
        <f>VLOOKUP($A227,Table4[],18,FALSE)</f>
        <v>0</v>
      </c>
      <c r="M227" s="82" t="str">
        <f>IF(VLOOKUP($A227,Table2[],8,FALSE)=0,"",VLOOKUP($A227,Table2[],8,FALSE))</f>
        <v>Small-Scale (potable, &lt;25 users)</v>
      </c>
      <c r="N227" s="82">
        <f>VLOOKUP($A227,Table2[],14,FALSE)</f>
        <v>0</v>
      </c>
      <c r="O227" s="82" t="str">
        <f>IF(VLOOKUP($A227,Table2[],15,FALSE)=0,"",VLOOKUP($A227,Table2[],15,FALSE))</f>
        <v>On-Site</v>
      </c>
      <c r="P227" s="82" t="str">
        <f>IF(VLOOKUP($A227,Table2[],16,FALSE)=0,"",VLOOKUP($A227,Table2[],16,FALSE))</f>
        <v/>
      </c>
      <c r="Q227" s="83" t="str">
        <f>IF(ISNA(VLOOKUP($A227,Table3[],6,FALSE)),"None",VLOOKUP($A227,Table3[],6,FALSE))</f>
        <v>None</v>
      </c>
      <c r="R227" s="83" t="str">
        <f>IF(ISNA(VLOOKUP($A227,Table3[],7,FALSE)),"Unknown",VLOOKUP($A227,Table3[],7,FALSE))</f>
        <v>Unknown</v>
      </c>
      <c r="S227" s="83" t="str">
        <f>IF(ISNA(VLOOKUP($A227,Table3[],8,FALSE)),"None",VLOOKUP($A227,Table3[],8,FALSE))</f>
        <v>None</v>
      </c>
      <c r="T227" s="84" t="str">
        <f>IF(ISNA(VLOOKUP($A227,Table3[],13,FALSE)),"Unknown",VLOOKUP($A227,Table3[],13,FALSE))</f>
        <v>Unknown</v>
      </c>
      <c r="U227" s="85" t="str">
        <f>IF(ISNA(VLOOKUP($A227,Table3[],14,FALSE)),"Unknown",VLOOKUP($A227,Table3[],14,FALSE))</f>
        <v>Unknown</v>
      </c>
      <c r="V227" s="84">
        <f>IF(ISNA(VLOOKUP($A227,Table3[],21,FALSE)),0,VLOOKUP($A227,Table3[],21,FALSE))</f>
        <v>0</v>
      </c>
      <c r="W227" s="85">
        <f>IF(ISNA(VLOOKUP($A227,Table3[],22,FALSE)),0,VLOOKUP($A227,Table3[],22,FALSE))</f>
        <v>0</v>
      </c>
    </row>
    <row r="228" spans="1:23" s="73" customFormat="1" x14ac:dyDescent="0.25">
      <c r="A228" s="35">
        <v>45</v>
      </c>
      <c r="B228" s="138" t="str">
        <f>VLOOKUP(A228,Registry!$A$4:$AA$241,2,FALSE)</f>
        <v>Colonial Manor</v>
      </c>
      <c r="C228" s="138" t="str">
        <f>VLOOKUP(A228,Registry!$A$4:$AA$241,3,FALSE)</f>
        <v>Windsor</v>
      </c>
      <c r="D228" s="138" t="str">
        <f>VLOOKUP(A228,Registry!$A$4:$AA$241,4,FALSE)</f>
        <v>Springfield</v>
      </c>
      <c r="E228" s="138">
        <f>IF(VLOOKUP(A228,Registry!$A$4:$AA$241,7,FALSE)=0,"",VLOOKUP(A228,Registry!$A$4:$AA$241,7,FALSE))</f>
        <v>1961</v>
      </c>
      <c r="F228" s="138" t="str">
        <f>IF(VLOOKUP(A228,Registry!$A$4:$AA$241,20,FALSE)=0,"",VLOOKUP(A228,Registry!$A$4:$AA$241,20,FALSE))</f>
        <v>For profit</v>
      </c>
      <c r="G228" s="138">
        <f>VLOOKUP(A228,Registry!$A$4:$AA$241,21,FALSE)</f>
        <v>4</v>
      </c>
      <c r="H228" s="81">
        <f>VLOOKUP($A228,Table4[],36,FALSE)</f>
        <v>1</v>
      </c>
      <c r="I228" s="129">
        <f>VLOOKUP($A228,Table4[],41,FALSE)</f>
        <v>0.10569105691056911</v>
      </c>
      <c r="J228" s="81">
        <f>VLOOKUP($A228,Table4[],30,FALSE)</f>
        <v>0</v>
      </c>
      <c r="K228" s="82">
        <f>VLOOKUP($A228,Table4[],17,FALSE)</f>
        <v>0</v>
      </c>
      <c r="L228" s="82">
        <f>VLOOKUP($A228,Table4[],18,FALSE)</f>
        <v>0</v>
      </c>
      <c r="M228" s="82" t="str">
        <f>IF(VLOOKUP($A228,Table2[],8,FALSE)=0,"",VLOOKUP($A228,Table2[],8,FALSE))</f>
        <v>Small-Scale (potable, &lt;25 users)</v>
      </c>
      <c r="N228" s="82">
        <f>VLOOKUP($A228,Table2[],14,FALSE)</f>
        <v>0</v>
      </c>
      <c r="O228" s="82" t="str">
        <f>IF(VLOOKUP($A228,Table2[],15,FALSE)=0,"",VLOOKUP($A228,Table2[],15,FALSE))</f>
        <v/>
      </c>
      <c r="P228" s="82" t="str">
        <f>IF(VLOOKUP($A228,Table2[],16,FALSE)=0,"",VLOOKUP($A228,Table2[],16,FALSE))</f>
        <v/>
      </c>
      <c r="Q228" s="83" t="str">
        <f>IF(ISNA(VLOOKUP($A228,Table3[],6,FALSE)),"None",VLOOKUP($A228,Table3[],6,FALSE))</f>
        <v>None</v>
      </c>
      <c r="R228" s="83" t="str">
        <f>IF(ISNA(VLOOKUP($A228,Table3[],7,FALSE)),"Unknown",VLOOKUP($A228,Table3[],7,FALSE))</f>
        <v>Unknown</v>
      </c>
      <c r="S228" s="83" t="str">
        <f>IF(ISNA(VLOOKUP($A228,Table3[],8,FALSE)),"None",VLOOKUP($A228,Table3[],8,FALSE))</f>
        <v>None</v>
      </c>
      <c r="T228" s="84">
        <f>IF(ISNA(VLOOKUP($A228,Table3[],13,FALSE)),"Unknown",VLOOKUP($A228,Table3[],13,FALSE))</f>
        <v>0</v>
      </c>
      <c r="U228" s="85">
        <f>IF(ISNA(VLOOKUP($A228,Table3[],14,FALSE)),"Unknown",VLOOKUP($A228,Table3[],14,FALSE))</f>
        <v>0</v>
      </c>
      <c r="V228" s="84">
        <f>IF(ISNA(VLOOKUP($A228,Table3[],21,FALSE)),0,VLOOKUP($A228,Table3[],21,FALSE))</f>
        <v>0</v>
      </c>
      <c r="W228" s="85">
        <f>IF(ISNA(VLOOKUP($A228,Table3[],22,FALSE)),0,VLOOKUP($A228,Table3[],22,FALSE))</f>
        <v>0</v>
      </c>
    </row>
    <row r="229" spans="1:23" s="73" customFormat="1" x14ac:dyDescent="0.25">
      <c r="A229" s="35">
        <v>50</v>
      </c>
      <c r="B229" s="138" t="str">
        <f>VLOOKUP(A229,Registry!$A$4:$AA$241,2,FALSE)</f>
        <v>Halls Mobile Home Park</v>
      </c>
      <c r="C229" s="138" t="str">
        <f>VLOOKUP(A229,Registry!$A$4:$AA$241,3,FALSE)</f>
        <v>Windsor</v>
      </c>
      <c r="D229" s="138" t="str">
        <f>VLOOKUP(A229,Registry!$A$4:$AA$241,4,FALSE)</f>
        <v>Springfield</v>
      </c>
      <c r="E229" s="138">
        <f>IF(VLOOKUP(A229,Registry!$A$4:$AA$241,7,FALSE)=0,"",VLOOKUP(A229,Registry!$A$4:$AA$241,7,FALSE))</f>
        <v>1958</v>
      </c>
      <c r="F229" s="138" t="str">
        <f>IF(VLOOKUP(A229,Registry!$A$4:$AA$241,20,FALSE)=0,"",VLOOKUP(A229,Registry!$A$4:$AA$241,20,FALSE))</f>
        <v>For profit</v>
      </c>
      <c r="G229" s="138">
        <f>VLOOKUP(A229,Registry!$A$4:$AA$241,21,FALSE)</f>
        <v>13</v>
      </c>
      <c r="H229" s="81">
        <f>VLOOKUP($A229,Table4[],36,FALSE)</f>
        <v>1</v>
      </c>
      <c r="I229" s="129">
        <f>VLOOKUP($A229,Table4[],41,FALSE)</f>
        <v>0.08</v>
      </c>
      <c r="J229" s="81">
        <f>VLOOKUP($A229,Table4[],30,FALSE)</f>
        <v>-7.6923076923076927E-2</v>
      </c>
      <c r="K229" s="82">
        <f>VLOOKUP($A229,Table4[],17,FALSE)</f>
        <v>0</v>
      </c>
      <c r="L229" s="82">
        <f>VLOOKUP($A229,Table4[],18,FALSE)</f>
        <v>0</v>
      </c>
      <c r="M229" s="82" t="str">
        <f>IF(VLOOKUP($A229,Table2[],8,FALSE)=0,"",VLOOKUP($A229,Table2[],8,FALSE))</f>
        <v>Municipal</v>
      </c>
      <c r="N229" s="82">
        <f>VLOOKUP($A229,Table2[],14,FALSE)</f>
        <v>0</v>
      </c>
      <c r="O229" s="82" t="str">
        <f>IF(VLOOKUP($A229,Table2[],15,FALSE)=0,"",VLOOKUP($A229,Table2[],15,FALSE))</f>
        <v>Municipal</v>
      </c>
      <c r="P229" s="82" t="str">
        <f>IF(VLOOKUP($A229,Table2[],16,FALSE)=0,"",VLOOKUP($A229,Table2[],16,FALSE))</f>
        <v/>
      </c>
      <c r="Q229" s="83" t="str">
        <f>IF(ISNA(VLOOKUP($A229,Table3[],6,FALSE)),"None",VLOOKUP($A229,Table3[],6,FALSE))</f>
        <v>500 Year Flood Plain</v>
      </c>
      <c r="R229" s="83" t="str">
        <f>IF(ISNA(VLOOKUP($A229,Table3[],7,FALSE)),"Unknown",VLOOKUP($A229,Table3[],7,FALSE))</f>
        <v>Unknown</v>
      </c>
      <c r="S229" s="83" t="str">
        <f>IF(ISNA(VLOOKUP($A229,Table3[],8,FALSE)),"None",VLOOKUP($A229,Table3[],8,FALSE))</f>
        <v>Floodway</v>
      </c>
      <c r="T229" s="84">
        <f>IF(ISNA(VLOOKUP($A229,Table3[],13,FALSE)),"Unknown",VLOOKUP($A229,Table3[],13,FALSE))</f>
        <v>0</v>
      </c>
      <c r="U229" s="85">
        <f>IF(ISNA(VLOOKUP($A229,Table3[],14,FALSE)),"Unknown",VLOOKUP($A229,Table3[],14,FALSE))</f>
        <v>0</v>
      </c>
      <c r="V229" s="84">
        <f>IF(ISNA(VLOOKUP($A229,Table3[],21,FALSE)),0,VLOOKUP($A229,Table3[],21,FALSE))</f>
        <v>1</v>
      </c>
      <c r="W229" s="85">
        <f>IF(ISNA(VLOOKUP($A229,Table3[],22,FALSE)),0,VLOOKUP($A229,Table3[],22,FALSE))</f>
        <v>7.6923076923076927E-2</v>
      </c>
    </row>
    <row r="230" spans="1:23" s="73" customFormat="1" x14ac:dyDescent="0.25">
      <c r="A230" s="35">
        <v>285</v>
      </c>
      <c r="B230" s="138" t="str">
        <f>VLOOKUP(A230,Registry!$A$4:$AA$241,2,FALSE)</f>
        <v>Martin Court MHP</v>
      </c>
      <c r="C230" s="138" t="str">
        <f>VLOOKUP(A230,Registry!$A$4:$AA$241,3,FALSE)</f>
        <v>Windsor</v>
      </c>
      <c r="D230" s="138" t="str">
        <f>VLOOKUP(A230,Registry!$A$4:$AA$241,4,FALSE)</f>
        <v>Springfield</v>
      </c>
      <c r="E230" s="138">
        <f>IF(VLOOKUP(A230,Registry!$A$4:$AA$241,7,FALSE)=0,"",VLOOKUP(A230,Registry!$A$4:$AA$241,7,FALSE))</f>
        <v>1975</v>
      </c>
      <c r="F230" s="138" t="str">
        <f>IF(VLOOKUP(A230,Registry!$A$4:$AA$241,20,FALSE)=0,"",VLOOKUP(A230,Registry!$A$4:$AA$241,20,FALSE))</f>
        <v>For profit</v>
      </c>
      <c r="G230" s="138">
        <f>VLOOKUP(A230,Registry!$A$4:$AA$241,21,FALSE)</f>
        <v>6</v>
      </c>
      <c r="H230" s="81">
        <f>VLOOKUP($A230,Table4[],36,FALSE)</f>
        <v>0.83333333333333337</v>
      </c>
      <c r="I230" s="129">
        <f>VLOOKUP($A230,Table4[],41,FALSE)</f>
        <v>0</v>
      </c>
      <c r="J230" s="81">
        <f>VLOOKUP($A230,Table4[],30,FALSE)</f>
        <v>0</v>
      </c>
      <c r="K230" s="82">
        <f>VLOOKUP($A230,Table4[],17,FALSE)</f>
        <v>0</v>
      </c>
      <c r="L230" s="82">
        <f>VLOOKUP($A230,Table4[],18,FALSE)</f>
        <v>0</v>
      </c>
      <c r="M230" s="82" t="str">
        <f>IF(VLOOKUP($A230,Table2[],8,FALSE)=0,"",VLOOKUP($A230,Table2[],8,FALSE))</f>
        <v>Municipal</v>
      </c>
      <c r="N230" s="82">
        <f>VLOOKUP($A230,Table2[],14,FALSE)</f>
        <v>0</v>
      </c>
      <c r="O230" s="82" t="str">
        <f>IF(VLOOKUP($A230,Table2[],15,FALSE)=0,"",VLOOKUP($A230,Table2[],15,FALSE))</f>
        <v>Municipal</v>
      </c>
      <c r="P230" s="82" t="str">
        <f>IF(VLOOKUP($A230,Table2[],16,FALSE)=0,"",VLOOKUP($A230,Table2[],16,FALSE))</f>
        <v/>
      </c>
      <c r="Q230" s="83" t="str">
        <f>IF(ISNA(VLOOKUP($A230,Table3[],6,FALSE)),"None",VLOOKUP($A230,Table3[],6,FALSE))</f>
        <v>None</v>
      </c>
      <c r="R230" s="83" t="str">
        <f>IF(ISNA(VLOOKUP($A230,Table3[],7,FALSE)),"Unknown",VLOOKUP($A230,Table3[],7,FALSE))</f>
        <v>Unknown</v>
      </c>
      <c r="S230" s="83" t="str">
        <f>IF(ISNA(VLOOKUP($A230,Table3[],8,FALSE)),"None",VLOOKUP($A230,Table3[],8,FALSE))</f>
        <v>None</v>
      </c>
      <c r="T230" s="84">
        <f>IF(ISNA(VLOOKUP($A230,Table3[],13,FALSE)),"Unknown",VLOOKUP($A230,Table3[],13,FALSE))</f>
        <v>0</v>
      </c>
      <c r="U230" s="85">
        <f>IF(ISNA(VLOOKUP($A230,Table3[],14,FALSE)),"Unknown",VLOOKUP($A230,Table3[],14,FALSE))</f>
        <v>0</v>
      </c>
      <c r="V230" s="84">
        <f>IF(ISNA(VLOOKUP($A230,Table3[],21,FALSE)),0,VLOOKUP($A230,Table3[],21,FALSE))</f>
        <v>0</v>
      </c>
      <c r="W230" s="85">
        <f>IF(ISNA(VLOOKUP($A230,Table3[],22,FALSE)),0,VLOOKUP($A230,Table3[],22,FALSE))</f>
        <v>0</v>
      </c>
    </row>
    <row r="231" spans="1:23" s="73" customFormat="1" x14ac:dyDescent="0.25">
      <c r="A231" s="35">
        <v>242</v>
      </c>
      <c r="B231" s="138" t="str">
        <f>VLOOKUP(A231,Registry!$A$4:$AA$241,2,FALSE)</f>
        <v>Patnode Mobile Home Park</v>
      </c>
      <c r="C231" s="138" t="str">
        <f>VLOOKUP(A231,Registry!$A$4:$AA$241,3,FALSE)</f>
        <v>Windsor</v>
      </c>
      <c r="D231" s="138" t="str">
        <f>VLOOKUP(A231,Registry!$A$4:$AA$241,4,FALSE)</f>
        <v>Springfield</v>
      </c>
      <c r="E231" s="138">
        <f>IF(VLOOKUP(A231,Registry!$A$4:$AA$241,7,FALSE)=0,"",VLOOKUP(A231,Registry!$A$4:$AA$241,7,FALSE))</f>
        <v>1948</v>
      </c>
      <c r="F231" s="138" t="str">
        <f>IF(VLOOKUP(A231,Registry!$A$4:$AA$241,20,FALSE)=0,"",VLOOKUP(A231,Registry!$A$4:$AA$241,20,FALSE))</f>
        <v>For profit</v>
      </c>
      <c r="G231" s="138">
        <f>VLOOKUP(A231,Registry!$A$4:$AA$241,21,FALSE)</f>
        <v>9</v>
      </c>
      <c r="H231" s="81">
        <f>VLOOKUP($A231,Table4[],36,FALSE)</f>
        <v>0.77777777777777779</v>
      </c>
      <c r="I231" s="129">
        <f>VLOOKUP($A231,Table4[],41,FALSE)</f>
        <v>0</v>
      </c>
      <c r="J231" s="81">
        <f>VLOOKUP($A231,Table4[],30,FALSE)</f>
        <v>0</v>
      </c>
      <c r="K231" s="82">
        <f>VLOOKUP($A231,Table4[],17,FALSE)</f>
        <v>0</v>
      </c>
      <c r="L231" s="82">
        <f>VLOOKUP($A231,Table4[],18,FALSE)</f>
        <v>0</v>
      </c>
      <c r="M231" s="82" t="str">
        <f>IF(VLOOKUP($A231,Table2[],8,FALSE)=0,"",VLOOKUP($A231,Table2[],8,FALSE))</f>
        <v>Municipal</v>
      </c>
      <c r="N231" s="82">
        <f>VLOOKUP($A231,Table2[],14,FALSE)</f>
        <v>0</v>
      </c>
      <c r="O231" s="82" t="str">
        <f>IF(VLOOKUP($A231,Table2[],15,FALSE)=0,"",VLOOKUP($A231,Table2[],15,FALSE))</f>
        <v>Municipal</v>
      </c>
      <c r="P231" s="82" t="str">
        <f>IF(VLOOKUP($A231,Table2[],16,FALSE)=0,"",VLOOKUP($A231,Table2[],16,FALSE))</f>
        <v/>
      </c>
      <c r="Q231" s="83" t="str">
        <f>IF(ISNA(VLOOKUP($A231,Table3[],6,FALSE)),"None",VLOOKUP($A231,Table3[],6,FALSE))</f>
        <v>None</v>
      </c>
      <c r="R231" s="83" t="str">
        <f>IF(ISNA(VLOOKUP($A231,Table3[],7,FALSE)),"Unknown",VLOOKUP($A231,Table3[],7,FALSE))</f>
        <v>Unknown</v>
      </c>
      <c r="S231" s="83" t="str">
        <f>IF(ISNA(VLOOKUP($A231,Table3[],8,FALSE)),"None",VLOOKUP($A231,Table3[],8,FALSE))</f>
        <v>None</v>
      </c>
      <c r="T231" s="84" t="str">
        <f>IF(ISNA(VLOOKUP($A231,Table3[],13,FALSE)),"Unknown",VLOOKUP($A231,Table3[],13,FALSE))</f>
        <v>Unknown</v>
      </c>
      <c r="U231" s="85" t="str">
        <f>IF(ISNA(VLOOKUP($A231,Table3[],14,FALSE)),"Unknown",VLOOKUP($A231,Table3[],14,FALSE))</f>
        <v>Unknown</v>
      </c>
      <c r="V231" s="84">
        <f>IF(ISNA(VLOOKUP($A231,Table3[],21,FALSE)),0,VLOOKUP($A231,Table3[],21,FALSE))</f>
        <v>0</v>
      </c>
      <c r="W231" s="85">
        <f>IF(ISNA(VLOOKUP($A231,Table3[],22,FALSE)),0,VLOOKUP($A231,Table3[],22,FALSE))</f>
        <v>0</v>
      </c>
    </row>
    <row r="232" spans="1:23" x14ac:dyDescent="0.25">
      <c r="A232" s="36">
        <v>273</v>
      </c>
      <c r="B232" s="138" t="str">
        <f>VLOOKUP(A232,Registry!$A$4:$AA$241,2,FALSE)</f>
        <v>Red Maple MHP</v>
      </c>
      <c r="C232" s="138" t="str">
        <f>VLOOKUP(A232,Registry!$A$4:$AA$241,3,FALSE)</f>
        <v>Windsor</v>
      </c>
      <c r="D232" s="138" t="str">
        <f>VLOOKUP(A232,Registry!$A$4:$AA$241,4,FALSE)</f>
        <v>Springfield</v>
      </c>
      <c r="E232" s="138">
        <f>IF(VLOOKUP(A232,Registry!$A$4:$AA$241,7,FALSE)=0,"",VLOOKUP(A232,Registry!$A$4:$AA$241,7,FALSE))</f>
        <v>1960</v>
      </c>
      <c r="F232" s="138" t="str">
        <f>IF(VLOOKUP(A232,Registry!$A$4:$AA$241,20,FALSE)=0,"",VLOOKUP(A232,Registry!$A$4:$AA$241,20,FALSE))</f>
        <v>Non-profit</v>
      </c>
      <c r="G232" s="138">
        <f>VLOOKUP(A232,Registry!$A$4:$AA$241,21,FALSE)</f>
        <v>7</v>
      </c>
      <c r="H232" s="81">
        <f>VLOOKUP($A232,Table4[],36,FALSE)</f>
        <v>1</v>
      </c>
      <c r="I232" s="130">
        <f>VLOOKUP($A232,Table4[],41,FALSE)</f>
        <v>5.3639846743295021E-2</v>
      </c>
      <c r="J232" s="95">
        <f>VLOOKUP($A232,Table4[],30,FALSE)</f>
        <v>0</v>
      </c>
      <c r="K232" s="96">
        <f>VLOOKUP($A232,Table4[],17,FALSE)</f>
        <v>0</v>
      </c>
      <c r="L232" s="96">
        <f>VLOOKUP($A232,Table4[],18,FALSE)</f>
        <v>0</v>
      </c>
      <c r="M232" s="96" t="str">
        <f>IF(VLOOKUP($A232,Table2[],8,FALSE)=0,"",VLOOKUP($A232,Table2[],8,FALSE))</f>
        <v>Municipal</v>
      </c>
      <c r="N232" s="96">
        <f>VLOOKUP($A232,Table2[],14,FALSE)</f>
        <v>0</v>
      </c>
      <c r="O232" s="96" t="str">
        <f>IF(VLOOKUP($A232,Table2[],15,FALSE)=0,"",VLOOKUP($A232,Table2[],15,FALSE))</f>
        <v>Municipal</v>
      </c>
      <c r="P232" s="96" t="str">
        <f>IF(VLOOKUP($A232,Table2[],16,FALSE)=0,"",VLOOKUP($A232,Table2[],16,FALSE))</f>
        <v/>
      </c>
      <c r="Q232" s="97" t="str">
        <f>IF(ISNA(VLOOKUP($A232,Table3[],6,FALSE)),"None",VLOOKUP($A232,Table3[],6,FALSE))</f>
        <v>None</v>
      </c>
      <c r="R232" s="97" t="str">
        <f>IF(ISNA(VLOOKUP($A232,Table3[],7,FALSE)),"Unknown",VLOOKUP($A232,Table3[],7,FALSE))</f>
        <v>Unknown</v>
      </c>
      <c r="S232" s="97" t="str">
        <f>IF(ISNA(VLOOKUP($A232,Table3[],8,FALSE)),"None",VLOOKUP($A232,Table3[],8,FALSE))</f>
        <v>None</v>
      </c>
      <c r="T232" s="98" t="str">
        <f>IF(ISNA(VLOOKUP($A232,Table3[],13,FALSE)),"Unknown",VLOOKUP($A232,Table3[],13,FALSE))</f>
        <v>Unknown</v>
      </c>
      <c r="U232" s="99" t="str">
        <f>IF(ISNA(VLOOKUP($A232,Table3[],14,FALSE)),"Unknown",VLOOKUP($A232,Table3[],14,FALSE))</f>
        <v>Unknown</v>
      </c>
      <c r="V232" s="98">
        <f>IF(ISNA(VLOOKUP($A232,Table3[],21,FALSE)),0,VLOOKUP($A232,Table3[],21,FALSE))</f>
        <v>0</v>
      </c>
      <c r="W232" s="99">
        <f>IF(ISNA(VLOOKUP($A232,Table3[],22,FALSE)),0,VLOOKUP($A232,Table3[],22,FALSE))</f>
        <v>0</v>
      </c>
    </row>
    <row r="233" spans="1:23" x14ac:dyDescent="0.25">
      <c r="A233" s="36">
        <v>274</v>
      </c>
      <c r="B233" s="138" t="str">
        <f>VLOOKUP(A233,Registry!$A$4:$AA$241,2,FALSE)</f>
        <v>Valley Mobile Home Park</v>
      </c>
      <c r="C233" s="138" t="str">
        <f>VLOOKUP(A233,Registry!$A$4:$AA$241,3,FALSE)</f>
        <v>Windsor</v>
      </c>
      <c r="D233" s="138" t="str">
        <f>VLOOKUP(A233,Registry!$A$4:$AA$241,4,FALSE)</f>
        <v>Springfield</v>
      </c>
      <c r="E233" s="138">
        <f>IF(VLOOKUP(A233,Registry!$A$4:$AA$241,7,FALSE)=0,"",VLOOKUP(A233,Registry!$A$4:$AA$241,7,FALSE))</f>
        <v>1960</v>
      </c>
      <c r="F233" s="138" t="str">
        <f>IF(VLOOKUP(A233,Registry!$A$4:$AA$241,20,FALSE)=0,"",VLOOKUP(A233,Registry!$A$4:$AA$241,20,FALSE))</f>
        <v>For profit</v>
      </c>
      <c r="G233" s="138">
        <f>VLOOKUP(A233,Registry!$A$4:$AA$241,21,FALSE)</f>
        <v>9</v>
      </c>
      <c r="H233" s="81">
        <f>VLOOKUP($A233,Table4[],36,FALSE)</f>
        <v>0.77777777777777779</v>
      </c>
      <c r="I233" s="130">
        <f>VLOOKUP($A233,Table4[],41,FALSE)</f>
        <v>0</v>
      </c>
      <c r="J233" s="95">
        <f>VLOOKUP($A233,Table4[],30,FALSE)</f>
        <v>0</v>
      </c>
      <c r="K233" s="96">
        <f>VLOOKUP($A233,Table4[],17,FALSE)</f>
        <v>0</v>
      </c>
      <c r="L233" s="96">
        <f>VLOOKUP($A233,Table4[],18,FALSE)</f>
        <v>0</v>
      </c>
      <c r="M233" s="96" t="str">
        <f>IF(VLOOKUP($A233,Table2[],8,FALSE)=0,"",VLOOKUP($A233,Table2[],8,FALSE))</f>
        <v>Small-Scale (potable, &lt;25 users)</v>
      </c>
      <c r="N233" s="96">
        <f>VLOOKUP($A233,Table2[],14,FALSE)</f>
        <v>0</v>
      </c>
      <c r="O233" s="96" t="str">
        <f>IF(VLOOKUP($A233,Table2[],15,FALSE)=0,"",VLOOKUP($A233,Table2[],15,FALSE))</f>
        <v>Individual On-Site</v>
      </c>
      <c r="P233" s="96" t="str">
        <f>IF(VLOOKUP($A233,Table2[],16,FALSE)=0,"",VLOOKUP($A233,Table2[],16,FALSE))</f>
        <v/>
      </c>
      <c r="Q233" s="97" t="str">
        <f>IF(ISNA(VLOOKUP($A233,Table3[],6,FALSE)),"None",VLOOKUP($A233,Table3[],6,FALSE))</f>
        <v>None</v>
      </c>
      <c r="R233" s="97" t="str">
        <f>IF(ISNA(VLOOKUP($A233,Table3[],7,FALSE)),"Unknown",VLOOKUP($A233,Table3[],7,FALSE))</f>
        <v>Unknown</v>
      </c>
      <c r="S233" s="97" t="str">
        <f>IF(ISNA(VLOOKUP($A233,Table3[],8,FALSE)),"None",VLOOKUP($A233,Table3[],8,FALSE))</f>
        <v>None</v>
      </c>
      <c r="T233" s="98" t="str">
        <f>IF(ISNA(VLOOKUP($A233,Table3[],13,FALSE)),"Unknown",VLOOKUP($A233,Table3[],13,FALSE))</f>
        <v>Unknown</v>
      </c>
      <c r="U233" s="99" t="str">
        <f>IF(ISNA(VLOOKUP($A233,Table3[],14,FALSE)),"Unknown",VLOOKUP($A233,Table3[],14,FALSE))</f>
        <v>Unknown</v>
      </c>
      <c r="V233" s="98">
        <f>IF(ISNA(VLOOKUP($A233,Table3[],21,FALSE)),0,VLOOKUP($A233,Table3[],21,FALSE))</f>
        <v>0</v>
      </c>
      <c r="W233" s="99">
        <f>IF(ISNA(VLOOKUP($A233,Table3[],22,FALSE)),0,VLOOKUP($A233,Table3[],22,FALSE))</f>
        <v>0</v>
      </c>
    </row>
    <row r="234" spans="1:23" x14ac:dyDescent="0.25">
      <c r="A234" s="36">
        <v>10</v>
      </c>
      <c r="B234" s="138" t="str">
        <f>VLOOKUP(A234,Registry!$A$4:$AA$241,2,FALSE)</f>
        <v>Country Estates Mobile Home Park, LLC</v>
      </c>
      <c r="C234" s="138" t="str">
        <f>VLOOKUP(A234,Registry!$A$4:$AA$241,3,FALSE)</f>
        <v>Windsor</v>
      </c>
      <c r="D234" s="138" t="str">
        <f>VLOOKUP(A234,Registry!$A$4:$AA$241,4,FALSE)</f>
        <v>Weathersfield</v>
      </c>
      <c r="E234" s="138">
        <f>IF(VLOOKUP(A234,Registry!$A$4:$AA$241,7,FALSE)=0,"",VLOOKUP(A234,Registry!$A$4:$AA$241,7,FALSE))</f>
        <v>1965</v>
      </c>
      <c r="F234" s="138" t="str">
        <f>IF(VLOOKUP(A234,Registry!$A$4:$AA$241,20,FALSE)=0,"",VLOOKUP(A234,Registry!$A$4:$AA$241,20,FALSE))</f>
        <v>For profit</v>
      </c>
      <c r="G234" s="138">
        <f>VLOOKUP(A234,Registry!$A$4:$AA$241,21,FALSE)</f>
        <v>92</v>
      </c>
      <c r="H234" s="81">
        <f>VLOOKUP($A234,Table4[],36,FALSE)</f>
        <v>1</v>
      </c>
      <c r="I234" s="130">
        <f>VLOOKUP($A234,Table4[],41,FALSE)</f>
        <v>8.8235294117647065E-2</v>
      </c>
      <c r="J234" s="95">
        <f>VLOOKUP($A234,Table4[],30,FALSE)</f>
        <v>0</v>
      </c>
      <c r="K234" s="96">
        <f>VLOOKUP($A234,Table4[],17,FALSE)</f>
        <v>0</v>
      </c>
      <c r="L234" s="96">
        <f>VLOOKUP($A234,Table4[],18,FALSE)</f>
        <v>-1</v>
      </c>
      <c r="M234" s="96" t="str">
        <f>IF(VLOOKUP($A234,Table2[],8,FALSE)=0,"",VLOOKUP($A234,Table2[],8,FALSE))</f>
        <v xml:space="preserve">Community </v>
      </c>
      <c r="N234" s="96">
        <f>VLOOKUP($A234,Table2[],14,FALSE)</f>
        <v>0</v>
      </c>
      <c r="O234" s="96" t="str">
        <f>IF(VLOOKUP($A234,Table2[],15,FALSE)=0,"",VLOOKUP($A234,Table2[],15,FALSE))</f>
        <v/>
      </c>
      <c r="P234" s="96" t="str">
        <f>IF(VLOOKUP($A234,Table2[],16,FALSE)=0,"",VLOOKUP($A234,Table2[],16,FALSE))</f>
        <v/>
      </c>
      <c r="Q234" s="97" t="str">
        <f>IF(ISNA(VLOOKUP($A234,Table3[],6,FALSE)),"None",VLOOKUP($A234,Table3[],6,FALSE))</f>
        <v>None</v>
      </c>
      <c r="R234" s="97" t="str">
        <f>IF(ISNA(VLOOKUP($A234,Table3[],7,FALSE)),"Unknown",VLOOKUP($A234,Table3[],7,FALSE))</f>
        <v>Unknown</v>
      </c>
      <c r="S234" s="97" t="str">
        <f>IF(ISNA(VLOOKUP($A234,Table3[],8,FALSE)),"None",VLOOKUP($A234,Table3[],8,FALSE))</f>
        <v>None</v>
      </c>
      <c r="T234" s="98" t="str">
        <f>IF(ISNA(VLOOKUP($A234,Table3[],13,FALSE)),"Unknown",VLOOKUP($A234,Table3[],13,FALSE))</f>
        <v>Unknown</v>
      </c>
      <c r="U234" s="99" t="str">
        <f>IF(ISNA(VLOOKUP($A234,Table3[],14,FALSE)),"Unknown",VLOOKUP($A234,Table3[],14,FALSE))</f>
        <v>Unknown</v>
      </c>
      <c r="V234" s="98">
        <f>IF(ISNA(VLOOKUP($A234,Table3[],21,FALSE)),0,VLOOKUP($A234,Table3[],21,FALSE))</f>
        <v>0</v>
      </c>
      <c r="W234" s="99">
        <f>IF(ISNA(VLOOKUP($A234,Table3[],22,FALSE)),0,VLOOKUP($A234,Table3[],22,FALSE))</f>
        <v>0</v>
      </c>
    </row>
    <row r="235" spans="1:23" x14ac:dyDescent="0.25">
      <c r="A235" s="36">
        <v>12</v>
      </c>
      <c r="B235" s="138" t="str">
        <f>VLOOKUP(A235,Registry!$A$4:$AA$241,2,FALSE)</f>
        <v>Frazers Mobile Home Park, LLC</v>
      </c>
      <c r="C235" s="138" t="str">
        <f>VLOOKUP(A235,Registry!$A$4:$AA$241,3,FALSE)</f>
        <v>Windsor</v>
      </c>
      <c r="D235" s="138" t="str">
        <f>VLOOKUP(A235,Registry!$A$4:$AA$241,4,FALSE)</f>
        <v>Weathersfield</v>
      </c>
      <c r="E235" s="138">
        <f>IF(VLOOKUP(A235,Registry!$A$4:$AA$241,7,FALSE)=0,"",VLOOKUP(A235,Registry!$A$4:$AA$241,7,FALSE))</f>
        <v>1969</v>
      </c>
      <c r="F235" s="138" t="str">
        <f>IF(VLOOKUP(A235,Registry!$A$4:$AA$241,20,FALSE)=0,"",VLOOKUP(A235,Registry!$A$4:$AA$241,20,FALSE))</f>
        <v>For profit</v>
      </c>
      <c r="G235" s="138">
        <f>VLOOKUP(A235,Registry!$A$4:$AA$241,21,FALSE)</f>
        <v>14</v>
      </c>
      <c r="H235" s="81">
        <f>VLOOKUP($A235,Table4[],36,FALSE)</f>
        <v>1</v>
      </c>
      <c r="I235" s="130">
        <f>VLOOKUP($A235,Table4[],41,FALSE)</f>
        <v>4.501185991349238E-2</v>
      </c>
      <c r="J235" s="95">
        <f>VLOOKUP($A235,Table4[],30,FALSE)</f>
        <v>0</v>
      </c>
      <c r="K235" s="96">
        <f>VLOOKUP($A235,Table4[],17,FALSE)</f>
        <v>0</v>
      </c>
      <c r="L235" s="96">
        <f>VLOOKUP($A235,Table4[],18,FALSE)</f>
        <v>0</v>
      </c>
      <c r="M235" s="96" t="str">
        <f>IF(VLOOKUP($A235,Table2[],8,FALSE)=0,"",VLOOKUP($A235,Table2[],8,FALSE))</f>
        <v>Municipal</v>
      </c>
      <c r="N235" s="96">
        <f>VLOOKUP($A235,Table2[],14,FALSE)</f>
        <v>0</v>
      </c>
      <c r="O235" s="96" t="str">
        <f>IF(VLOOKUP($A235,Table2[],15,FALSE)=0,"",VLOOKUP($A235,Table2[],15,FALSE))</f>
        <v>Individual On-Site</v>
      </c>
      <c r="P235" s="96" t="str">
        <f>IF(VLOOKUP($A235,Table2[],16,FALSE)=0,"",VLOOKUP($A235,Table2[],16,FALSE))</f>
        <v/>
      </c>
      <c r="Q235" s="97" t="str">
        <f>IF(ISNA(VLOOKUP($A235,Table3[],6,FALSE)),"None",VLOOKUP($A235,Table3[],6,FALSE))</f>
        <v>None</v>
      </c>
      <c r="R235" s="97" t="str">
        <f>IF(ISNA(VLOOKUP($A235,Table3[],7,FALSE)),"Unknown",VLOOKUP($A235,Table3[],7,FALSE))</f>
        <v>Unknown</v>
      </c>
      <c r="S235" s="97" t="str">
        <f>IF(ISNA(VLOOKUP($A235,Table3[],8,FALSE)),"None",VLOOKUP($A235,Table3[],8,FALSE))</f>
        <v>None</v>
      </c>
      <c r="T235" s="98" t="str">
        <f>IF(ISNA(VLOOKUP($A235,Table3[],13,FALSE)),"Unknown",VLOOKUP($A235,Table3[],13,FALSE))</f>
        <v>Unknown</v>
      </c>
      <c r="U235" s="99" t="str">
        <f>IF(ISNA(VLOOKUP($A235,Table3[],14,FALSE)),"Unknown",VLOOKUP($A235,Table3[],14,FALSE))</f>
        <v>Unknown</v>
      </c>
      <c r="V235" s="98">
        <f>IF(ISNA(VLOOKUP($A235,Table3[],21,FALSE)),0,VLOOKUP($A235,Table3[],21,FALSE))</f>
        <v>0</v>
      </c>
      <c r="W235" s="99">
        <f>IF(ISNA(VLOOKUP($A235,Table3[],22,FALSE)),0,VLOOKUP($A235,Table3[],22,FALSE))</f>
        <v>0</v>
      </c>
    </row>
    <row r="236" spans="1:23" x14ac:dyDescent="0.25">
      <c r="A236" s="36">
        <v>23</v>
      </c>
      <c r="B236" s="138" t="str">
        <f>VLOOKUP(A236,Registry!$A$4:$AA$241,2,FALSE)</f>
        <v>Markwell Mobile Home Park</v>
      </c>
      <c r="C236" s="138" t="str">
        <f>VLOOKUP(A236,Registry!$A$4:$AA$241,3,FALSE)</f>
        <v>Windsor</v>
      </c>
      <c r="D236" s="138" t="str">
        <f>VLOOKUP(A236,Registry!$A$4:$AA$241,4,FALSE)</f>
        <v>Weathersfield</v>
      </c>
      <c r="E236" s="138">
        <f>IF(VLOOKUP(A236,Registry!$A$4:$AA$241,7,FALSE)=0,"",VLOOKUP(A236,Registry!$A$4:$AA$241,7,FALSE))</f>
        <v>1967</v>
      </c>
      <c r="F236" s="138" t="str">
        <f>IF(VLOOKUP(A236,Registry!$A$4:$AA$241,20,FALSE)=0,"",VLOOKUP(A236,Registry!$A$4:$AA$241,20,FALSE))</f>
        <v>For profit</v>
      </c>
      <c r="G236" s="138">
        <f>VLOOKUP(A236,Registry!$A$4:$AA$241,21,FALSE)</f>
        <v>8</v>
      </c>
      <c r="H236" s="81">
        <f>VLOOKUP($A236,Table4[],36,FALSE)</f>
        <v>0.75</v>
      </c>
      <c r="I236" s="130">
        <f>VLOOKUP($A236,Table4[],41,FALSE)</f>
        <v>0.5</v>
      </c>
      <c r="J236" s="95">
        <f>VLOOKUP($A236,Table4[],30,FALSE)</f>
        <v>0.125</v>
      </c>
      <c r="K236" s="96">
        <f>VLOOKUP($A236,Table4[],17,FALSE)</f>
        <v>0</v>
      </c>
      <c r="L236" s="96">
        <f>VLOOKUP($A236,Table4[],18,FALSE)</f>
        <v>0</v>
      </c>
      <c r="M236" s="96" t="str">
        <f>IF(VLOOKUP($A236,Table2[],8,FALSE)=0,"",VLOOKUP($A236,Table2[],8,FALSE))</f>
        <v>Small-Scale (potable, &lt;25 users)</v>
      </c>
      <c r="N236" s="96">
        <f>VLOOKUP($A236,Table2[],14,FALSE)</f>
        <v>0</v>
      </c>
      <c r="O236" s="96" t="str">
        <f>IF(VLOOKUP($A236,Table2[],15,FALSE)=0,"",VLOOKUP($A236,Table2[],15,FALSE))</f>
        <v>Individual On-Site</v>
      </c>
      <c r="P236" s="96" t="str">
        <f>IF(VLOOKUP($A236,Table2[],16,FALSE)=0,"",VLOOKUP($A236,Table2[],16,FALSE))</f>
        <v>WW-2-5101</v>
      </c>
      <c r="Q236" s="97" t="str">
        <f>IF(ISNA(VLOOKUP($A236,Table3[],6,FALSE)),"None",VLOOKUP($A236,Table3[],6,FALSE))</f>
        <v>None</v>
      </c>
      <c r="R236" s="97" t="str">
        <f>IF(ISNA(VLOOKUP($A236,Table3[],7,FALSE)),"Unknown",VLOOKUP($A236,Table3[],7,FALSE))</f>
        <v>Unknown</v>
      </c>
      <c r="S236" s="97" t="str">
        <f>IF(ISNA(VLOOKUP($A236,Table3[],8,FALSE)),"None",VLOOKUP($A236,Table3[],8,FALSE))</f>
        <v>None</v>
      </c>
      <c r="T236" s="98" t="str">
        <f>IF(ISNA(VLOOKUP($A236,Table3[],13,FALSE)),"Unknown",VLOOKUP($A236,Table3[],13,FALSE))</f>
        <v>Unknown</v>
      </c>
      <c r="U236" s="99" t="str">
        <f>IF(ISNA(VLOOKUP($A236,Table3[],14,FALSE)),"Unknown",VLOOKUP($A236,Table3[],14,FALSE))</f>
        <v>Unknown</v>
      </c>
      <c r="V236" s="98">
        <f>IF(ISNA(VLOOKUP($A236,Table3[],21,FALSE)),0,VLOOKUP($A236,Table3[],21,FALSE))</f>
        <v>0</v>
      </c>
      <c r="W236" s="99">
        <f>IF(ISNA(VLOOKUP($A236,Table3[],22,FALSE)),0,VLOOKUP($A236,Table3[],22,FALSE))</f>
        <v>0</v>
      </c>
    </row>
    <row r="237" spans="1:23" x14ac:dyDescent="0.25">
      <c r="A237" s="36">
        <v>11</v>
      </c>
      <c r="B237" s="138" t="str">
        <f>VLOOKUP(A237,Registry!$A$4:$AA$241,2,FALSE)</f>
        <v>Mountain View Trailer Park</v>
      </c>
      <c r="C237" s="138" t="str">
        <f>VLOOKUP(A237,Registry!$A$4:$AA$241,3,FALSE)</f>
        <v>Windsor</v>
      </c>
      <c r="D237" s="138" t="str">
        <f>VLOOKUP(A237,Registry!$A$4:$AA$241,4,FALSE)</f>
        <v>Weathersfield</v>
      </c>
      <c r="E237" s="138">
        <f>IF(VLOOKUP(A237,Registry!$A$4:$AA$241,7,FALSE)=0,"",VLOOKUP(A237,Registry!$A$4:$AA$241,7,FALSE))</f>
        <v>1972</v>
      </c>
      <c r="F237" s="138" t="str">
        <f>IF(VLOOKUP(A237,Registry!$A$4:$AA$241,20,FALSE)=0,"",VLOOKUP(A237,Registry!$A$4:$AA$241,20,FALSE))</f>
        <v>For profit</v>
      </c>
      <c r="G237" s="138">
        <f>VLOOKUP(A237,Registry!$A$4:$AA$241,21,FALSE)</f>
        <v>8</v>
      </c>
      <c r="H237" s="81">
        <f>VLOOKUP($A237,Table4[],36,FALSE)</f>
        <v>1</v>
      </c>
      <c r="I237" s="130">
        <f>VLOOKUP($A237,Table4[],41,FALSE)</f>
        <v>0</v>
      </c>
      <c r="J237" s="95">
        <f>VLOOKUP($A237,Table4[],30,FALSE)</f>
        <v>0</v>
      </c>
      <c r="K237" s="96">
        <f>VLOOKUP($A237,Table4[],17,FALSE)</f>
        <v>0</v>
      </c>
      <c r="L237" s="96">
        <f>VLOOKUP($A237,Table4[],18,FALSE)</f>
        <v>0</v>
      </c>
      <c r="M237" s="96" t="str">
        <f>IF(VLOOKUP($A237,Table2[],8,FALSE)=0,"",VLOOKUP($A237,Table2[],8,FALSE))</f>
        <v>Small-Scale (potable, &lt;25 users)</v>
      </c>
      <c r="N237" s="96">
        <f>VLOOKUP($A237,Table2[],14,FALSE)</f>
        <v>0</v>
      </c>
      <c r="O237" s="96" t="str">
        <f>IF(VLOOKUP($A237,Table2[],15,FALSE)=0,"",VLOOKUP($A237,Table2[],15,FALSE))</f>
        <v/>
      </c>
      <c r="P237" s="96" t="str">
        <f>IF(VLOOKUP($A237,Table2[],16,FALSE)=0,"",VLOOKUP($A237,Table2[],16,FALSE))</f>
        <v/>
      </c>
      <c r="Q237" s="97" t="str">
        <f>IF(ISNA(VLOOKUP($A237,Table3[],6,FALSE)),"None",VLOOKUP($A237,Table3[],6,FALSE))</f>
        <v>None</v>
      </c>
      <c r="R237" s="97" t="str">
        <f>IF(ISNA(VLOOKUP($A237,Table3[],7,FALSE)),"Unknown",VLOOKUP($A237,Table3[],7,FALSE))</f>
        <v>Unknown</v>
      </c>
      <c r="S237" s="97" t="str">
        <f>IF(ISNA(VLOOKUP($A237,Table3[],8,FALSE)),"None",VLOOKUP($A237,Table3[],8,FALSE))</f>
        <v>None</v>
      </c>
      <c r="T237" s="98" t="str">
        <f>IF(ISNA(VLOOKUP($A237,Table3[],13,FALSE)),"Unknown",VLOOKUP($A237,Table3[],13,FALSE))</f>
        <v>Unknown</v>
      </c>
      <c r="U237" s="99" t="str">
        <f>IF(ISNA(VLOOKUP($A237,Table3[],14,FALSE)),"Unknown",VLOOKUP($A237,Table3[],14,FALSE))</f>
        <v>Unknown</v>
      </c>
      <c r="V237" s="98">
        <f>IF(ISNA(VLOOKUP($A237,Table3[],21,FALSE)),0,VLOOKUP($A237,Table3[],21,FALSE))</f>
        <v>0</v>
      </c>
      <c r="W237" s="99">
        <f>IF(ISNA(VLOOKUP($A237,Table3[],22,FALSE)),0,VLOOKUP($A237,Table3[],22,FALSE))</f>
        <v>0</v>
      </c>
    </row>
    <row r="238" spans="1:23" x14ac:dyDescent="0.25">
      <c r="A238" s="36">
        <v>145</v>
      </c>
      <c r="B238" s="138" t="str">
        <f>VLOOKUP(A238,Registry!$A$4:$AA$241,2,FALSE)</f>
        <v>Windy Hill Acres</v>
      </c>
      <c r="C238" s="138" t="str">
        <f>VLOOKUP(A238,Registry!$A$4:$AA$241,3,FALSE)</f>
        <v>Windsor</v>
      </c>
      <c r="D238" s="138" t="str">
        <f>VLOOKUP(A238,Registry!$A$4:$AA$241,4,FALSE)</f>
        <v>Weathersfield</v>
      </c>
      <c r="E238" s="138" t="str">
        <f>IF(VLOOKUP(A238,Registry!$A$4:$AA$241,7,FALSE)=0,"",VLOOKUP(A238,Registry!$A$4:$AA$241,7,FALSE))</f>
        <v/>
      </c>
      <c r="F238" s="138" t="str">
        <f>IF(VLOOKUP(A238,Registry!$A$4:$AA$241,20,FALSE)=0,"",VLOOKUP(A238,Registry!$A$4:$AA$241,20,FALSE))</f>
        <v>Non-profit</v>
      </c>
      <c r="G238" s="138">
        <f>VLOOKUP(A238,Registry!$A$4:$AA$241,21,FALSE)</f>
        <v>74</v>
      </c>
      <c r="H238" s="81">
        <f>VLOOKUP($A238,Table4[],36,FALSE)</f>
        <v>0.58108108108108103</v>
      </c>
      <c r="I238" s="130">
        <f>VLOOKUP($A238,Table4[],41,FALSE)</f>
        <v>5.9360730593607303E-2</v>
      </c>
      <c r="J238" s="95">
        <f>VLOOKUP($A238,Table4[],30,FALSE)</f>
        <v>0</v>
      </c>
      <c r="K238" s="96">
        <f>VLOOKUP($A238,Table4[],17,FALSE)</f>
        <v>0</v>
      </c>
      <c r="L238" s="96">
        <f>VLOOKUP($A238,Table4[],18,FALSE)</f>
        <v>0</v>
      </c>
      <c r="M238" s="96" t="str">
        <f>IF(VLOOKUP($A238,Table2[],8,FALSE)=0,"",VLOOKUP($A238,Table2[],8,FALSE))</f>
        <v xml:space="preserve">Community </v>
      </c>
      <c r="N238" s="96">
        <f>VLOOKUP($A238,Table2[],14,FALSE)</f>
        <v>0</v>
      </c>
      <c r="O238" s="96" t="str">
        <f>IF(VLOOKUP($A238,Table2[],15,FALSE)=0,"",VLOOKUP($A238,Table2[],15,FALSE))</f>
        <v>Community On-Site</v>
      </c>
      <c r="P238" s="96" t="str">
        <f>IF(VLOOKUP($A238,Table2[],16,FALSE)=0,"",VLOOKUP($A238,Table2[],16,FALSE))</f>
        <v>ID-9-0086</v>
      </c>
      <c r="Q238" s="97" t="str">
        <f>IF(ISNA(VLOOKUP($A238,Table3[],6,FALSE)),"None",VLOOKUP($A238,Table3[],6,FALSE))</f>
        <v>None</v>
      </c>
      <c r="R238" s="97" t="str">
        <f>IF(ISNA(VLOOKUP($A238,Table3[],7,FALSE)),"Unknown",VLOOKUP($A238,Table3[],7,FALSE))</f>
        <v>Unknown</v>
      </c>
      <c r="S238" s="97" t="str">
        <f>IF(ISNA(VLOOKUP($A238,Table3[],8,FALSE)),"None",VLOOKUP($A238,Table3[],8,FALSE))</f>
        <v>None</v>
      </c>
      <c r="T238" s="98" t="str">
        <f>IF(ISNA(VLOOKUP($A238,Table3[],13,FALSE)),"Unknown",VLOOKUP($A238,Table3[],13,FALSE))</f>
        <v>Unknown</v>
      </c>
      <c r="U238" s="99" t="str">
        <f>IF(ISNA(VLOOKUP($A238,Table3[],14,FALSE)),"Unknown",VLOOKUP($A238,Table3[],14,FALSE))</f>
        <v>Unknown</v>
      </c>
      <c r="V238" s="98">
        <f>IF(ISNA(VLOOKUP($A238,Table3[],21,FALSE)),0,VLOOKUP($A238,Table3[],21,FALSE))</f>
        <v>0</v>
      </c>
      <c r="W238" s="99">
        <f>IF(ISNA(VLOOKUP($A238,Table3[],22,FALSE)),0,VLOOKUP($A238,Table3[],22,FALSE))</f>
        <v>0</v>
      </c>
    </row>
    <row r="239" spans="1:23" x14ac:dyDescent="0.25">
      <c r="A239" s="36">
        <v>204</v>
      </c>
      <c r="B239" s="186" t="str">
        <f>VLOOKUP(A239,Registry!$A$4:$AA$241,2,FALSE)</f>
        <v>Bunker Hill Community Co-op</v>
      </c>
      <c r="C239" s="186" t="str">
        <f>VLOOKUP(A239,Registry!$A$4:$AA$241,3,FALSE)</f>
        <v>Windsor</v>
      </c>
      <c r="D239" s="186" t="str">
        <f>VLOOKUP(A239,Registry!$A$4:$AA$241,4,FALSE)</f>
        <v>Windsor</v>
      </c>
      <c r="E239" s="186">
        <f>IF(VLOOKUP(A239,Registry!$A$4:$AA$241,7,FALSE)=0,"",VLOOKUP(A239,Registry!$A$4:$AA$241,7,FALSE))</f>
        <v>1963</v>
      </c>
      <c r="F239" s="186" t="str">
        <f>IF(VLOOKUP(A239,Registry!$A$4:$AA$241,20,FALSE)=0,"",VLOOKUP(A239,Registry!$A$4:$AA$241,20,FALSE))</f>
        <v>Cooperative</v>
      </c>
      <c r="G239" s="186">
        <f>VLOOKUP(A239,Registry!$A$4:$AA$241,21,FALSE)</f>
        <v>14</v>
      </c>
      <c r="H239" s="81">
        <f>VLOOKUP($A239,Table4[],36,FALSE)</f>
        <v>1</v>
      </c>
      <c r="I239" s="130">
        <f>VLOOKUP($A239,Table4[],41,FALSE)</f>
        <v>0</v>
      </c>
      <c r="J239" s="95">
        <f>VLOOKUP($A239,Table4[],30,FALSE)</f>
        <v>-7.1428571428571425E-2</v>
      </c>
      <c r="K239" s="96">
        <f>VLOOKUP($A239,Table4[],17,FALSE)</f>
        <v>0</v>
      </c>
      <c r="L239" s="96">
        <f>VLOOKUP($A239,Table4[],18,FALSE)</f>
        <v>-2</v>
      </c>
      <c r="M239" s="96" t="str">
        <f>IF(VLOOKUP($A239,Table2[],8,FALSE)=0,"",VLOOKUP($A239,Table2[],8,FALSE))</f>
        <v>Municipal</v>
      </c>
      <c r="N239" s="96">
        <f>VLOOKUP($A239,Table2[],14,FALSE)</f>
        <v>0</v>
      </c>
      <c r="O239" s="96" t="str">
        <f>IF(VLOOKUP($A239,Table2[],15,FALSE)=0,"",VLOOKUP($A239,Table2[],15,FALSE))</f>
        <v>Municipal</v>
      </c>
      <c r="P239" s="96" t="str">
        <f>IF(VLOOKUP($A239,Table2[],16,FALSE)=0,"",VLOOKUP($A239,Table2[],16,FALSE))</f>
        <v/>
      </c>
      <c r="Q239" s="97" t="str">
        <f>IF(ISNA(VLOOKUP($A239,Table3[],6,FALSE)),"None",VLOOKUP($A239,Table3[],6,FALSE))</f>
        <v>100 Year Flood Plain</v>
      </c>
      <c r="R239" s="97" t="str">
        <f>IF(ISNA(VLOOKUP($A239,Table3[],7,FALSE)),"Unknown",VLOOKUP($A239,Table3[],7,FALSE))</f>
        <v>Unknown</v>
      </c>
      <c r="S239" s="97" t="str">
        <f>IF(ISNA(VLOOKUP($A239,Table3[],8,FALSE)),"None",VLOOKUP($A239,Table3[],8,FALSE))</f>
        <v>100 Year Flood Plain</v>
      </c>
      <c r="T239" s="98">
        <f>IF(ISNA(VLOOKUP($A239,Table3[],13,FALSE)),"Unknown",VLOOKUP($A239,Table3[],13,FALSE))</f>
        <v>0</v>
      </c>
      <c r="U239" s="99">
        <f>IF(ISNA(VLOOKUP($A239,Table3[],14,FALSE)),"Unknown",VLOOKUP($A239,Table3[],14,FALSE))</f>
        <v>0</v>
      </c>
      <c r="V239" s="98">
        <f>IF(ISNA(VLOOKUP($A239,Table3[],21,FALSE)),0,VLOOKUP($A239,Table3[],21,FALSE))</f>
        <v>20</v>
      </c>
      <c r="W239" s="99">
        <f>IF(ISNA(VLOOKUP($A239,Table3[],22,FALSE)),0,VLOOKUP($A239,Table3[],22,FALSE))</f>
        <v>1</v>
      </c>
    </row>
    <row r="240" spans="1:23" x14ac:dyDescent="0.25">
      <c r="A240" s="36">
        <v>122</v>
      </c>
      <c r="B240" s="186" t="str">
        <f>VLOOKUP(A240,Registry!$A$4:$AA$241,2,FALSE)</f>
        <v>Mt Ascutney Mobile Home Park</v>
      </c>
      <c r="C240" s="186" t="str">
        <f>VLOOKUP(A240,Registry!$A$4:$AA$241,3,FALSE)</f>
        <v>Windsor</v>
      </c>
      <c r="D240" s="186" t="str">
        <f>VLOOKUP(A240,Registry!$A$4:$AA$241,4,FALSE)</f>
        <v>Windsor</v>
      </c>
      <c r="E240" s="186">
        <f>IF(VLOOKUP(A240,Registry!$A$4:$AA$241,7,FALSE)=0,"",VLOOKUP(A240,Registry!$A$4:$AA$241,7,FALSE))</f>
        <v>1957</v>
      </c>
      <c r="F240" s="186" t="str">
        <f>IF(VLOOKUP(A240,Registry!$A$4:$AA$241,20,FALSE)=0,"",VLOOKUP(A240,Registry!$A$4:$AA$241,20,FALSE))</f>
        <v>For profit</v>
      </c>
      <c r="G240" s="186">
        <f>VLOOKUP(A240,Registry!$A$4:$AA$241,21,FALSE)</f>
        <v>16</v>
      </c>
      <c r="H240" s="81">
        <f>VLOOKUP($A240,Table4[],36,FALSE)</f>
        <v>0.6875</v>
      </c>
      <c r="I240" s="130">
        <f>VLOOKUP($A240,Table4[],41,FALSE)</f>
        <v>6.2670299727520432E-2</v>
      </c>
      <c r="J240" s="95">
        <f>VLOOKUP($A240,Table4[],30,FALSE)</f>
        <v>0.1875</v>
      </c>
      <c r="K240" s="96">
        <f>VLOOKUP($A240,Table4[],17,FALSE)</f>
        <v>0</v>
      </c>
      <c r="L240" s="96">
        <f>VLOOKUP($A240,Table4[],18,FALSE)</f>
        <v>0</v>
      </c>
      <c r="M240" s="96" t="str">
        <f>IF(VLOOKUP($A240,Table2[],8,FALSE)=0,"",VLOOKUP($A240,Table2[],8,FALSE))</f>
        <v xml:space="preserve">Community </v>
      </c>
      <c r="N240" s="96">
        <f>VLOOKUP($A240,Table2[],14,FALSE)</f>
        <v>2</v>
      </c>
      <c r="O240" s="96" t="str">
        <f>IF(VLOOKUP($A240,Table2[],15,FALSE)=0,"",VLOOKUP($A240,Table2[],15,FALSE))</f>
        <v>On-Site</v>
      </c>
      <c r="P240" s="96" t="str">
        <f>IF(VLOOKUP($A240,Table2[],16,FALSE)=0,"",VLOOKUP($A240,Table2[],16,FALSE))</f>
        <v>WW-2-5591</v>
      </c>
      <c r="Q240" s="97" t="str">
        <f>IF(ISNA(VLOOKUP($A240,Table3[],6,FALSE)),"None",VLOOKUP($A240,Table3[],6,FALSE))</f>
        <v>None</v>
      </c>
      <c r="R240" s="97" t="str">
        <f>IF(ISNA(VLOOKUP($A240,Table3[],7,FALSE)),"Unknown",VLOOKUP($A240,Table3[],7,FALSE))</f>
        <v>Unknown</v>
      </c>
      <c r="S240" s="97" t="str">
        <f>IF(ISNA(VLOOKUP($A240,Table3[],8,FALSE)),"None",VLOOKUP($A240,Table3[],8,FALSE))</f>
        <v>None</v>
      </c>
      <c r="T240" s="98" t="str">
        <f>IF(ISNA(VLOOKUP($A240,Table3[],13,FALSE)),"Unknown",VLOOKUP($A240,Table3[],13,FALSE))</f>
        <v>Unknown</v>
      </c>
      <c r="U240" s="99" t="str">
        <f>IF(ISNA(VLOOKUP($A240,Table3[],14,FALSE)),"Unknown",VLOOKUP($A240,Table3[],14,FALSE))</f>
        <v>Unknown</v>
      </c>
      <c r="V240" s="98">
        <f>IF(ISNA(VLOOKUP($A240,Table3[],21,FALSE)),0,VLOOKUP($A240,Table3[],21,FALSE))</f>
        <v>0</v>
      </c>
      <c r="W240" s="99">
        <f>IF(ISNA(VLOOKUP($A240,Table3[],22,FALSE)),0,VLOOKUP($A240,Table3[],22,FALSE))</f>
        <v>0</v>
      </c>
    </row>
    <row r="241" spans="1:23" x14ac:dyDescent="0.25">
      <c r="A241" s="36">
        <v>143</v>
      </c>
      <c r="B241" s="186" t="str">
        <f>VLOOKUP(A241,Registry!$A$4:$AA$241,2,FALSE)</f>
        <v>Riverside Mobile Home Park</v>
      </c>
      <c r="C241" s="186" t="str">
        <f>VLOOKUP(A241,Registry!$A$4:$AA$241,3,FALSE)</f>
        <v>Windsor</v>
      </c>
      <c r="D241" s="186" t="str">
        <f>VLOOKUP(A241,Registry!$A$4:$AA$241,4,FALSE)</f>
        <v>Woodstock</v>
      </c>
      <c r="E241" s="186" t="str">
        <f>IF(VLOOKUP(A241,Registry!$A$4:$AA$241,7,FALSE)=0,"",VLOOKUP(A241,Registry!$A$4:$AA$241,7,FALSE))</f>
        <v/>
      </c>
      <c r="F241" s="186" t="str">
        <f>IF(VLOOKUP(A241,Registry!$A$4:$AA$241,20,FALSE)=0,"",VLOOKUP(A241,Registry!$A$4:$AA$241,20,FALSE))</f>
        <v>Non-profit</v>
      </c>
      <c r="G241" s="186">
        <f>VLOOKUP(A241,Registry!$A$4:$AA$241,21,FALSE)</f>
        <v>40</v>
      </c>
      <c r="H241" s="95">
        <f>VLOOKUP($A241,Table4[],36,FALSE)</f>
        <v>0.95</v>
      </c>
      <c r="I241" s="130">
        <f>VLOOKUP($A241,Table4[],41,FALSE)</f>
        <v>5.7339449541284407E-2</v>
      </c>
      <c r="J241" s="95">
        <f>VLOOKUP($A241,Table4[],30,FALSE)</f>
        <v>7.4999999999999997E-2</v>
      </c>
      <c r="K241" s="96">
        <f>VLOOKUP($A241,Table4[],17,FALSE)</f>
        <v>0</v>
      </c>
      <c r="L241" s="96">
        <f>VLOOKUP($A241,Table4[],18,FALSE)</f>
        <v>0</v>
      </c>
      <c r="M241" s="96" t="str">
        <f>IF(VLOOKUP($A241,Table2[],8,FALSE)=0,"",VLOOKUP($A241,Table2[],8,FALSE))</f>
        <v>Municipal</v>
      </c>
      <c r="N241" s="96">
        <f>VLOOKUP($A241,Table2[],14,FALSE)</f>
        <v>0</v>
      </c>
      <c r="O241" s="96" t="str">
        <f>IF(VLOOKUP($A241,Table2[],15,FALSE)=0,"",VLOOKUP($A241,Table2[],15,FALSE))</f>
        <v>Community On-Site</v>
      </c>
      <c r="P241" s="96" t="str">
        <f>IF(VLOOKUP($A241,Table2[],16,FALSE)=0,"",VLOOKUP($A241,Table2[],16,FALSE))</f>
        <v>MHP-3-0009, ID-9-0160, WW-3-0200-R2</v>
      </c>
      <c r="Q241" s="97" t="str">
        <f>IF(ISNA(VLOOKUP($A241,Table3[],6,FALSE)),"None",VLOOKUP($A241,Table3[],6,FALSE))</f>
        <v>Floodway</v>
      </c>
      <c r="R241" s="97" t="str">
        <f>IF(ISNA(VLOOKUP($A241,Table3[],7,FALSE)),"Unknown",VLOOKUP($A241,Table3[],7,FALSE))</f>
        <v>Unknown</v>
      </c>
      <c r="S241" s="97" t="str">
        <f>IF(ISNA(VLOOKUP($A241,Table3[],8,FALSE)),"None",VLOOKUP($A241,Table3[],8,FALSE))</f>
        <v>Floodway</v>
      </c>
      <c r="T241" s="98">
        <f>IF(ISNA(VLOOKUP($A241,Table3[],13,FALSE)),"Unknown",VLOOKUP($A241,Table3[],13,FALSE))</f>
        <v>15</v>
      </c>
      <c r="U241" s="99">
        <f>IF(ISNA(VLOOKUP($A241,Table3[],14,FALSE)),"Unknown",VLOOKUP($A241,Table3[],14,FALSE))</f>
        <v>0.375</v>
      </c>
      <c r="V241" s="98">
        <f>IF(ISNA(VLOOKUP($A241,Table3[],21,FALSE)),0,VLOOKUP($A241,Table3[],21,FALSE))</f>
        <v>36</v>
      </c>
      <c r="W241" s="99">
        <f>IF(ISNA(VLOOKUP($A241,Table3[],22,FALSE)),0,VLOOKUP($A241,Table3[],22,FALSE))</f>
        <v>0.9</v>
      </c>
    </row>
  </sheetData>
  <mergeCells count="3">
    <mergeCell ref="H2:L2"/>
    <mergeCell ref="M2:P2"/>
    <mergeCell ref="Q2:W2"/>
  </mergeCells>
  <phoneticPr fontId="18" type="noConversion"/>
  <pageMargins left="0.75" right="0.75" top="1" bottom="1" header="0.5" footer="0.5"/>
  <pageSetup orientation="landscape" horizontalDpi="4294967292" verticalDpi="4294967292"/>
  <drawing r:id="rId1"/>
  <tableParts count="1">
    <tablePart r:id="rId2"/>
  </tablePart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41"/>
  <sheetViews>
    <sheetView workbookViewId="0">
      <selection activeCell="A3" sqref="A3"/>
    </sheetView>
  </sheetViews>
  <sheetFormatPr defaultColWidth="8.85546875" defaultRowHeight="15" x14ac:dyDescent="0.25"/>
  <cols>
    <col min="1" max="1" width="10" style="13" customWidth="1"/>
    <col min="2" max="2" width="32" style="13" customWidth="1"/>
    <col min="3" max="3" width="11.42578125" style="13" customWidth="1"/>
    <col min="4" max="4" width="19.140625" style="13" bestFit="1" customWidth="1"/>
    <col min="5" max="5" width="32.85546875" style="13" customWidth="1"/>
    <col min="6" max="6" width="9" style="13" customWidth="1"/>
    <col min="7" max="7" width="11.85546875" style="13" customWidth="1"/>
    <col min="8" max="8" width="12.28515625" style="13" customWidth="1"/>
    <col min="9" max="9" width="15.140625" style="13" customWidth="1"/>
    <col min="10" max="11" width="13" style="13" customWidth="1"/>
    <col min="12" max="12" width="12" style="13" customWidth="1"/>
    <col min="13" max="13" width="24.85546875" style="13" customWidth="1"/>
    <col min="14" max="14" width="22" style="13" customWidth="1"/>
    <col min="15" max="15" width="16.28515625" style="13" customWidth="1"/>
    <col min="16" max="16" width="15.85546875" style="13" customWidth="1"/>
    <col min="17" max="17" width="8.140625" style="13" customWidth="1"/>
    <col min="18" max="18" width="9.7109375" style="13" customWidth="1"/>
    <col min="19" max="19" width="14.42578125" style="13" customWidth="1"/>
    <col min="20" max="20" width="12.42578125" style="13" customWidth="1"/>
    <col min="21" max="24" width="11" style="13" customWidth="1"/>
    <col min="25" max="25" width="13.140625" style="13" customWidth="1"/>
    <col min="26" max="26" width="11" style="13" customWidth="1"/>
    <col min="27" max="27" width="11" style="46" customWidth="1"/>
  </cols>
  <sheetData>
    <row r="1" spans="1:27" ht="18.75" x14ac:dyDescent="0.3">
      <c r="A1" s="1" t="s">
        <v>1832</v>
      </c>
    </row>
    <row r="2" spans="1:27" x14ac:dyDescent="0.25">
      <c r="A2" t="s">
        <v>1831</v>
      </c>
    </row>
    <row r="3" spans="1:27" s="2" customFormat="1" ht="45" x14ac:dyDescent="0.25">
      <c r="A3" s="3" t="s">
        <v>0</v>
      </c>
      <c r="B3" s="4" t="s">
        <v>788</v>
      </c>
      <c r="C3" s="4" t="s">
        <v>1</v>
      </c>
      <c r="D3" s="4" t="s">
        <v>814</v>
      </c>
      <c r="E3" s="4" t="s">
        <v>790</v>
      </c>
      <c r="F3" s="5" t="s">
        <v>791</v>
      </c>
      <c r="G3" s="4" t="s">
        <v>792</v>
      </c>
      <c r="H3" s="4" t="s">
        <v>793</v>
      </c>
      <c r="I3" s="4" t="s">
        <v>794</v>
      </c>
      <c r="J3" s="4" t="s">
        <v>795</v>
      </c>
      <c r="K3" s="4" t="s">
        <v>796</v>
      </c>
      <c r="L3" s="4" t="s">
        <v>797</v>
      </c>
      <c r="M3" s="4" t="s">
        <v>798</v>
      </c>
      <c r="N3" s="4" t="s">
        <v>799</v>
      </c>
      <c r="O3" s="4" t="s">
        <v>800</v>
      </c>
      <c r="P3" s="4" t="s">
        <v>801</v>
      </c>
      <c r="Q3" s="4" t="s">
        <v>802</v>
      </c>
      <c r="R3" s="5" t="s">
        <v>803</v>
      </c>
      <c r="S3" s="4" t="s">
        <v>804</v>
      </c>
      <c r="T3" s="4" t="s">
        <v>948</v>
      </c>
      <c r="U3" s="4" t="s">
        <v>805</v>
      </c>
      <c r="V3" s="4" t="s">
        <v>806</v>
      </c>
      <c r="W3" s="4" t="s">
        <v>807</v>
      </c>
      <c r="X3" s="4" t="s">
        <v>988</v>
      </c>
      <c r="Y3" s="4" t="s">
        <v>808</v>
      </c>
      <c r="Z3" s="4" t="s">
        <v>809</v>
      </c>
      <c r="AA3" s="47" t="s">
        <v>810</v>
      </c>
    </row>
    <row r="4" spans="1:27" x14ac:dyDescent="0.25">
      <c r="A4" s="25">
        <v>97</v>
      </c>
      <c r="B4" s="35" t="s">
        <v>1019</v>
      </c>
      <c r="C4" s="35" t="s">
        <v>2</v>
      </c>
      <c r="D4" s="35" t="s">
        <v>3</v>
      </c>
      <c r="E4" s="35" t="s">
        <v>1547</v>
      </c>
      <c r="F4" s="35" t="s">
        <v>4</v>
      </c>
      <c r="G4" s="35">
        <v>1968</v>
      </c>
      <c r="H4" s="35"/>
      <c r="I4" s="35" t="s">
        <v>1019</v>
      </c>
      <c r="J4" s="35" t="s">
        <v>7</v>
      </c>
      <c r="K4" s="35" t="s">
        <v>5</v>
      </c>
      <c r="L4" s="35" t="s">
        <v>6</v>
      </c>
      <c r="M4" s="35" t="s">
        <v>1019</v>
      </c>
      <c r="N4" s="35" t="s">
        <v>8</v>
      </c>
      <c r="O4" s="35"/>
      <c r="P4" s="35" t="s">
        <v>3</v>
      </c>
      <c r="Q4" s="35" t="s">
        <v>9</v>
      </c>
      <c r="R4" s="35" t="s">
        <v>4</v>
      </c>
      <c r="S4" s="35" t="s">
        <v>7</v>
      </c>
      <c r="T4" s="35" t="s">
        <v>822</v>
      </c>
      <c r="U4" s="35">
        <v>9</v>
      </c>
      <c r="V4" s="35">
        <v>9</v>
      </c>
      <c r="W4" s="35">
        <v>0</v>
      </c>
      <c r="X4" s="35">
        <v>9</v>
      </c>
      <c r="Y4" s="35">
        <v>0</v>
      </c>
      <c r="Z4" s="35">
        <v>0</v>
      </c>
      <c r="AA4" s="113">
        <v>0</v>
      </c>
    </row>
    <row r="5" spans="1:27" x14ac:dyDescent="0.25">
      <c r="A5" s="25">
        <v>86</v>
      </c>
      <c r="B5" s="35" t="s">
        <v>17</v>
      </c>
      <c r="C5" s="35" t="s">
        <v>2</v>
      </c>
      <c r="D5" s="35" t="s">
        <v>3</v>
      </c>
      <c r="E5" s="35" t="s">
        <v>18</v>
      </c>
      <c r="F5" s="35" t="s">
        <v>4</v>
      </c>
      <c r="G5" s="35">
        <v>1959</v>
      </c>
      <c r="H5" s="35"/>
      <c r="I5" s="35" t="s">
        <v>1324</v>
      </c>
      <c r="J5" s="35" t="s">
        <v>11</v>
      </c>
      <c r="K5" s="35"/>
      <c r="L5" s="35"/>
      <c r="M5" s="35" t="s">
        <v>1601</v>
      </c>
      <c r="N5" s="35" t="s">
        <v>12</v>
      </c>
      <c r="O5" s="35"/>
      <c r="P5" s="35" t="s">
        <v>13</v>
      </c>
      <c r="Q5" s="35" t="s">
        <v>9</v>
      </c>
      <c r="R5" s="35" t="s">
        <v>14</v>
      </c>
      <c r="S5" s="35" t="s">
        <v>11</v>
      </c>
      <c r="T5" s="35" t="s">
        <v>829</v>
      </c>
      <c r="U5" s="35">
        <v>45</v>
      </c>
      <c r="V5" s="35">
        <v>45</v>
      </c>
      <c r="W5" s="35">
        <v>0</v>
      </c>
      <c r="X5" s="35">
        <v>0</v>
      </c>
      <c r="Y5" s="35">
        <v>45</v>
      </c>
      <c r="Z5" s="35">
        <v>0</v>
      </c>
      <c r="AA5" s="113">
        <v>335</v>
      </c>
    </row>
    <row r="6" spans="1:27" x14ac:dyDescent="0.25">
      <c r="A6" s="25">
        <v>87</v>
      </c>
      <c r="B6" s="35" t="s">
        <v>15</v>
      </c>
      <c r="C6" s="35" t="s">
        <v>2</v>
      </c>
      <c r="D6" s="35" t="s">
        <v>3</v>
      </c>
      <c r="E6" s="35" t="s">
        <v>16</v>
      </c>
      <c r="F6" s="35" t="s">
        <v>4</v>
      </c>
      <c r="G6" s="35">
        <v>1960</v>
      </c>
      <c r="H6" s="35"/>
      <c r="I6" s="35" t="s">
        <v>1324</v>
      </c>
      <c r="J6" s="35" t="s">
        <v>11</v>
      </c>
      <c r="K6" s="35"/>
      <c r="L6" s="35"/>
      <c r="M6" s="35" t="s">
        <v>1601</v>
      </c>
      <c r="N6" s="35" t="s">
        <v>12</v>
      </c>
      <c r="O6" s="35"/>
      <c r="P6" s="35" t="s">
        <v>13</v>
      </c>
      <c r="Q6" s="35" t="s">
        <v>9</v>
      </c>
      <c r="R6" s="35" t="s">
        <v>14</v>
      </c>
      <c r="S6" s="35" t="s">
        <v>11</v>
      </c>
      <c r="T6" s="35" t="s">
        <v>829</v>
      </c>
      <c r="U6" s="35">
        <v>9</v>
      </c>
      <c r="V6" s="35">
        <v>9</v>
      </c>
      <c r="W6" s="35">
        <v>0</v>
      </c>
      <c r="X6" s="35">
        <v>0</v>
      </c>
      <c r="Y6" s="35">
        <v>9</v>
      </c>
      <c r="Z6" s="35">
        <v>0</v>
      </c>
      <c r="AA6" s="113">
        <v>250</v>
      </c>
    </row>
    <row r="7" spans="1:27" x14ac:dyDescent="0.25">
      <c r="A7" s="25">
        <v>263</v>
      </c>
      <c r="B7" s="35" t="s">
        <v>1192</v>
      </c>
      <c r="C7" s="35" t="s">
        <v>2</v>
      </c>
      <c r="D7" s="35" t="s">
        <v>3</v>
      </c>
      <c r="E7" s="35" t="s">
        <v>10</v>
      </c>
      <c r="F7" s="35" t="s">
        <v>4</v>
      </c>
      <c r="G7" s="35">
        <v>1985</v>
      </c>
      <c r="H7" s="35"/>
      <c r="I7" s="35" t="s">
        <v>1324</v>
      </c>
      <c r="J7" s="35" t="s">
        <v>11</v>
      </c>
      <c r="K7" s="35"/>
      <c r="L7" s="35"/>
      <c r="M7" s="35" t="s">
        <v>1601</v>
      </c>
      <c r="N7" s="35" t="s">
        <v>12</v>
      </c>
      <c r="O7" s="35"/>
      <c r="P7" s="35" t="s">
        <v>13</v>
      </c>
      <c r="Q7" s="35" t="s">
        <v>9</v>
      </c>
      <c r="R7" s="35" t="s">
        <v>14</v>
      </c>
      <c r="S7" s="35" t="s">
        <v>11</v>
      </c>
      <c r="T7" s="35" t="s">
        <v>829</v>
      </c>
      <c r="U7" s="35">
        <v>9</v>
      </c>
      <c r="V7" s="35">
        <v>9</v>
      </c>
      <c r="W7" s="35">
        <v>0</v>
      </c>
      <c r="X7" s="35">
        <v>0</v>
      </c>
      <c r="Y7" s="35">
        <v>9</v>
      </c>
      <c r="Z7" s="35">
        <v>0</v>
      </c>
      <c r="AA7" s="113">
        <v>335</v>
      </c>
    </row>
    <row r="8" spans="1:27" x14ac:dyDescent="0.25">
      <c r="A8" s="25">
        <v>293</v>
      </c>
      <c r="B8" s="35" t="s">
        <v>1198</v>
      </c>
      <c r="C8" s="35" t="s">
        <v>2</v>
      </c>
      <c r="D8" s="35" t="s">
        <v>22</v>
      </c>
      <c r="E8" s="35" t="s">
        <v>29</v>
      </c>
      <c r="F8" s="35" t="s">
        <v>23</v>
      </c>
      <c r="G8" s="35">
        <v>1965</v>
      </c>
      <c r="H8" s="35" t="s">
        <v>1386</v>
      </c>
      <c r="I8" s="35" t="s">
        <v>1387</v>
      </c>
      <c r="J8" s="35" t="s">
        <v>30</v>
      </c>
      <c r="K8" s="35"/>
      <c r="L8" s="35"/>
      <c r="M8" s="35" t="s">
        <v>31</v>
      </c>
      <c r="N8" s="35" t="s">
        <v>32</v>
      </c>
      <c r="O8" s="35"/>
      <c r="P8" s="35" t="s">
        <v>22</v>
      </c>
      <c r="Q8" s="35" t="s">
        <v>9</v>
      </c>
      <c r="R8" s="35" t="s">
        <v>23</v>
      </c>
      <c r="S8" s="35" t="s">
        <v>30</v>
      </c>
      <c r="T8" s="35" t="s">
        <v>822</v>
      </c>
      <c r="U8" s="35">
        <v>2</v>
      </c>
      <c r="V8" s="35">
        <v>2</v>
      </c>
      <c r="W8" s="35">
        <v>0</v>
      </c>
      <c r="X8" s="35">
        <v>2</v>
      </c>
      <c r="Y8" s="35">
        <v>0</v>
      </c>
      <c r="Z8" s="35">
        <v>0</v>
      </c>
      <c r="AA8" s="113">
        <v>0</v>
      </c>
    </row>
    <row r="9" spans="1:27" x14ac:dyDescent="0.25">
      <c r="A9" s="25">
        <v>80</v>
      </c>
      <c r="B9" s="35" t="s">
        <v>1112</v>
      </c>
      <c r="C9" s="35" t="s">
        <v>2</v>
      </c>
      <c r="D9" s="35" t="s">
        <v>22</v>
      </c>
      <c r="E9" s="35" t="s">
        <v>10</v>
      </c>
      <c r="F9" s="35" t="s">
        <v>23</v>
      </c>
      <c r="G9" s="35">
        <v>1968</v>
      </c>
      <c r="H9" s="35"/>
      <c r="I9" s="35" t="s">
        <v>1324</v>
      </c>
      <c r="J9" s="35" t="s">
        <v>11</v>
      </c>
      <c r="K9" s="35"/>
      <c r="L9" s="35"/>
      <c r="M9" s="35" t="s">
        <v>1601</v>
      </c>
      <c r="N9" s="35" t="s">
        <v>12</v>
      </c>
      <c r="O9" s="35"/>
      <c r="P9" s="35" t="s">
        <v>13</v>
      </c>
      <c r="Q9" s="35" t="s">
        <v>9</v>
      </c>
      <c r="R9" s="35" t="s">
        <v>14</v>
      </c>
      <c r="S9" s="35" t="s">
        <v>11</v>
      </c>
      <c r="T9" s="35" t="s">
        <v>829</v>
      </c>
      <c r="U9" s="35">
        <v>67</v>
      </c>
      <c r="V9" s="35">
        <v>67</v>
      </c>
      <c r="W9" s="35">
        <v>0</v>
      </c>
      <c r="X9" s="35">
        <v>0</v>
      </c>
      <c r="Y9" s="35">
        <v>67</v>
      </c>
      <c r="Z9" s="35">
        <v>0</v>
      </c>
      <c r="AA9" s="113">
        <v>363</v>
      </c>
    </row>
    <row r="10" spans="1:27" x14ac:dyDescent="0.25">
      <c r="A10" s="25">
        <v>315</v>
      </c>
      <c r="B10" s="35" t="s">
        <v>25</v>
      </c>
      <c r="C10" s="35" t="s">
        <v>2</v>
      </c>
      <c r="D10" s="35" t="s">
        <v>22</v>
      </c>
      <c r="E10" s="35" t="s">
        <v>26</v>
      </c>
      <c r="F10" s="35" t="s">
        <v>23</v>
      </c>
      <c r="G10" s="35">
        <v>1978</v>
      </c>
      <c r="H10" s="35" t="s">
        <v>84</v>
      </c>
      <c r="I10" s="35" t="s">
        <v>27</v>
      </c>
      <c r="J10" s="35" t="s">
        <v>1020</v>
      </c>
      <c r="K10" s="35" t="s">
        <v>84</v>
      </c>
      <c r="L10" s="35" t="s">
        <v>27</v>
      </c>
      <c r="M10" s="35"/>
      <c r="N10" s="35" t="s">
        <v>1021</v>
      </c>
      <c r="O10" s="35"/>
      <c r="P10" s="35" t="s">
        <v>22</v>
      </c>
      <c r="Q10" s="35" t="s">
        <v>9</v>
      </c>
      <c r="R10" s="35" t="s">
        <v>23</v>
      </c>
      <c r="S10" s="35" t="s">
        <v>1020</v>
      </c>
      <c r="T10" s="35" t="s">
        <v>822</v>
      </c>
      <c r="U10" s="35">
        <v>4</v>
      </c>
      <c r="V10" s="35">
        <v>4</v>
      </c>
      <c r="W10" s="35">
        <v>0</v>
      </c>
      <c r="X10" s="35">
        <v>2</v>
      </c>
      <c r="Y10" s="35">
        <v>2</v>
      </c>
      <c r="Z10" s="35">
        <v>0</v>
      </c>
      <c r="AA10" s="113">
        <v>300</v>
      </c>
    </row>
    <row r="11" spans="1:27" x14ac:dyDescent="0.25">
      <c r="A11" s="25">
        <v>90</v>
      </c>
      <c r="B11" s="35" t="s">
        <v>33</v>
      </c>
      <c r="C11" s="35" t="s">
        <v>2</v>
      </c>
      <c r="D11" s="35" t="s">
        <v>34</v>
      </c>
      <c r="E11" s="35" t="s">
        <v>35</v>
      </c>
      <c r="F11" s="35" t="s">
        <v>36</v>
      </c>
      <c r="G11" s="35">
        <v>1970</v>
      </c>
      <c r="H11" s="35"/>
      <c r="I11" s="35" t="s">
        <v>1324</v>
      </c>
      <c r="J11" s="35" t="s">
        <v>11</v>
      </c>
      <c r="K11" s="35"/>
      <c r="L11" s="35"/>
      <c r="M11" s="35" t="s">
        <v>1601</v>
      </c>
      <c r="N11" s="35" t="s">
        <v>12</v>
      </c>
      <c r="O11" s="35"/>
      <c r="P11" s="35" t="s">
        <v>13</v>
      </c>
      <c r="Q11" s="35" t="s">
        <v>9</v>
      </c>
      <c r="R11" s="35" t="s">
        <v>14</v>
      </c>
      <c r="S11" s="35" t="s">
        <v>11</v>
      </c>
      <c r="T11" s="35" t="s">
        <v>829</v>
      </c>
      <c r="U11" s="35">
        <v>9</v>
      </c>
      <c r="V11" s="35">
        <v>9</v>
      </c>
      <c r="W11" s="35">
        <v>0</v>
      </c>
      <c r="X11" s="35">
        <v>0</v>
      </c>
      <c r="Y11" s="35">
        <v>9</v>
      </c>
      <c r="Z11" s="35">
        <v>0</v>
      </c>
      <c r="AA11" s="113">
        <v>395</v>
      </c>
    </row>
    <row r="12" spans="1:27" x14ac:dyDescent="0.25">
      <c r="A12" s="25">
        <v>185</v>
      </c>
      <c r="B12" s="35" t="s">
        <v>1174</v>
      </c>
      <c r="C12" s="35" t="s">
        <v>2</v>
      </c>
      <c r="D12" s="35" t="s">
        <v>37</v>
      </c>
      <c r="E12" s="35" t="s">
        <v>1259</v>
      </c>
      <c r="F12" s="35" t="s">
        <v>38</v>
      </c>
      <c r="G12" s="35">
        <v>1983</v>
      </c>
      <c r="H12" s="35" t="s">
        <v>39</v>
      </c>
      <c r="I12" s="35" t="s">
        <v>40</v>
      </c>
      <c r="J12" s="35" t="s">
        <v>41</v>
      </c>
      <c r="K12" s="35" t="s">
        <v>39</v>
      </c>
      <c r="L12" s="35" t="s">
        <v>40</v>
      </c>
      <c r="M12" s="35"/>
      <c r="N12" s="35" t="s">
        <v>42</v>
      </c>
      <c r="O12" s="35"/>
      <c r="P12" s="35" t="s">
        <v>43</v>
      </c>
      <c r="Q12" s="35" t="s">
        <v>9</v>
      </c>
      <c r="R12" s="35" t="s">
        <v>28</v>
      </c>
      <c r="S12" s="35" t="s">
        <v>41</v>
      </c>
      <c r="T12" s="35" t="s">
        <v>822</v>
      </c>
      <c r="U12" s="35">
        <v>4</v>
      </c>
      <c r="V12" s="35">
        <v>4</v>
      </c>
      <c r="W12" s="35">
        <v>0</v>
      </c>
      <c r="X12" s="35">
        <v>1</v>
      </c>
      <c r="Y12" s="35">
        <v>3</v>
      </c>
      <c r="Z12" s="35">
        <v>0</v>
      </c>
      <c r="AA12" s="113">
        <v>160</v>
      </c>
    </row>
    <row r="13" spans="1:27" x14ac:dyDescent="0.25">
      <c r="A13" s="25">
        <v>114</v>
      </c>
      <c r="B13" s="35" t="s">
        <v>1125</v>
      </c>
      <c r="C13" s="35" t="s">
        <v>2</v>
      </c>
      <c r="D13" s="35" t="s">
        <v>44</v>
      </c>
      <c r="E13" s="35" t="s">
        <v>10</v>
      </c>
      <c r="F13" s="35" t="s">
        <v>45</v>
      </c>
      <c r="G13" s="35">
        <v>1969</v>
      </c>
      <c r="H13" s="35"/>
      <c r="I13" s="35" t="s">
        <v>1324</v>
      </c>
      <c r="J13" s="35" t="s">
        <v>11</v>
      </c>
      <c r="K13" s="35"/>
      <c r="L13" s="35"/>
      <c r="M13" s="35" t="s">
        <v>1601</v>
      </c>
      <c r="N13" s="35" t="s">
        <v>12</v>
      </c>
      <c r="O13" s="35"/>
      <c r="P13" s="35" t="s">
        <v>13</v>
      </c>
      <c r="Q13" s="35" t="s">
        <v>9</v>
      </c>
      <c r="R13" s="35" t="s">
        <v>14</v>
      </c>
      <c r="S13" s="35" t="s">
        <v>11</v>
      </c>
      <c r="T13" s="35" t="s">
        <v>829</v>
      </c>
      <c r="U13" s="35">
        <v>48</v>
      </c>
      <c r="V13" s="35">
        <v>48</v>
      </c>
      <c r="W13" s="35">
        <v>0</v>
      </c>
      <c r="X13" s="35">
        <v>0</v>
      </c>
      <c r="Y13" s="35">
        <v>48</v>
      </c>
      <c r="Z13" s="35">
        <v>0</v>
      </c>
      <c r="AA13" s="113">
        <v>377</v>
      </c>
    </row>
    <row r="14" spans="1:27" x14ac:dyDescent="0.25">
      <c r="A14" s="25">
        <v>217</v>
      </c>
      <c r="B14" s="35" t="s">
        <v>48</v>
      </c>
      <c r="C14" s="35" t="s">
        <v>2</v>
      </c>
      <c r="D14" s="35" t="s">
        <v>44</v>
      </c>
      <c r="E14" s="35" t="s">
        <v>49</v>
      </c>
      <c r="F14" s="35" t="s">
        <v>45</v>
      </c>
      <c r="G14" s="35">
        <v>1960</v>
      </c>
      <c r="H14" s="35"/>
      <c r="I14" s="35" t="s">
        <v>1324</v>
      </c>
      <c r="J14" s="35" t="s">
        <v>11</v>
      </c>
      <c r="K14" s="35"/>
      <c r="L14" s="35"/>
      <c r="M14" s="35" t="s">
        <v>1601</v>
      </c>
      <c r="N14" s="35" t="s">
        <v>12</v>
      </c>
      <c r="O14" s="35"/>
      <c r="P14" s="35" t="s">
        <v>13</v>
      </c>
      <c r="Q14" s="35" t="s">
        <v>9</v>
      </c>
      <c r="R14" s="35" t="s">
        <v>14</v>
      </c>
      <c r="S14" s="35" t="s">
        <v>11</v>
      </c>
      <c r="T14" s="35" t="s">
        <v>829</v>
      </c>
      <c r="U14" s="35">
        <v>29</v>
      </c>
      <c r="V14" s="35">
        <v>25</v>
      </c>
      <c r="W14" s="35">
        <v>4</v>
      </c>
      <c r="X14" s="35">
        <v>0</v>
      </c>
      <c r="Y14" s="35">
        <v>29</v>
      </c>
      <c r="Z14" s="35">
        <v>0</v>
      </c>
      <c r="AA14" s="113">
        <v>360</v>
      </c>
    </row>
    <row r="15" spans="1:27" x14ac:dyDescent="0.25">
      <c r="A15" s="25">
        <v>218</v>
      </c>
      <c r="B15" s="35" t="s">
        <v>47</v>
      </c>
      <c r="C15" s="35" t="s">
        <v>2</v>
      </c>
      <c r="D15" s="35" t="s">
        <v>44</v>
      </c>
      <c r="E15" s="35" t="s">
        <v>35</v>
      </c>
      <c r="F15" s="35" t="s">
        <v>45</v>
      </c>
      <c r="G15" s="35">
        <v>1960</v>
      </c>
      <c r="H15" s="35" t="s">
        <v>1680</v>
      </c>
      <c r="I15" s="35" t="s">
        <v>1324</v>
      </c>
      <c r="J15" s="35" t="s">
        <v>11</v>
      </c>
      <c r="K15" s="35"/>
      <c r="L15" s="35"/>
      <c r="M15" s="35" t="s">
        <v>1601</v>
      </c>
      <c r="N15" s="35" t="s">
        <v>12</v>
      </c>
      <c r="O15" s="35"/>
      <c r="P15" s="35" t="s">
        <v>13</v>
      </c>
      <c r="Q15" s="35" t="s">
        <v>9</v>
      </c>
      <c r="R15" s="35" t="s">
        <v>14</v>
      </c>
      <c r="S15" s="35" t="s">
        <v>11</v>
      </c>
      <c r="T15" s="35" t="s">
        <v>829</v>
      </c>
      <c r="U15" s="35">
        <v>51</v>
      </c>
      <c r="V15" s="35">
        <v>48</v>
      </c>
      <c r="W15" s="35">
        <v>3</v>
      </c>
      <c r="X15" s="35">
        <v>1</v>
      </c>
      <c r="Y15" s="35">
        <v>48</v>
      </c>
      <c r="Z15" s="35">
        <v>0</v>
      </c>
      <c r="AA15" s="113">
        <v>320</v>
      </c>
    </row>
    <row r="16" spans="1:27" x14ac:dyDescent="0.25">
      <c r="A16" s="25">
        <v>219</v>
      </c>
      <c r="B16" s="35" t="s">
        <v>50</v>
      </c>
      <c r="C16" s="35" t="s">
        <v>2</v>
      </c>
      <c r="D16" s="35" t="s">
        <v>13</v>
      </c>
      <c r="E16" s="35" t="s">
        <v>51</v>
      </c>
      <c r="F16" s="35" t="s">
        <v>14</v>
      </c>
      <c r="G16" s="35">
        <v>1960</v>
      </c>
      <c r="H16" s="35"/>
      <c r="I16" s="35" t="s">
        <v>1324</v>
      </c>
      <c r="J16" s="35" t="s">
        <v>11</v>
      </c>
      <c r="K16" s="35"/>
      <c r="L16" s="35"/>
      <c r="M16" s="35" t="s">
        <v>1601</v>
      </c>
      <c r="N16" s="35" t="s">
        <v>12</v>
      </c>
      <c r="O16" s="35"/>
      <c r="P16" s="35" t="s">
        <v>13</v>
      </c>
      <c r="Q16" s="35" t="s">
        <v>9</v>
      </c>
      <c r="R16" s="35" t="s">
        <v>14</v>
      </c>
      <c r="S16" s="35" t="s">
        <v>11</v>
      </c>
      <c r="T16" s="35" t="s">
        <v>829</v>
      </c>
      <c r="U16" s="35">
        <v>73</v>
      </c>
      <c r="V16" s="35">
        <v>73</v>
      </c>
      <c r="W16" s="35">
        <v>0</v>
      </c>
      <c r="X16" s="35">
        <v>0</v>
      </c>
      <c r="Y16" s="35">
        <v>73</v>
      </c>
      <c r="Z16" s="35">
        <v>0</v>
      </c>
      <c r="AA16" s="113">
        <v>370</v>
      </c>
    </row>
    <row r="17" spans="1:27" x14ac:dyDescent="0.25">
      <c r="A17" s="25">
        <v>116</v>
      </c>
      <c r="B17" s="35" t="s">
        <v>52</v>
      </c>
      <c r="C17" s="35" t="s">
        <v>2</v>
      </c>
      <c r="D17" s="35" t="s">
        <v>53</v>
      </c>
      <c r="E17" s="35" t="s">
        <v>54</v>
      </c>
      <c r="F17" s="35" t="s">
        <v>14</v>
      </c>
      <c r="G17" s="35">
        <v>1966</v>
      </c>
      <c r="H17" s="35"/>
      <c r="I17" s="35" t="s">
        <v>52</v>
      </c>
      <c r="J17" s="35" t="s">
        <v>56</v>
      </c>
      <c r="K17" s="35" t="s">
        <v>1681</v>
      </c>
      <c r="L17" s="35" t="s">
        <v>55</v>
      </c>
      <c r="M17" s="35"/>
      <c r="N17" s="35" t="s">
        <v>54</v>
      </c>
      <c r="O17" s="35"/>
      <c r="P17" s="35" t="s">
        <v>13</v>
      </c>
      <c r="Q17" s="35" t="s">
        <v>9</v>
      </c>
      <c r="R17" s="35" t="s">
        <v>14</v>
      </c>
      <c r="S17" s="35"/>
      <c r="T17" s="35" t="s">
        <v>822</v>
      </c>
      <c r="U17" s="35">
        <v>23</v>
      </c>
      <c r="V17" s="35">
        <v>23</v>
      </c>
      <c r="W17" s="35">
        <v>0</v>
      </c>
      <c r="X17" s="35">
        <v>0</v>
      </c>
      <c r="Y17" s="35">
        <v>23</v>
      </c>
      <c r="Z17" s="35">
        <v>0</v>
      </c>
      <c r="AA17" s="113">
        <v>275</v>
      </c>
    </row>
    <row r="18" spans="1:27" x14ac:dyDescent="0.25">
      <c r="A18" s="25">
        <v>206</v>
      </c>
      <c r="B18" s="35" t="s">
        <v>1180</v>
      </c>
      <c r="C18" s="35" t="s">
        <v>57</v>
      </c>
      <c r="D18" s="35" t="s">
        <v>58</v>
      </c>
      <c r="E18" s="35" t="s">
        <v>59</v>
      </c>
      <c r="F18" s="35" t="s">
        <v>60</v>
      </c>
      <c r="G18" s="35">
        <v>1970</v>
      </c>
      <c r="H18" s="35" t="s">
        <v>61</v>
      </c>
      <c r="I18" s="35" t="s">
        <v>62</v>
      </c>
      <c r="J18" s="35" t="s">
        <v>1354</v>
      </c>
      <c r="K18" s="35" t="s">
        <v>63</v>
      </c>
      <c r="L18" s="35" t="s">
        <v>64</v>
      </c>
      <c r="M18" s="35"/>
      <c r="N18" s="35" t="s">
        <v>1022</v>
      </c>
      <c r="O18" s="35" t="s">
        <v>1023</v>
      </c>
      <c r="P18" s="35" t="s">
        <v>1024</v>
      </c>
      <c r="Q18" s="35" t="s">
        <v>1025</v>
      </c>
      <c r="R18" s="35" t="s">
        <v>1026</v>
      </c>
      <c r="S18" s="35" t="s">
        <v>1602</v>
      </c>
      <c r="T18" s="35" t="s">
        <v>822</v>
      </c>
      <c r="U18" s="35">
        <v>5</v>
      </c>
      <c r="V18" s="35">
        <v>1</v>
      </c>
      <c r="W18" s="35">
        <v>1</v>
      </c>
      <c r="X18" s="35">
        <v>3</v>
      </c>
      <c r="Y18" s="35">
        <v>1</v>
      </c>
      <c r="Z18" s="35">
        <v>0</v>
      </c>
      <c r="AA18" s="113">
        <v>150</v>
      </c>
    </row>
    <row r="19" spans="1:27" x14ac:dyDescent="0.25">
      <c r="A19" s="25">
        <v>203</v>
      </c>
      <c r="B19" s="35" t="s">
        <v>75</v>
      </c>
      <c r="C19" s="35" t="s">
        <v>57</v>
      </c>
      <c r="D19" s="35" t="s">
        <v>57</v>
      </c>
      <c r="E19" s="35" t="s">
        <v>76</v>
      </c>
      <c r="F19" s="35" t="s">
        <v>66</v>
      </c>
      <c r="G19" s="35">
        <v>1965</v>
      </c>
      <c r="H19" s="35" t="s">
        <v>1290</v>
      </c>
      <c r="I19" s="35" t="s">
        <v>1603</v>
      </c>
      <c r="J19" s="35" t="s">
        <v>1604</v>
      </c>
      <c r="K19" s="35"/>
      <c r="L19" s="35"/>
      <c r="M19" s="35" t="s">
        <v>77</v>
      </c>
      <c r="N19" s="35" t="s">
        <v>1388</v>
      </c>
      <c r="O19" s="35" t="s">
        <v>78</v>
      </c>
      <c r="P19" s="35" t="s">
        <v>79</v>
      </c>
      <c r="Q19" s="35" t="s">
        <v>80</v>
      </c>
      <c r="R19" s="35" t="s">
        <v>81</v>
      </c>
      <c r="S19" s="35" t="s">
        <v>82</v>
      </c>
      <c r="T19" s="35" t="s">
        <v>822</v>
      </c>
      <c r="U19" s="35">
        <v>115</v>
      </c>
      <c r="V19" s="35">
        <v>113</v>
      </c>
      <c r="W19" s="35">
        <v>2</v>
      </c>
      <c r="X19" s="35">
        <v>56</v>
      </c>
      <c r="Y19" s="35">
        <v>59</v>
      </c>
      <c r="Z19" s="35">
        <v>0</v>
      </c>
      <c r="AA19" s="113">
        <v>447</v>
      </c>
    </row>
    <row r="20" spans="1:27" x14ac:dyDescent="0.25">
      <c r="A20" s="25">
        <v>3</v>
      </c>
      <c r="B20" s="35" t="s">
        <v>1082</v>
      </c>
      <c r="C20" s="35" t="s">
        <v>57</v>
      </c>
      <c r="D20" s="35" t="s">
        <v>57</v>
      </c>
      <c r="E20" s="35" t="s">
        <v>102</v>
      </c>
      <c r="F20" s="35" t="s">
        <v>66</v>
      </c>
      <c r="G20" s="35">
        <v>1950</v>
      </c>
      <c r="H20" s="35"/>
      <c r="I20" s="35"/>
      <c r="J20" s="35"/>
      <c r="K20" s="35"/>
      <c r="L20" s="35"/>
      <c r="M20" s="35" t="s">
        <v>1682</v>
      </c>
      <c r="N20" s="35"/>
      <c r="O20" s="35" t="s">
        <v>105</v>
      </c>
      <c r="P20" s="35" t="s">
        <v>106</v>
      </c>
      <c r="Q20" s="35" t="s">
        <v>107</v>
      </c>
      <c r="R20" s="35" t="s">
        <v>108</v>
      </c>
      <c r="S20" s="35" t="s">
        <v>104</v>
      </c>
      <c r="T20" s="35" t="s">
        <v>822</v>
      </c>
      <c r="U20" s="35">
        <v>36</v>
      </c>
      <c r="V20" s="35">
        <v>20</v>
      </c>
      <c r="W20" s="35">
        <v>16</v>
      </c>
      <c r="X20" s="35">
        <v>1</v>
      </c>
      <c r="Y20" s="35">
        <v>20</v>
      </c>
      <c r="Z20" s="35">
        <v>0</v>
      </c>
      <c r="AA20" s="113">
        <v>346</v>
      </c>
    </row>
    <row r="21" spans="1:27" x14ac:dyDescent="0.25">
      <c r="A21" s="25">
        <v>47</v>
      </c>
      <c r="B21" s="35" t="s">
        <v>1104</v>
      </c>
      <c r="C21" s="35" t="s">
        <v>57</v>
      </c>
      <c r="D21" s="35" t="s">
        <v>57</v>
      </c>
      <c r="E21" s="35" t="s">
        <v>90</v>
      </c>
      <c r="F21" s="35" t="s">
        <v>66</v>
      </c>
      <c r="G21" s="35">
        <v>1968</v>
      </c>
      <c r="H21" s="35"/>
      <c r="I21" s="35" t="s">
        <v>1683</v>
      </c>
      <c r="J21" s="35" t="s">
        <v>93</v>
      </c>
      <c r="K21" s="35" t="s">
        <v>91</v>
      </c>
      <c r="L21" s="35" t="s">
        <v>92</v>
      </c>
      <c r="M21" s="35"/>
      <c r="N21" s="35" t="s">
        <v>94</v>
      </c>
      <c r="O21" s="35" t="s">
        <v>95</v>
      </c>
      <c r="P21" s="35" t="s">
        <v>57</v>
      </c>
      <c r="Q21" s="35" t="s">
        <v>9</v>
      </c>
      <c r="R21" s="35" t="s">
        <v>66</v>
      </c>
      <c r="S21" s="35" t="s">
        <v>93</v>
      </c>
      <c r="T21" s="35" t="s">
        <v>822</v>
      </c>
      <c r="U21" s="35">
        <v>22</v>
      </c>
      <c r="V21" s="35">
        <v>21</v>
      </c>
      <c r="W21" s="35">
        <v>1</v>
      </c>
      <c r="X21" s="35">
        <v>10</v>
      </c>
      <c r="Y21" s="35">
        <v>12</v>
      </c>
      <c r="Z21" s="35">
        <v>0</v>
      </c>
      <c r="AA21" s="113">
        <v>320</v>
      </c>
    </row>
    <row r="22" spans="1:27" x14ac:dyDescent="0.25">
      <c r="A22" s="25">
        <v>202</v>
      </c>
      <c r="B22" s="35" t="s">
        <v>1179</v>
      </c>
      <c r="C22" s="35" t="s">
        <v>57</v>
      </c>
      <c r="D22" s="35" t="s">
        <v>57</v>
      </c>
      <c r="E22" s="35" t="s">
        <v>87</v>
      </c>
      <c r="F22" s="35" t="s">
        <v>66</v>
      </c>
      <c r="G22" s="35">
        <v>1960</v>
      </c>
      <c r="H22" s="35" t="s">
        <v>1389</v>
      </c>
      <c r="I22" s="35" t="s">
        <v>1390</v>
      </c>
      <c r="J22" s="35" t="s">
        <v>1391</v>
      </c>
      <c r="K22" s="35"/>
      <c r="L22" s="35"/>
      <c r="M22" s="35" t="s">
        <v>77</v>
      </c>
      <c r="N22" s="35" t="s">
        <v>1388</v>
      </c>
      <c r="O22" s="35" t="s">
        <v>78</v>
      </c>
      <c r="P22" s="35" t="s">
        <v>79</v>
      </c>
      <c r="Q22" s="35" t="s">
        <v>80</v>
      </c>
      <c r="R22" s="35" t="s">
        <v>81</v>
      </c>
      <c r="S22" s="35" t="s">
        <v>82</v>
      </c>
      <c r="T22" s="35" t="s">
        <v>822</v>
      </c>
      <c r="U22" s="35">
        <v>38</v>
      </c>
      <c r="V22" s="35">
        <v>38</v>
      </c>
      <c r="W22" s="35">
        <v>0</v>
      </c>
      <c r="X22" s="35">
        <v>21</v>
      </c>
      <c r="Y22" s="35">
        <v>17</v>
      </c>
      <c r="Z22" s="35">
        <v>0</v>
      </c>
      <c r="AA22" s="113">
        <v>440</v>
      </c>
    </row>
    <row r="23" spans="1:27" x14ac:dyDescent="0.25">
      <c r="A23" s="25">
        <v>46</v>
      </c>
      <c r="B23" s="35" t="s">
        <v>1103</v>
      </c>
      <c r="C23" s="35" t="s">
        <v>57</v>
      </c>
      <c r="D23" s="35" t="s">
        <v>57</v>
      </c>
      <c r="E23" s="35" t="s">
        <v>96</v>
      </c>
      <c r="F23" s="35" t="s">
        <v>66</v>
      </c>
      <c r="G23" s="35">
        <v>1962</v>
      </c>
      <c r="H23" s="35"/>
      <c r="I23" s="35" t="s">
        <v>1684</v>
      </c>
      <c r="J23" s="35" t="s">
        <v>98</v>
      </c>
      <c r="K23" s="35"/>
      <c r="L23" s="35"/>
      <c r="M23" s="35" t="s">
        <v>99</v>
      </c>
      <c r="N23" s="35" t="s">
        <v>1099</v>
      </c>
      <c r="O23" s="35"/>
      <c r="P23" s="35" t="s">
        <v>100</v>
      </c>
      <c r="Q23" s="35" t="s">
        <v>9</v>
      </c>
      <c r="R23" s="35" t="s">
        <v>608</v>
      </c>
      <c r="S23" s="35" t="s">
        <v>1028</v>
      </c>
      <c r="T23" s="35" t="s">
        <v>829</v>
      </c>
      <c r="U23" s="35">
        <v>20</v>
      </c>
      <c r="V23" s="35">
        <v>10</v>
      </c>
      <c r="W23" s="35">
        <v>9</v>
      </c>
      <c r="X23" s="35">
        <v>1</v>
      </c>
      <c r="Y23" s="35">
        <v>10</v>
      </c>
      <c r="Z23" s="35">
        <v>0</v>
      </c>
      <c r="AA23" s="113">
        <v>449</v>
      </c>
    </row>
    <row r="24" spans="1:27" x14ac:dyDescent="0.25">
      <c r="A24" s="25">
        <v>311</v>
      </c>
      <c r="B24" s="35" t="s">
        <v>111</v>
      </c>
      <c r="C24" s="35" t="s">
        <v>57</v>
      </c>
      <c r="D24" s="35" t="s">
        <v>57</v>
      </c>
      <c r="E24" s="35" t="s">
        <v>112</v>
      </c>
      <c r="F24" s="35" t="s">
        <v>66</v>
      </c>
      <c r="G24" s="35">
        <v>1996</v>
      </c>
      <c r="H24" s="35"/>
      <c r="I24" s="35" t="s">
        <v>1685</v>
      </c>
      <c r="J24" s="35" t="s">
        <v>1356</v>
      </c>
      <c r="K24" s="35" t="s">
        <v>1330</v>
      </c>
      <c r="L24" s="35" t="s">
        <v>116</v>
      </c>
      <c r="M24" s="35"/>
      <c r="N24" s="35" t="s">
        <v>1355</v>
      </c>
      <c r="O24" s="35"/>
      <c r="P24" s="35" t="s">
        <v>57</v>
      </c>
      <c r="Q24" s="35" t="s">
        <v>9</v>
      </c>
      <c r="R24" s="35" t="s">
        <v>66</v>
      </c>
      <c r="S24" s="35" t="s">
        <v>1356</v>
      </c>
      <c r="T24" s="35" t="s">
        <v>822</v>
      </c>
      <c r="U24" s="35">
        <v>3</v>
      </c>
      <c r="V24" s="35">
        <v>2</v>
      </c>
      <c r="W24" s="35">
        <v>1</v>
      </c>
      <c r="X24" s="35">
        <v>1</v>
      </c>
      <c r="Y24" s="35">
        <v>2</v>
      </c>
      <c r="Z24" s="35">
        <v>0</v>
      </c>
      <c r="AA24" s="113">
        <v>350</v>
      </c>
    </row>
    <row r="25" spans="1:27" x14ac:dyDescent="0.25">
      <c r="A25" s="25">
        <v>243</v>
      </c>
      <c r="B25" s="35" t="s">
        <v>83</v>
      </c>
      <c r="C25" s="35" t="s">
        <v>57</v>
      </c>
      <c r="D25" s="35" t="s">
        <v>57</v>
      </c>
      <c r="E25" s="35" t="s">
        <v>1027</v>
      </c>
      <c r="F25" s="35" t="s">
        <v>66</v>
      </c>
      <c r="G25" s="35">
        <v>1969</v>
      </c>
      <c r="H25" s="35"/>
      <c r="I25" s="35" t="s">
        <v>1084</v>
      </c>
      <c r="J25" s="35" t="s">
        <v>104</v>
      </c>
      <c r="K25" s="35"/>
      <c r="L25" s="35"/>
      <c r="M25" s="35" t="s">
        <v>1084</v>
      </c>
      <c r="N25" s="35" t="s">
        <v>105</v>
      </c>
      <c r="O25" s="35"/>
      <c r="P25" s="35" t="s">
        <v>106</v>
      </c>
      <c r="Q25" s="35" t="s">
        <v>107</v>
      </c>
      <c r="R25" s="35" t="s">
        <v>108</v>
      </c>
      <c r="S25" s="35" t="s">
        <v>104</v>
      </c>
      <c r="T25" s="35" t="s">
        <v>822</v>
      </c>
      <c r="U25" s="35">
        <v>12</v>
      </c>
      <c r="V25" s="35">
        <v>10</v>
      </c>
      <c r="W25" s="35">
        <v>1</v>
      </c>
      <c r="X25" s="35">
        <v>1</v>
      </c>
      <c r="Y25" s="35">
        <v>9</v>
      </c>
      <c r="Z25" s="35">
        <v>0</v>
      </c>
      <c r="AA25" s="113">
        <v>320</v>
      </c>
    </row>
    <row r="26" spans="1:27" x14ac:dyDescent="0.25">
      <c r="A26" s="25">
        <v>237</v>
      </c>
      <c r="B26" s="35" t="s">
        <v>1187</v>
      </c>
      <c r="C26" s="35" t="s">
        <v>57</v>
      </c>
      <c r="D26" s="35" t="s">
        <v>57</v>
      </c>
      <c r="E26" s="35" t="s">
        <v>109</v>
      </c>
      <c r="F26" s="35" t="s">
        <v>66</v>
      </c>
      <c r="G26" s="35">
        <v>1977</v>
      </c>
      <c r="H26" s="35"/>
      <c r="I26" s="35"/>
      <c r="J26" s="35"/>
      <c r="K26" s="35" t="s">
        <v>1290</v>
      </c>
      <c r="L26" s="35" t="s">
        <v>110</v>
      </c>
      <c r="M26" s="35"/>
      <c r="N26" s="35" t="s">
        <v>1686</v>
      </c>
      <c r="O26" s="35"/>
      <c r="P26" s="35" t="s">
        <v>57</v>
      </c>
      <c r="Q26" s="35" t="s">
        <v>9</v>
      </c>
      <c r="R26" s="35" t="s">
        <v>66</v>
      </c>
      <c r="S26" s="35" t="s">
        <v>1687</v>
      </c>
      <c r="T26" s="35" t="s">
        <v>822</v>
      </c>
      <c r="U26" s="35">
        <v>16</v>
      </c>
      <c r="V26" s="35">
        <v>16</v>
      </c>
      <c r="W26" s="35">
        <v>0</v>
      </c>
      <c r="X26" s="35">
        <v>9</v>
      </c>
      <c r="Y26" s="35">
        <v>7</v>
      </c>
      <c r="Z26" s="35">
        <v>0</v>
      </c>
      <c r="AA26" s="113">
        <v>388</v>
      </c>
    </row>
    <row r="27" spans="1:27" x14ac:dyDescent="0.25">
      <c r="A27" s="25">
        <v>201</v>
      </c>
      <c r="B27" s="35" t="s">
        <v>1178</v>
      </c>
      <c r="C27" s="35" t="s">
        <v>57</v>
      </c>
      <c r="D27" s="35" t="s">
        <v>57</v>
      </c>
      <c r="E27" s="35" t="s">
        <v>88</v>
      </c>
      <c r="F27" s="35" t="s">
        <v>66</v>
      </c>
      <c r="G27" s="35">
        <v>1965</v>
      </c>
      <c r="H27" s="35" t="s">
        <v>1260</v>
      </c>
      <c r="I27" s="35" t="s">
        <v>1357</v>
      </c>
      <c r="J27" s="35" t="s">
        <v>89</v>
      </c>
      <c r="K27" s="35"/>
      <c r="L27" s="35"/>
      <c r="M27" s="35" t="s">
        <v>77</v>
      </c>
      <c r="N27" s="35" t="s">
        <v>1388</v>
      </c>
      <c r="O27" s="35" t="s">
        <v>78</v>
      </c>
      <c r="P27" s="35" t="s">
        <v>79</v>
      </c>
      <c r="Q27" s="35" t="s">
        <v>80</v>
      </c>
      <c r="R27" s="35" t="s">
        <v>81</v>
      </c>
      <c r="S27" s="35" t="s">
        <v>82</v>
      </c>
      <c r="T27" s="35" t="s">
        <v>822</v>
      </c>
      <c r="U27" s="35">
        <v>40</v>
      </c>
      <c r="V27" s="35">
        <v>40</v>
      </c>
      <c r="W27" s="35">
        <v>0</v>
      </c>
      <c r="X27" s="35">
        <v>15</v>
      </c>
      <c r="Y27" s="35">
        <v>25</v>
      </c>
      <c r="Z27" s="35">
        <v>0</v>
      </c>
      <c r="AA27" s="113">
        <v>455</v>
      </c>
    </row>
    <row r="28" spans="1:27" x14ac:dyDescent="0.25">
      <c r="A28" s="25">
        <v>151</v>
      </c>
      <c r="B28" s="35" t="s">
        <v>1147</v>
      </c>
      <c r="C28" s="35" t="s">
        <v>57</v>
      </c>
      <c r="D28" s="35" t="s">
        <v>57</v>
      </c>
      <c r="E28" s="35" t="s">
        <v>69</v>
      </c>
      <c r="F28" s="35" t="s">
        <v>66</v>
      </c>
      <c r="G28" s="35">
        <v>1970</v>
      </c>
      <c r="H28" s="35" t="s">
        <v>70</v>
      </c>
      <c r="I28" s="35" t="s">
        <v>71</v>
      </c>
      <c r="J28" s="35" t="s">
        <v>72</v>
      </c>
      <c r="K28" s="35" t="s">
        <v>177</v>
      </c>
      <c r="L28" s="35" t="s">
        <v>1148</v>
      </c>
      <c r="M28" s="35" t="s">
        <v>1149</v>
      </c>
      <c r="N28" s="35" t="s">
        <v>1150</v>
      </c>
      <c r="O28" s="35"/>
      <c r="P28" s="35" t="s">
        <v>1151</v>
      </c>
      <c r="Q28" s="35" t="s">
        <v>107</v>
      </c>
      <c r="R28" s="35" t="s">
        <v>1152</v>
      </c>
      <c r="S28" s="35" t="s">
        <v>1153</v>
      </c>
      <c r="T28" s="35" t="s">
        <v>822</v>
      </c>
      <c r="U28" s="35">
        <v>52</v>
      </c>
      <c r="V28" s="35">
        <v>52</v>
      </c>
      <c r="W28" s="35">
        <v>0</v>
      </c>
      <c r="X28" s="35">
        <v>0</v>
      </c>
      <c r="Y28" s="35">
        <v>52</v>
      </c>
      <c r="Z28" s="35">
        <v>0</v>
      </c>
      <c r="AA28" s="113">
        <v>434</v>
      </c>
    </row>
    <row r="29" spans="1:27" x14ac:dyDescent="0.25">
      <c r="A29" s="25">
        <v>233</v>
      </c>
      <c r="B29" s="35" t="s">
        <v>1185</v>
      </c>
      <c r="C29" s="35" t="s">
        <v>57</v>
      </c>
      <c r="D29" s="35" t="s">
        <v>57</v>
      </c>
      <c r="E29" s="35" t="s">
        <v>65</v>
      </c>
      <c r="F29" s="35" t="s">
        <v>66</v>
      </c>
      <c r="G29" s="35">
        <v>1945</v>
      </c>
      <c r="H29" s="35" t="s">
        <v>1605</v>
      </c>
      <c r="I29" s="35" t="s">
        <v>1606</v>
      </c>
      <c r="J29" s="35" t="s">
        <v>67</v>
      </c>
      <c r="K29" s="35"/>
      <c r="L29" s="35"/>
      <c r="M29" s="35" t="s">
        <v>1358</v>
      </c>
      <c r="N29" s="35" t="s">
        <v>68</v>
      </c>
      <c r="O29" s="35"/>
      <c r="P29" s="35" t="s">
        <v>57</v>
      </c>
      <c r="Q29" s="35" t="s">
        <v>9</v>
      </c>
      <c r="R29" s="35" t="s">
        <v>66</v>
      </c>
      <c r="S29" s="35" t="s">
        <v>67</v>
      </c>
      <c r="T29" s="35" t="s">
        <v>829</v>
      </c>
      <c r="U29" s="35">
        <v>24</v>
      </c>
      <c r="V29" s="35">
        <v>17</v>
      </c>
      <c r="W29" s="35">
        <v>0</v>
      </c>
      <c r="X29" s="35">
        <v>5</v>
      </c>
      <c r="Y29" s="35">
        <v>17</v>
      </c>
      <c r="Z29" s="35">
        <v>2</v>
      </c>
      <c r="AA29" s="113">
        <v>334</v>
      </c>
    </row>
    <row r="30" spans="1:27" x14ac:dyDescent="0.25">
      <c r="A30" s="25">
        <v>225</v>
      </c>
      <c r="B30" s="35" t="s">
        <v>1688</v>
      </c>
      <c r="C30" s="35" t="s">
        <v>57</v>
      </c>
      <c r="D30" s="35" t="s">
        <v>117</v>
      </c>
      <c r="E30" s="35" t="s">
        <v>118</v>
      </c>
      <c r="F30" s="35" t="s">
        <v>119</v>
      </c>
      <c r="G30" s="35">
        <v>1965</v>
      </c>
      <c r="H30" s="35" t="s">
        <v>120</v>
      </c>
      <c r="I30" s="35" t="s">
        <v>121</v>
      </c>
      <c r="J30" s="35" t="s">
        <v>122</v>
      </c>
      <c r="K30" s="35" t="s">
        <v>120</v>
      </c>
      <c r="L30" s="35" t="s">
        <v>121</v>
      </c>
      <c r="M30" s="35"/>
      <c r="N30" s="35" t="s">
        <v>118</v>
      </c>
      <c r="O30" s="35"/>
      <c r="P30" s="35" t="s">
        <v>123</v>
      </c>
      <c r="Q30" s="35" t="s">
        <v>9</v>
      </c>
      <c r="R30" s="35" t="s">
        <v>119</v>
      </c>
      <c r="S30" s="35" t="s">
        <v>122</v>
      </c>
      <c r="T30" s="35" t="s">
        <v>822</v>
      </c>
      <c r="U30" s="35">
        <v>6</v>
      </c>
      <c r="V30" s="35">
        <v>6</v>
      </c>
      <c r="W30" s="35">
        <v>0</v>
      </c>
      <c r="X30" s="35">
        <v>2</v>
      </c>
      <c r="Y30" s="35">
        <v>4</v>
      </c>
      <c r="Z30" s="35">
        <v>0</v>
      </c>
      <c r="AA30" s="113">
        <v>284</v>
      </c>
    </row>
    <row r="31" spans="1:27" x14ac:dyDescent="0.25">
      <c r="A31" s="25">
        <v>328</v>
      </c>
      <c r="B31" s="35" t="s">
        <v>1689</v>
      </c>
      <c r="C31" s="35" t="s">
        <v>57</v>
      </c>
      <c r="D31" s="35" t="s">
        <v>117</v>
      </c>
      <c r="E31" s="35" t="s">
        <v>1690</v>
      </c>
      <c r="F31" s="35" t="s">
        <v>119</v>
      </c>
      <c r="G31" s="35">
        <v>0</v>
      </c>
      <c r="H31" s="35" t="s">
        <v>120</v>
      </c>
      <c r="I31" s="35" t="s">
        <v>121</v>
      </c>
      <c r="J31" s="35" t="s">
        <v>1691</v>
      </c>
      <c r="K31" s="35" t="s">
        <v>120</v>
      </c>
      <c r="L31" s="35" t="s">
        <v>121</v>
      </c>
      <c r="M31" s="35"/>
      <c r="N31" s="35" t="s">
        <v>118</v>
      </c>
      <c r="O31" s="35"/>
      <c r="P31" s="35" t="s">
        <v>123</v>
      </c>
      <c r="Q31" s="35" t="s">
        <v>9</v>
      </c>
      <c r="R31" s="35" t="s">
        <v>119</v>
      </c>
      <c r="S31" s="35" t="s">
        <v>122</v>
      </c>
      <c r="T31" s="35" t="s">
        <v>822</v>
      </c>
      <c r="U31" s="35">
        <v>25</v>
      </c>
      <c r="V31" s="35">
        <v>19</v>
      </c>
      <c r="W31" s="35">
        <v>3</v>
      </c>
      <c r="X31" s="35">
        <v>0</v>
      </c>
      <c r="Y31" s="35">
        <v>22</v>
      </c>
      <c r="Z31" s="35">
        <v>0</v>
      </c>
      <c r="AA31" s="113">
        <v>284</v>
      </c>
    </row>
    <row r="32" spans="1:27" x14ac:dyDescent="0.25">
      <c r="A32" s="25">
        <v>329</v>
      </c>
      <c r="B32" s="35" t="s">
        <v>1692</v>
      </c>
      <c r="C32" s="35" t="s">
        <v>57</v>
      </c>
      <c r="D32" s="35" t="s">
        <v>117</v>
      </c>
      <c r="E32" s="35" t="s">
        <v>1693</v>
      </c>
      <c r="F32" s="35" t="s">
        <v>119</v>
      </c>
      <c r="G32" s="35">
        <v>0</v>
      </c>
      <c r="H32" s="35" t="s">
        <v>120</v>
      </c>
      <c r="I32" s="35" t="s">
        <v>121</v>
      </c>
      <c r="J32" s="35" t="s">
        <v>122</v>
      </c>
      <c r="K32" s="35" t="s">
        <v>120</v>
      </c>
      <c r="L32" s="35" t="s">
        <v>121</v>
      </c>
      <c r="M32" s="35"/>
      <c r="N32" s="35" t="s">
        <v>118</v>
      </c>
      <c r="O32" s="35"/>
      <c r="P32" s="35" t="s">
        <v>123</v>
      </c>
      <c r="Q32" s="35" t="s">
        <v>9</v>
      </c>
      <c r="R32" s="35" t="s">
        <v>119</v>
      </c>
      <c r="S32" s="35" t="s">
        <v>122</v>
      </c>
      <c r="T32" s="35" t="s">
        <v>822</v>
      </c>
      <c r="U32" s="35">
        <v>4</v>
      </c>
      <c r="V32" s="35">
        <v>4</v>
      </c>
      <c r="W32" s="35">
        <v>0</v>
      </c>
      <c r="X32" s="35">
        <v>0</v>
      </c>
      <c r="Y32" s="35">
        <v>4</v>
      </c>
      <c r="Z32" s="35">
        <v>0</v>
      </c>
      <c r="AA32" s="113">
        <v>284</v>
      </c>
    </row>
    <row r="33" spans="1:27" x14ac:dyDescent="0.25">
      <c r="A33" s="25">
        <v>49</v>
      </c>
      <c r="B33" s="35" t="s">
        <v>1105</v>
      </c>
      <c r="C33" s="35" t="s">
        <v>57</v>
      </c>
      <c r="D33" s="35" t="s">
        <v>117</v>
      </c>
      <c r="E33" s="35" t="s">
        <v>124</v>
      </c>
      <c r="F33" s="35" t="s">
        <v>119</v>
      </c>
      <c r="G33" s="35">
        <v>1965</v>
      </c>
      <c r="H33" s="35" t="s">
        <v>1392</v>
      </c>
      <c r="I33" s="35" t="s">
        <v>1029</v>
      </c>
      <c r="J33" s="35"/>
      <c r="K33" s="35" t="s">
        <v>1030</v>
      </c>
      <c r="L33" s="35" t="s">
        <v>1479</v>
      </c>
      <c r="M33" s="35" t="s">
        <v>1480</v>
      </c>
      <c r="N33" s="35" t="s">
        <v>1031</v>
      </c>
      <c r="O33" s="35"/>
      <c r="P33" s="35" t="s">
        <v>1032</v>
      </c>
      <c r="Q33" s="35" t="s">
        <v>9</v>
      </c>
      <c r="R33" s="35" t="s">
        <v>1033</v>
      </c>
      <c r="S33" s="35" t="s">
        <v>1034</v>
      </c>
      <c r="T33" s="35" t="s">
        <v>822</v>
      </c>
      <c r="U33" s="35">
        <v>34</v>
      </c>
      <c r="V33" s="35">
        <v>32</v>
      </c>
      <c r="W33" s="35">
        <v>1</v>
      </c>
      <c r="X33" s="35">
        <v>0</v>
      </c>
      <c r="Y33" s="35">
        <v>32</v>
      </c>
      <c r="Z33" s="35">
        <v>1</v>
      </c>
      <c r="AA33" s="113">
        <v>385</v>
      </c>
    </row>
    <row r="34" spans="1:27" x14ac:dyDescent="0.25">
      <c r="A34" s="25">
        <v>48</v>
      </c>
      <c r="B34" s="35" t="s">
        <v>1393</v>
      </c>
      <c r="C34" s="35" t="s">
        <v>57</v>
      </c>
      <c r="D34" s="35" t="s">
        <v>117</v>
      </c>
      <c r="E34" s="35" t="s">
        <v>126</v>
      </c>
      <c r="F34" s="35" t="s">
        <v>119</v>
      </c>
      <c r="G34" s="35">
        <v>1970</v>
      </c>
      <c r="H34" s="35"/>
      <c r="I34" s="35"/>
      <c r="J34" s="35"/>
      <c r="K34" s="35" t="s">
        <v>97</v>
      </c>
      <c r="L34" s="35" t="s">
        <v>127</v>
      </c>
      <c r="M34" s="35"/>
      <c r="N34" s="35" t="s">
        <v>126</v>
      </c>
      <c r="O34" s="35"/>
      <c r="P34" s="35" t="s">
        <v>123</v>
      </c>
      <c r="Q34" s="35" t="s">
        <v>9</v>
      </c>
      <c r="R34" s="35" t="s">
        <v>119</v>
      </c>
      <c r="S34" s="35" t="s">
        <v>128</v>
      </c>
      <c r="T34" s="35" t="s">
        <v>822</v>
      </c>
      <c r="U34" s="35">
        <v>5</v>
      </c>
      <c r="V34" s="35">
        <v>5</v>
      </c>
      <c r="W34" s="35">
        <v>0</v>
      </c>
      <c r="X34" s="35">
        <v>1</v>
      </c>
      <c r="Y34" s="35">
        <v>4</v>
      </c>
      <c r="Z34" s="35">
        <v>0</v>
      </c>
      <c r="AA34" s="113">
        <v>368.52</v>
      </c>
    </row>
    <row r="35" spans="1:27" x14ac:dyDescent="0.25">
      <c r="A35" s="25">
        <v>2</v>
      </c>
      <c r="B35" s="35" t="s">
        <v>143</v>
      </c>
      <c r="C35" s="35" t="s">
        <v>57</v>
      </c>
      <c r="D35" s="35" t="s">
        <v>85</v>
      </c>
      <c r="E35" s="35" t="s">
        <v>144</v>
      </c>
      <c r="F35" s="35" t="s">
        <v>86</v>
      </c>
      <c r="G35" s="35">
        <v>1960</v>
      </c>
      <c r="H35" s="35"/>
      <c r="I35" s="35" t="s">
        <v>1694</v>
      </c>
      <c r="J35" s="35" t="s">
        <v>104</v>
      </c>
      <c r="K35" s="35"/>
      <c r="L35" s="35"/>
      <c r="M35" s="35" t="s">
        <v>1682</v>
      </c>
      <c r="N35" s="35"/>
      <c r="O35" s="35" t="s">
        <v>105</v>
      </c>
      <c r="P35" s="35" t="s">
        <v>106</v>
      </c>
      <c r="Q35" s="35" t="s">
        <v>107</v>
      </c>
      <c r="R35" s="35" t="s">
        <v>108</v>
      </c>
      <c r="S35" s="35" t="s">
        <v>104</v>
      </c>
      <c r="T35" s="35" t="s">
        <v>822</v>
      </c>
      <c r="U35" s="35">
        <v>6</v>
      </c>
      <c r="V35" s="35">
        <v>6</v>
      </c>
      <c r="W35" s="35">
        <v>0</v>
      </c>
      <c r="X35" s="35">
        <v>0</v>
      </c>
      <c r="Y35" s="35">
        <v>6</v>
      </c>
      <c r="Z35" s="35">
        <v>0</v>
      </c>
      <c r="AA35" s="113">
        <v>260</v>
      </c>
    </row>
    <row r="36" spans="1:27" x14ac:dyDescent="0.25">
      <c r="A36" s="25">
        <v>54</v>
      </c>
      <c r="B36" s="35" t="s">
        <v>1267</v>
      </c>
      <c r="C36" s="35" t="s">
        <v>57</v>
      </c>
      <c r="D36" s="35" t="s">
        <v>85</v>
      </c>
      <c r="E36" s="35" t="s">
        <v>129</v>
      </c>
      <c r="F36" s="35" t="s">
        <v>86</v>
      </c>
      <c r="G36" s="35">
        <v>1965</v>
      </c>
      <c r="H36" s="35" t="s">
        <v>1607</v>
      </c>
      <c r="I36" s="35" t="s">
        <v>1608</v>
      </c>
      <c r="J36" s="35"/>
      <c r="K36" s="35"/>
      <c r="L36" s="35"/>
      <c r="M36" s="35" t="s">
        <v>1695</v>
      </c>
      <c r="N36" s="35" t="s">
        <v>1696</v>
      </c>
      <c r="O36" s="35" t="s">
        <v>1697</v>
      </c>
      <c r="P36" s="35" t="s">
        <v>85</v>
      </c>
      <c r="Q36" s="35" t="s">
        <v>9</v>
      </c>
      <c r="R36" s="35" t="s">
        <v>86</v>
      </c>
      <c r="S36" s="35"/>
      <c r="T36" s="35" t="s">
        <v>822</v>
      </c>
      <c r="U36" s="35">
        <v>15</v>
      </c>
      <c r="V36" s="35">
        <v>11</v>
      </c>
      <c r="W36" s="35">
        <v>1</v>
      </c>
      <c r="X36" s="35">
        <v>0</v>
      </c>
      <c r="Y36" s="35">
        <v>11</v>
      </c>
      <c r="Z36" s="35">
        <v>1</v>
      </c>
      <c r="AA36" s="113">
        <v>320</v>
      </c>
    </row>
    <row r="37" spans="1:27" x14ac:dyDescent="0.25">
      <c r="A37" s="25">
        <v>51</v>
      </c>
      <c r="B37" s="35" t="s">
        <v>1261</v>
      </c>
      <c r="C37" s="35" t="s">
        <v>57</v>
      </c>
      <c r="D37" s="35" t="s">
        <v>85</v>
      </c>
      <c r="E37" s="35" t="s">
        <v>135</v>
      </c>
      <c r="F37" s="35" t="s">
        <v>86</v>
      </c>
      <c r="G37" s="35">
        <v>1959</v>
      </c>
      <c r="H37" s="35" t="s">
        <v>136</v>
      </c>
      <c r="I37" s="35" t="s">
        <v>137</v>
      </c>
      <c r="J37" s="35" t="s">
        <v>138</v>
      </c>
      <c r="K37" s="35" t="s">
        <v>139</v>
      </c>
      <c r="L37" s="35" t="s">
        <v>137</v>
      </c>
      <c r="M37" s="35"/>
      <c r="N37" s="35" t="s">
        <v>140</v>
      </c>
      <c r="O37" s="35"/>
      <c r="P37" s="35" t="s">
        <v>85</v>
      </c>
      <c r="Q37" s="35" t="s">
        <v>9</v>
      </c>
      <c r="R37" s="35" t="s">
        <v>86</v>
      </c>
      <c r="S37" s="35" t="s">
        <v>138</v>
      </c>
      <c r="T37" s="35" t="s">
        <v>822</v>
      </c>
      <c r="U37" s="35">
        <v>43</v>
      </c>
      <c r="V37" s="35">
        <v>40</v>
      </c>
      <c r="W37" s="35">
        <v>3</v>
      </c>
      <c r="X37" s="35">
        <v>0</v>
      </c>
      <c r="Y37" s="35">
        <v>40</v>
      </c>
      <c r="Z37" s="35">
        <v>0</v>
      </c>
      <c r="AA37" s="113">
        <v>300</v>
      </c>
    </row>
    <row r="38" spans="1:27" x14ac:dyDescent="0.25">
      <c r="A38" s="25">
        <v>53</v>
      </c>
      <c r="B38" s="35" t="s">
        <v>1106</v>
      </c>
      <c r="C38" s="35" t="s">
        <v>57</v>
      </c>
      <c r="D38" s="35" t="s">
        <v>85</v>
      </c>
      <c r="E38" s="35" t="s">
        <v>131</v>
      </c>
      <c r="F38" s="35" t="s">
        <v>86</v>
      </c>
      <c r="G38" s="35">
        <v>1968</v>
      </c>
      <c r="H38" s="35" t="s">
        <v>1698</v>
      </c>
      <c r="I38" s="35" t="s">
        <v>1699</v>
      </c>
      <c r="J38" s="35" t="s">
        <v>1266</v>
      </c>
      <c r="K38" s="35" t="s">
        <v>1262</v>
      </c>
      <c r="L38" s="35" t="s">
        <v>1263</v>
      </c>
      <c r="M38" s="35"/>
      <c r="N38" s="35" t="s">
        <v>1264</v>
      </c>
      <c r="O38" s="35"/>
      <c r="P38" s="35" t="s">
        <v>1265</v>
      </c>
      <c r="Q38" s="35" t="s">
        <v>514</v>
      </c>
      <c r="R38" s="35" t="s">
        <v>1313</v>
      </c>
      <c r="S38" s="35" t="s">
        <v>1266</v>
      </c>
      <c r="T38" s="35" t="s">
        <v>822</v>
      </c>
      <c r="U38" s="35">
        <v>19</v>
      </c>
      <c r="V38" s="35">
        <v>19</v>
      </c>
      <c r="W38" s="35">
        <v>0</v>
      </c>
      <c r="X38" s="35">
        <v>0</v>
      </c>
      <c r="Y38" s="35">
        <v>19</v>
      </c>
      <c r="Z38" s="35">
        <v>0</v>
      </c>
      <c r="AA38" s="113">
        <v>310</v>
      </c>
    </row>
    <row r="39" spans="1:27" x14ac:dyDescent="0.25">
      <c r="A39" s="25">
        <v>6</v>
      </c>
      <c r="B39" s="35" t="s">
        <v>1083</v>
      </c>
      <c r="C39" s="35" t="s">
        <v>57</v>
      </c>
      <c r="D39" s="35" t="s">
        <v>85</v>
      </c>
      <c r="E39" s="35" t="s">
        <v>131</v>
      </c>
      <c r="F39" s="35" t="s">
        <v>86</v>
      </c>
      <c r="G39" s="35">
        <v>1964</v>
      </c>
      <c r="H39" s="35"/>
      <c r="I39" s="35" t="s">
        <v>1609</v>
      </c>
      <c r="J39" s="35" t="s">
        <v>104</v>
      </c>
      <c r="K39" s="35"/>
      <c r="L39" s="35"/>
      <c r="M39" s="35" t="s">
        <v>1481</v>
      </c>
      <c r="N39" s="35" t="s">
        <v>1482</v>
      </c>
      <c r="O39" s="35"/>
      <c r="P39" s="35" t="s">
        <v>106</v>
      </c>
      <c r="Q39" s="35" t="s">
        <v>107</v>
      </c>
      <c r="R39" s="35" t="s">
        <v>108</v>
      </c>
      <c r="S39" s="35" t="s">
        <v>104</v>
      </c>
      <c r="T39" s="35" t="s">
        <v>822</v>
      </c>
      <c r="U39" s="35">
        <v>42</v>
      </c>
      <c r="V39" s="35">
        <v>27</v>
      </c>
      <c r="W39" s="35">
        <v>14</v>
      </c>
      <c r="X39" s="35">
        <v>10</v>
      </c>
      <c r="Y39" s="35">
        <v>16</v>
      </c>
      <c r="Z39" s="35">
        <v>1</v>
      </c>
      <c r="AA39" s="113">
        <v>311</v>
      </c>
    </row>
    <row r="40" spans="1:27" x14ac:dyDescent="0.25">
      <c r="A40" s="25">
        <v>294</v>
      </c>
      <c r="B40" s="35" t="s">
        <v>1199</v>
      </c>
      <c r="C40" s="35" t="s">
        <v>57</v>
      </c>
      <c r="D40" s="35" t="s">
        <v>85</v>
      </c>
      <c r="E40" s="35" t="s">
        <v>1268</v>
      </c>
      <c r="F40" s="35" t="s">
        <v>86</v>
      </c>
      <c r="G40" s="35">
        <v>1969</v>
      </c>
      <c r="H40" s="35"/>
      <c r="I40" s="35" t="s">
        <v>1610</v>
      </c>
      <c r="J40" s="35" t="s">
        <v>1269</v>
      </c>
      <c r="K40" s="35" t="s">
        <v>1035</v>
      </c>
      <c r="L40" s="35" t="s">
        <v>142</v>
      </c>
      <c r="M40" s="35"/>
      <c r="N40" s="35" t="s">
        <v>1394</v>
      </c>
      <c r="O40" s="35"/>
      <c r="P40" s="35" t="s">
        <v>1395</v>
      </c>
      <c r="Q40" s="35" t="s">
        <v>107</v>
      </c>
      <c r="R40" s="35" t="s">
        <v>108</v>
      </c>
      <c r="S40" s="35" t="s">
        <v>1269</v>
      </c>
      <c r="T40" s="35" t="s">
        <v>822</v>
      </c>
      <c r="U40" s="35">
        <v>7</v>
      </c>
      <c r="V40" s="35">
        <v>6</v>
      </c>
      <c r="W40" s="35">
        <v>1</v>
      </c>
      <c r="X40" s="35">
        <v>6</v>
      </c>
      <c r="Y40" s="35">
        <v>0</v>
      </c>
      <c r="Z40" s="35">
        <v>0</v>
      </c>
      <c r="AA40" s="113">
        <v>0</v>
      </c>
    </row>
    <row r="41" spans="1:27" x14ac:dyDescent="0.25">
      <c r="A41" s="25">
        <v>146</v>
      </c>
      <c r="B41" s="35" t="s">
        <v>1611</v>
      </c>
      <c r="C41" s="35" t="s">
        <v>57</v>
      </c>
      <c r="D41" s="35" t="s">
        <v>85</v>
      </c>
      <c r="E41" s="35" t="s">
        <v>1700</v>
      </c>
      <c r="F41" s="35" t="s">
        <v>86</v>
      </c>
      <c r="G41" s="35">
        <v>1970</v>
      </c>
      <c r="H41" s="35"/>
      <c r="I41" s="35" t="s">
        <v>1701</v>
      </c>
      <c r="J41" s="35" t="s">
        <v>1702</v>
      </c>
      <c r="K41" s="35"/>
      <c r="L41" s="35"/>
      <c r="M41" s="35" t="s">
        <v>1703</v>
      </c>
      <c r="N41" s="35" t="s">
        <v>1704</v>
      </c>
      <c r="O41" s="35"/>
      <c r="P41" s="35" t="s">
        <v>1705</v>
      </c>
      <c r="Q41" s="35" t="s">
        <v>1706</v>
      </c>
      <c r="R41" s="35" t="s">
        <v>1707</v>
      </c>
      <c r="S41" s="35"/>
      <c r="T41" s="35" t="s">
        <v>822</v>
      </c>
      <c r="U41" s="35">
        <v>56</v>
      </c>
      <c r="V41" s="35">
        <v>56</v>
      </c>
      <c r="W41" s="35">
        <v>0</v>
      </c>
      <c r="X41" s="35">
        <v>1</v>
      </c>
      <c r="Y41" s="35">
        <v>55</v>
      </c>
      <c r="Z41" s="35">
        <v>0</v>
      </c>
      <c r="AA41" s="113">
        <v>425</v>
      </c>
    </row>
    <row r="42" spans="1:27" x14ac:dyDescent="0.25">
      <c r="A42" s="25">
        <v>52</v>
      </c>
      <c r="B42" s="35" t="s">
        <v>134</v>
      </c>
      <c r="C42" s="35" t="s">
        <v>57</v>
      </c>
      <c r="D42" s="35" t="s">
        <v>85</v>
      </c>
      <c r="E42" s="35" t="s">
        <v>1483</v>
      </c>
      <c r="F42" s="35" t="s">
        <v>86</v>
      </c>
      <c r="G42" s="35">
        <v>1968</v>
      </c>
      <c r="H42" s="35" t="s">
        <v>177</v>
      </c>
      <c r="I42" s="35" t="s">
        <v>1484</v>
      </c>
      <c r="J42" s="35" t="s">
        <v>1708</v>
      </c>
      <c r="K42" s="35"/>
      <c r="L42" s="35"/>
      <c r="M42" s="35" t="s">
        <v>1709</v>
      </c>
      <c r="N42" s="35" t="s">
        <v>1483</v>
      </c>
      <c r="O42" s="35" t="s">
        <v>1396</v>
      </c>
      <c r="P42" s="35" t="s">
        <v>85</v>
      </c>
      <c r="Q42" s="35" t="s">
        <v>9</v>
      </c>
      <c r="R42" s="35" t="s">
        <v>86</v>
      </c>
      <c r="S42" s="35" t="s">
        <v>1708</v>
      </c>
      <c r="T42" s="35" t="s">
        <v>822</v>
      </c>
      <c r="U42" s="35">
        <v>36</v>
      </c>
      <c r="V42" s="35">
        <v>29</v>
      </c>
      <c r="W42" s="35">
        <v>0</v>
      </c>
      <c r="X42" s="35">
        <v>23</v>
      </c>
      <c r="Y42" s="35">
        <v>13</v>
      </c>
      <c r="Z42" s="35">
        <v>0</v>
      </c>
      <c r="AA42" s="113">
        <v>340</v>
      </c>
    </row>
    <row r="43" spans="1:27" x14ac:dyDescent="0.25">
      <c r="A43" s="25">
        <v>55</v>
      </c>
      <c r="B43" s="35" t="s">
        <v>1107</v>
      </c>
      <c r="C43" s="35" t="s">
        <v>57</v>
      </c>
      <c r="D43" s="35" t="s">
        <v>146</v>
      </c>
      <c r="E43" s="35" t="s">
        <v>1485</v>
      </c>
      <c r="F43" s="35" t="s">
        <v>147</v>
      </c>
      <c r="G43" s="35">
        <v>1965</v>
      </c>
      <c r="H43" s="35"/>
      <c r="I43" s="35"/>
      <c r="J43" s="35"/>
      <c r="K43" s="35" t="s">
        <v>177</v>
      </c>
      <c r="L43" s="35" t="s">
        <v>1710</v>
      </c>
      <c r="M43" s="35"/>
      <c r="N43" s="35" t="s">
        <v>1711</v>
      </c>
      <c r="O43" s="35"/>
      <c r="P43" s="35" t="s">
        <v>146</v>
      </c>
      <c r="Q43" s="35" t="s">
        <v>9</v>
      </c>
      <c r="R43" s="35" t="s">
        <v>147</v>
      </c>
      <c r="S43" s="35"/>
      <c r="T43" s="35" t="s">
        <v>822</v>
      </c>
      <c r="U43" s="35">
        <v>9</v>
      </c>
      <c r="V43" s="35">
        <v>9</v>
      </c>
      <c r="W43" s="35">
        <v>0</v>
      </c>
      <c r="X43" s="35">
        <v>5</v>
      </c>
      <c r="Y43" s="35">
        <v>4</v>
      </c>
      <c r="Z43" s="35">
        <v>0</v>
      </c>
      <c r="AA43" s="113">
        <v>0</v>
      </c>
    </row>
    <row r="44" spans="1:27" x14ac:dyDescent="0.25">
      <c r="A44" s="25">
        <v>244</v>
      </c>
      <c r="B44" s="35" t="s">
        <v>1189</v>
      </c>
      <c r="C44" s="35" t="s">
        <v>57</v>
      </c>
      <c r="D44" s="35" t="s">
        <v>148</v>
      </c>
      <c r="E44" s="35" t="s">
        <v>149</v>
      </c>
      <c r="F44" s="35" t="s">
        <v>66</v>
      </c>
      <c r="G44" s="35">
        <v>1961</v>
      </c>
      <c r="H44" s="35" t="s">
        <v>113</v>
      </c>
      <c r="I44" s="35" t="s">
        <v>114</v>
      </c>
      <c r="J44" s="35" t="s">
        <v>115</v>
      </c>
      <c r="K44" s="35" t="s">
        <v>113</v>
      </c>
      <c r="L44" s="35" t="s">
        <v>114</v>
      </c>
      <c r="M44" s="35"/>
      <c r="N44" s="35" t="s">
        <v>1359</v>
      </c>
      <c r="O44" s="35"/>
      <c r="P44" s="35" t="s">
        <v>1360</v>
      </c>
      <c r="Q44" s="35" t="s">
        <v>9</v>
      </c>
      <c r="R44" s="35" t="s">
        <v>1380</v>
      </c>
      <c r="S44" s="35" t="s">
        <v>115</v>
      </c>
      <c r="T44" s="35" t="s">
        <v>822</v>
      </c>
      <c r="U44" s="35">
        <v>16</v>
      </c>
      <c r="V44" s="35">
        <v>16</v>
      </c>
      <c r="W44" s="35">
        <v>0</v>
      </c>
      <c r="X44" s="35">
        <v>10</v>
      </c>
      <c r="Y44" s="35">
        <v>6</v>
      </c>
      <c r="Z44" s="35">
        <v>0</v>
      </c>
      <c r="AA44" s="113">
        <v>350</v>
      </c>
    </row>
    <row r="45" spans="1:27" x14ac:dyDescent="0.25">
      <c r="A45" s="25">
        <v>124</v>
      </c>
      <c r="B45" s="35" t="s">
        <v>1270</v>
      </c>
      <c r="C45" s="35" t="s">
        <v>150</v>
      </c>
      <c r="D45" s="35" t="s">
        <v>151</v>
      </c>
      <c r="E45" s="35" t="s">
        <v>1271</v>
      </c>
      <c r="F45" s="35" t="s">
        <v>152</v>
      </c>
      <c r="G45" s="35">
        <v>1973</v>
      </c>
      <c r="H45" s="35"/>
      <c r="I45" s="35" t="s">
        <v>1128</v>
      </c>
      <c r="J45" s="35" t="s">
        <v>1129</v>
      </c>
      <c r="K45" s="35"/>
      <c r="L45" s="35"/>
      <c r="M45" s="35" t="s">
        <v>1130</v>
      </c>
      <c r="N45" s="35" t="s">
        <v>1548</v>
      </c>
      <c r="O45" s="35"/>
      <c r="P45" s="35" t="s">
        <v>205</v>
      </c>
      <c r="Q45" s="35" t="s">
        <v>9</v>
      </c>
      <c r="R45" s="35" t="s">
        <v>207</v>
      </c>
      <c r="S45" s="35"/>
      <c r="T45" s="35" t="s">
        <v>822</v>
      </c>
      <c r="U45" s="35">
        <v>11</v>
      </c>
      <c r="V45" s="35">
        <v>9</v>
      </c>
      <c r="W45" s="35">
        <v>2</v>
      </c>
      <c r="X45" s="35">
        <v>0</v>
      </c>
      <c r="Y45" s="35">
        <v>9</v>
      </c>
      <c r="Z45" s="35">
        <v>0</v>
      </c>
      <c r="AA45" s="113">
        <v>271</v>
      </c>
    </row>
    <row r="46" spans="1:27" x14ac:dyDescent="0.25">
      <c r="A46" s="25">
        <v>265</v>
      </c>
      <c r="B46" s="35" t="s">
        <v>164</v>
      </c>
      <c r="C46" s="35" t="s">
        <v>150</v>
      </c>
      <c r="D46" s="35" t="s">
        <v>156</v>
      </c>
      <c r="E46" s="35" t="s">
        <v>165</v>
      </c>
      <c r="F46" s="35" t="s">
        <v>158</v>
      </c>
      <c r="G46" s="35">
        <v>1989</v>
      </c>
      <c r="H46" s="35" t="s">
        <v>1361</v>
      </c>
      <c r="I46" s="35" t="s">
        <v>1362</v>
      </c>
      <c r="J46" s="35" t="s">
        <v>1363</v>
      </c>
      <c r="K46" s="35"/>
      <c r="L46" s="35"/>
      <c r="M46" s="35" t="s">
        <v>1397</v>
      </c>
      <c r="N46" s="35" t="s">
        <v>1398</v>
      </c>
      <c r="O46" s="35"/>
      <c r="P46" s="35" t="s">
        <v>1399</v>
      </c>
      <c r="Q46" s="35" t="s">
        <v>9</v>
      </c>
      <c r="R46" s="35" t="s">
        <v>1456</v>
      </c>
      <c r="S46" s="35"/>
      <c r="T46" s="35" t="s">
        <v>822</v>
      </c>
      <c r="U46" s="35">
        <v>7</v>
      </c>
      <c r="V46" s="35">
        <v>7</v>
      </c>
      <c r="W46" s="35">
        <v>0</v>
      </c>
      <c r="X46" s="35">
        <v>0</v>
      </c>
      <c r="Y46" s="35">
        <v>6</v>
      </c>
      <c r="Z46" s="35">
        <v>0</v>
      </c>
      <c r="AA46" s="113">
        <v>135</v>
      </c>
    </row>
    <row r="47" spans="1:27" x14ac:dyDescent="0.25">
      <c r="A47" s="25">
        <v>148</v>
      </c>
      <c r="B47" s="35" t="s">
        <v>1272</v>
      </c>
      <c r="C47" s="35" t="s">
        <v>150</v>
      </c>
      <c r="D47" s="35" t="s">
        <v>156</v>
      </c>
      <c r="E47" s="35" t="s">
        <v>157</v>
      </c>
      <c r="F47" s="35" t="s">
        <v>158</v>
      </c>
      <c r="G47" s="35">
        <v>1970</v>
      </c>
      <c r="H47" s="35"/>
      <c r="I47" s="35" t="s">
        <v>1549</v>
      </c>
      <c r="J47" s="35" t="s">
        <v>1486</v>
      </c>
      <c r="K47" s="35"/>
      <c r="L47" s="35"/>
      <c r="M47" s="35" t="s">
        <v>159</v>
      </c>
      <c r="N47" s="35" t="s">
        <v>160</v>
      </c>
      <c r="O47" s="35"/>
      <c r="P47" s="35" t="s">
        <v>161</v>
      </c>
      <c r="Q47" s="35" t="s">
        <v>9</v>
      </c>
      <c r="R47" s="35" t="s">
        <v>162</v>
      </c>
      <c r="S47" s="35" t="s">
        <v>163</v>
      </c>
      <c r="T47" s="35" t="s">
        <v>829</v>
      </c>
      <c r="U47" s="35">
        <v>32</v>
      </c>
      <c r="V47" s="35">
        <v>31</v>
      </c>
      <c r="W47" s="35">
        <v>1</v>
      </c>
      <c r="X47" s="35">
        <v>15</v>
      </c>
      <c r="Y47" s="35">
        <v>16</v>
      </c>
      <c r="Z47" s="35">
        <v>0</v>
      </c>
      <c r="AA47" s="113">
        <v>332</v>
      </c>
    </row>
    <row r="48" spans="1:27" x14ac:dyDescent="0.25">
      <c r="A48" s="25">
        <v>264</v>
      </c>
      <c r="B48" s="35" t="s">
        <v>1193</v>
      </c>
      <c r="C48" s="35" t="s">
        <v>150</v>
      </c>
      <c r="D48" s="35" t="s">
        <v>156</v>
      </c>
      <c r="E48" s="35" t="s">
        <v>166</v>
      </c>
      <c r="F48" s="35" t="s">
        <v>167</v>
      </c>
      <c r="G48" s="35">
        <v>1970</v>
      </c>
      <c r="H48" s="35" t="s">
        <v>168</v>
      </c>
      <c r="I48" s="35" t="s">
        <v>169</v>
      </c>
      <c r="J48" s="35" t="s">
        <v>170</v>
      </c>
      <c r="K48" s="35" t="s">
        <v>168</v>
      </c>
      <c r="L48" s="35" t="s">
        <v>169</v>
      </c>
      <c r="M48" s="35"/>
      <c r="N48" s="35" t="s">
        <v>171</v>
      </c>
      <c r="O48" s="35"/>
      <c r="P48" s="35" t="s">
        <v>172</v>
      </c>
      <c r="Q48" s="35" t="s">
        <v>9</v>
      </c>
      <c r="R48" s="35" t="s">
        <v>167</v>
      </c>
      <c r="S48" s="35" t="s">
        <v>170</v>
      </c>
      <c r="T48" s="35" t="s">
        <v>822</v>
      </c>
      <c r="U48" s="35">
        <v>3</v>
      </c>
      <c r="V48" s="35">
        <v>3</v>
      </c>
      <c r="W48" s="35">
        <v>0</v>
      </c>
      <c r="X48" s="35">
        <v>1</v>
      </c>
      <c r="Y48" s="35">
        <v>2</v>
      </c>
      <c r="Z48" s="35">
        <v>0</v>
      </c>
      <c r="AA48" s="113">
        <v>250</v>
      </c>
    </row>
    <row r="49" spans="1:27" x14ac:dyDescent="0.25">
      <c r="A49" s="25">
        <v>221</v>
      </c>
      <c r="B49" s="35" t="s">
        <v>182</v>
      </c>
      <c r="C49" s="35" t="s">
        <v>150</v>
      </c>
      <c r="D49" s="35" t="s">
        <v>174</v>
      </c>
      <c r="E49" s="35" t="s">
        <v>1183</v>
      </c>
      <c r="F49" s="35" t="s">
        <v>176</v>
      </c>
      <c r="G49" s="35">
        <v>1974</v>
      </c>
      <c r="H49" s="35" t="s">
        <v>1273</v>
      </c>
      <c r="I49" s="35" t="s">
        <v>1496</v>
      </c>
      <c r="J49" s="35" t="s">
        <v>1487</v>
      </c>
      <c r="K49" s="35"/>
      <c r="L49" s="35"/>
      <c r="M49" s="35" t="s">
        <v>1273</v>
      </c>
      <c r="N49" s="35" t="s">
        <v>183</v>
      </c>
      <c r="O49" s="35"/>
      <c r="P49" s="35" t="s">
        <v>180</v>
      </c>
      <c r="Q49" s="35" t="s">
        <v>9</v>
      </c>
      <c r="R49" s="35" t="s">
        <v>176</v>
      </c>
      <c r="S49" s="35" t="s">
        <v>184</v>
      </c>
      <c r="T49" s="35" t="s">
        <v>829</v>
      </c>
      <c r="U49" s="35">
        <v>41</v>
      </c>
      <c r="V49" s="35">
        <v>41</v>
      </c>
      <c r="W49" s="35">
        <v>0</v>
      </c>
      <c r="X49" s="35">
        <v>0</v>
      </c>
      <c r="Y49" s="35">
        <v>41</v>
      </c>
      <c r="Z49" s="35">
        <v>0</v>
      </c>
      <c r="AA49" s="113">
        <v>215</v>
      </c>
    </row>
    <row r="50" spans="1:27" x14ac:dyDescent="0.25">
      <c r="A50" s="25">
        <v>262</v>
      </c>
      <c r="B50" s="35" t="s">
        <v>185</v>
      </c>
      <c r="C50" s="35" t="s">
        <v>150</v>
      </c>
      <c r="D50" s="35" t="s">
        <v>174</v>
      </c>
      <c r="E50" s="35" t="s">
        <v>186</v>
      </c>
      <c r="F50" s="35" t="s">
        <v>176</v>
      </c>
      <c r="G50" s="35">
        <v>1982</v>
      </c>
      <c r="H50" s="35" t="s">
        <v>1550</v>
      </c>
      <c r="I50" s="35" t="s">
        <v>1488</v>
      </c>
      <c r="J50" s="35" t="s">
        <v>181</v>
      </c>
      <c r="K50" s="35" t="s">
        <v>177</v>
      </c>
      <c r="L50" s="35" t="s">
        <v>178</v>
      </c>
      <c r="M50" s="35" t="s">
        <v>1326</v>
      </c>
      <c r="N50" s="35" t="s">
        <v>179</v>
      </c>
      <c r="O50" s="35"/>
      <c r="P50" s="35" t="s">
        <v>180</v>
      </c>
      <c r="Q50" s="35" t="s">
        <v>9</v>
      </c>
      <c r="R50" s="35" t="s">
        <v>176</v>
      </c>
      <c r="S50" s="35" t="s">
        <v>181</v>
      </c>
      <c r="T50" s="35" t="s">
        <v>822</v>
      </c>
      <c r="U50" s="35">
        <v>29</v>
      </c>
      <c r="V50" s="35">
        <v>28</v>
      </c>
      <c r="W50" s="35">
        <v>1</v>
      </c>
      <c r="X50" s="35">
        <v>5</v>
      </c>
      <c r="Y50" s="35">
        <v>23</v>
      </c>
      <c r="Z50" s="35">
        <v>0</v>
      </c>
      <c r="AA50" s="113">
        <v>345</v>
      </c>
    </row>
    <row r="51" spans="1:27" x14ac:dyDescent="0.25">
      <c r="A51" s="25">
        <v>196</v>
      </c>
      <c r="B51" s="35" t="s">
        <v>173</v>
      </c>
      <c r="C51" s="35" t="s">
        <v>150</v>
      </c>
      <c r="D51" s="35" t="s">
        <v>174</v>
      </c>
      <c r="E51" s="35" t="s">
        <v>175</v>
      </c>
      <c r="F51" s="35" t="s">
        <v>176</v>
      </c>
      <c r="G51" s="35">
        <v>1957</v>
      </c>
      <c r="H51" s="35" t="s">
        <v>177</v>
      </c>
      <c r="I51" s="35" t="s">
        <v>178</v>
      </c>
      <c r="J51" s="35" t="s">
        <v>181</v>
      </c>
      <c r="K51" s="35" t="s">
        <v>177</v>
      </c>
      <c r="L51" s="35" t="s">
        <v>178</v>
      </c>
      <c r="M51" s="35" t="s">
        <v>1326</v>
      </c>
      <c r="N51" s="35" t="s">
        <v>179</v>
      </c>
      <c r="O51" s="35"/>
      <c r="P51" s="35" t="s">
        <v>180</v>
      </c>
      <c r="Q51" s="35" t="s">
        <v>9</v>
      </c>
      <c r="R51" s="35" t="s">
        <v>176</v>
      </c>
      <c r="S51" s="35" t="s">
        <v>181</v>
      </c>
      <c r="T51" s="35" t="s">
        <v>822</v>
      </c>
      <c r="U51" s="35">
        <v>34</v>
      </c>
      <c r="V51" s="35">
        <v>31</v>
      </c>
      <c r="W51" s="35">
        <v>3</v>
      </c>
      <c r="X51" s="35">
        <v>7</v>
      </c>
      <c r="Y51" s="35">
        <v>24</v>
      </c>
      <c r="Z51" s="35">
        <v>0</v>
      </c>
      <c r="AA51" s="113">
        <v>350</v>
      </c>
    </row>
    <row r="52" spans="1:27" x14ac:dyDescent="0.25">
      <c r="A52" s="25">
        <v>260</v>
      </c>
      <c r="B52" s="35" t="s">
        <v>1191</v>
      </c>
      <c r="C52" s="35" t="s">
        <v>150</v>
      </c>
      <c r="D52" s="35" t="s">
        <v>174</v>
      </c>
      <c r="E52" s="35" t="s">
        <v>187</v>
      </c>
      <c r="F52" s="35" t="s">
        <v>176</v>
      </c>
      <c r="G52" s="35">
        <v>1989</v>
      </c>
      <c r="H52" s="35" t="s">
        <v>177</v>
      </c>
      <c r="I52" s="35" t="s">
        <v>178</v>
      </c>
      <c r="J52" s="35" t="s">
        <v>181</v>
      </c>
      <c r="K52" s="35" t="s">
        <v>177</v>
      </c>
      <c r="L52" s="35" t="s">
        <v>178</v>
      </c>
      <c r="M52" s="35" t="s">
        <v>1326</v>
      </c>
      <c r="N52" s="35" t="s">
        <v>179</v>
      </c>
      <c r="O52" s="35"/>
      <c r="P52" s="35" t="s">
        <v>180</v>
      </c>
      <c r="Q52" s="35" t="s">
        <v>9</v>
      </c>
      <c r="R52" s="35" t="s">
        <v>176</v>
      </c>
      <c r="S52" s="35" t="s">
        <v>181</v>
      </c>
      <c r="T52" s="35" t="s">
        <v>822</v>
      </c>
      <c r="U52" s="35">
        <v>34</v>
      </c>
      <c r="V52" s="35">
        <v>34</v>
      </c>
      <c r="W52" s="35">
        <v>0</v>
      </c>
      <c r="X52" s="35">
        <v>7</v>
      </c>
      <c r="Y52" s="35">
        <v>27</v>
      </c>
      <c r="Z52" s="35">
        <v>0</v>
      </c>
      <c r="AA52" s="113">
        <v>345</v>
      </c>
    </row>
    <row r="53" spans="1:27" x14ac:dyDescent="0.25">
      <c r="A53" s="25">
        <v>123</v>
      </c>
      <c r="B53" s="35" t="s">
        <v>1134</v>
      </c>
      <c r="C53" s="35" t="s">
        <v>150</v>
      </c>
      <c r="D53" s="35" t="s">
        <v>189</v>
      </c>
      <c r="E53" s="35" t="s">
        <v>1551</v>
      </c>
      <c r="F53" s="35" t="s">
        <v>191</v>
      </c>
      <c r="G53" s="35">
        <v>1955</v>
      </c>
      <c r="H53" s="35" t="s">
        <v>1400</v>
      </c>
      <c r="I53" s="35" t="s">
        <v>1401</v>
      </c>
      <c r="J53" s="35" t="s">
        <v>153</v>
      </c>
      <c r="K53" s="35" t="s">
        <v>1712</v>
      </c>
      <c r="L53" s="35" t="s">
        <v>1713</v>
      </c>
      <c r="M53" s="35"/>
      <c r="N53" s="35" t="s">
        <v>1714</v>
      </c>
      <c r="O53" s="35"/>
      <c r="P53" s="35" t="s">
        <v>154</v>
      </c>
      <c r="Q53" s="35" t="s">
        <v>9</v>
      </c>
      <c r="R53" s="35" t="s">
        <v>155</v>
      </c>
      <c r="S53" s="35" t="s">
        <v>153</v>
      </c>
      <c r="T53" s="35" t="s">
        <v>822</v>
      </c>
      <c r="U53" s="35">
        <v>54</v>
      </c>
      <c r="V53" s="35">
        <v>34</v>
      </c>
      <c r="W53" s="35">
        <v>19</v>
      </c>
      <c r="X53" s="35">
        <v>0</v>
      </c>
      <c r="Y53" s="35">
        <v>34</v>
      </c>
      <c r="Z53" s="35">
        <v>1</v>
      </c>
      <c r="AA53" s="113">
        <v>311</v>
      </c>
    </row>
    <row r="54" spans="1:27" x14ac:dyDescent="0.25">
      <c r="A54" s="25">
        <v>189</v>
      </c>
      <c r="B54" s="35" t="s">
        <v>188</v>
      </c>
      <c r="C54" s="35" t="s">
        <v>150</v>
      </c>
      <c r="D54" s="35" t="s">
        <v>189</v>
      </c>
      <c r="E54" s="35" t="s">
        <v>190</v>
      </c>
      <c r="F54" s="35" t="s">
        <v>191</v>
      </c>
      <c r="G54" s="35">
        <v>1955</v>
      </c>
      <c r="H54" s="35"/>
      <c r="I54" s="35"/>
      <c r="J54" s="35"/>
      <c r="K54" s="35" t="s">
        <v>192</v>
      </c>
      <c r="L54" s="35" t="s">
        <v>193</v>
      </c>
      <c r="M54" s="35"/>
      <c r="N54" s="35" t="s">
        <v>1327</v>
      </c>
      <c r="O54" s="35"/>
      <c r="P54" s="35" t="s">
        <v>189</v>
      </c>
      <c r="Q54" s="35" t="s">
        <v>9</v>
      </c>
      <c r="R54" s="35" t="s">
        <v>191</v>
      </c>
      <c r="S54" s="35" t="s">
        <v>1328</v>
      </c>
      <c r="T54" s="35" t="s">
        <v>822</v>
      </c>
      <c r="U54" s="35">
        <v>10</v>
      </c>
      <c r="V54" s="35">
        <v>9</v>
      </c>
      <c r="W54" s="35">
        <v>1</v>
      </c>
      <c r="X54" s="35">
        <v>8</v>
      </c>
      <c r="Y54" s="35">
        <v>1</v>
      </c>
      <c r="Z54" s="35">
        <v>0</v>
      </c>
      <c r="AA54" s="113">
        <v>275.95999999999998</v>
      </c>
    </row>
    <row r="55" spans="1:27" x14ac:dyDescent="0.25">
      <c r="A55" s="25">
        <v>198</v>
      </c>
      <c r="B55" s="35" t="s">
        <v>1402</v>
      </c>
      <c r="C55" s="35" t="s">
        <v>150</v>
      </c>
      <c r="D55" s="35" t="s">
        <v>189</v>
      </c>
      <c r="E55" s="35" t="s">
        <v>1552</v>
      </c>
      <c r="F55" s="35" t="s">
        <v>191</v>
      </c>
      <c r="G55" s="35">
        <v>1982</v>
      </c>
      <c r="H55" s="35"/>
      <c r="I55" s="35" t="s">
        <v>1715</v>
      </c>
      <c r="J55" s="35" t="s">
        <v>1403</v>
      </c>
      <c r="K55" s="35" t="s">
        <v>464</v>
      </c>
      <c r="L55" s="35" t="s">
        <v>1404</v>
      </c>
      <c r="M55" s="35" t="s">
        <v>1405</v>
      </c>
      <c r="N55" s="35" t="s">
        <v>1406</v>
      </c>
      <c r="O55" s="35"/>
      <c r="P55" s="35" t="s">
        <v>1407</v>
      </c>
      <c r="Q55" s="35" t="s">
        <v>80</v>
      </c>
      <c r="R55" s="35" t="s">
        <v>1457</v>
      </c>
      <c r="S55" s="35" t="s">
        <v>1408</v>
      </c>
      <c r="T55" s="35" t="s">
        <v>822</v>
      </c>
      <c r="U55" s="35">
        <v>91</v>
      </c>
      <c r="V55" s="35">
        <v>87</v>
      </c>
      <c r="W55" s="35">
        <v>4</v>
      </c>
      <c r="X55" s="35">
        <v>25</v>
      </c>
      <c r="Y55" s="35">
        <v>66</v>
      </c>
      <c r="Z55" s="35">
        <v>0</v>
      </c>
      <c r="AA55" s="113">
        <v>337</v>
      </c>
    </row>
    <row r="56" spans="1:27" x14ac:dyDescent="0.25">
      <c r="A56" s="25">
        <v>125</v>
      </c>
      <c r="B56" s="35" t="s">
        <v>1135</v>
      </c>
      <c r="C56" s="35" t="s">
        <v>150</v>
      </c>
      <c r="D56" s="35" t="s">
        <v>189</v>
      </c>
      <c r="E56" s="35" t="s">
        <v>194</v>
      </c>
      <c r="F56" s="35" t="s">
        <v>191</v>
      </c>
      <c r="G56" s="35">
        <v>1956</v>
      </c>
      <c r="H56" s="35"/>
      <c r="I56" s="35" t="s">
        <v>1128</v>
      </c>
      <c r="J56" s="35" t="s">
        <v>1129</v>
      </c>
      <c r="K56" s="35"/>
      <c r="L56" s="35"/>
      <c r="M56" s="35" t="s">
        <v>1130</v>
      </c>
      <c r="N56" s="35" t="s">
        <v>1548</v>
      </c>
      <c r="O56" s="35"/>
      <c r="P56" s="35" t="s">
        <v>205</v>
      </c>
      <c r="Q56" s="35" t="s">
        <v>9</v>
      </c>
      <c r="R56" s="35" t="s">
        <v>207</v>
      </c>
      <c r="S56" s="35"/>
      <c r="T56" s="35" t="s">
        <v>822</v>
      </c>
      <c r="U56" s="35">
        <v>8</v>
      </c>
      <c r="V56" s="35">
        <v>4</v>
      </c>
      <c r="W56" s="35">
        <v>4</v>
      </c>
      <c r="X56" s="35">
        <v>0</v>
      </c>
      <c r="Y56" s="35">
        <v>4</v>
      </c>
      <c r="Z56" s="35">
        <v>0</v>
      </c>
      <c r="AA56" s="113">
        <v>336</v>
      </c>
    </row>
    <row r="57" spans="1:27" x14ac:dyDescent="0.25">
      <c r="A57" s="25">
        <v>138</v>
      </c>
      <c r="B57" s="35" t="s">
        <v>199</v>
      </c>
      <c r="C57" s="35" t="s">
        <v>200</v>
      </c>
      <c r="D57" s="35" t="s">
        <v>201</v>
      </c>
      <c r="E57" s="35" t="s">
        <v>202</v>
      </c>
      <c r="F57" s="35" t="s">
        <v>203</v>
      </c>
      <c r="G57" s="35">
        <v>1978</v>
      </c>
      <c r="H57" s="35"/>
      <c r="I57" s="35" t="s">
        <v>1684</v>
      </c>
      <c r="J57" s="35" t="s">
        <v>204</v>
      </c>
      <c r="K57" s="35"/>
      <c r="L57" s="35"/>
      <c r="M57" s="35" t="s">
        <v>99</v>
      </c>
      <c r="N57" s="35" t="s">
        <v>1099</v>
      </c>
      <c r="O57" s="35"/>
      <c r="P57" s="35" t="s">
        <v>100</v>
      </c>
      <c r="Q57" s="35" t="s">
        <v>9</v>
      </c>
      <c r="R57" s="35" t="s">
        <v>608</v>
      </c>
      <c r="S57" s="35" t="s">
        <v>1028</v>
      </c>
      <c r="T57" s="35" t="s">
        <v>829</v>
      </c>
      <c r="U57" s="35">
        <v>78</v>
      </c>
      <c r="V57" s="35">
        <v>78</v>
      </c>
      <c r="W57" s="35">
        <v>0</v>
      </c>
      <c r="X57" s="35">
        <v>0</v>
      </c>
      <c r="Y57" s="35">
        <v>78</v>
      </c>
      <c r="Z57" s="35">
        <v>0</v>
      </c>
      <c r="AA57" s="113">
        <v>467</v>
      </c>
    </row>
    <row r="58" spans="1:27" x14ac:dyDescent="0.25">
      <c r="A58" s="25">
        <v>68</v>
      </c>
      <c r="B58" s="35" t="s">
        <v>1274</v>
      </c>
      <c r="C58" s="35" t="s">
        <v>200</v>
      </c>
      <c r="D58" s="35" t="s">
        <v>205</v>
      </c>
      <c r="E58" s="35" t="s">
        <v>206</v>
      </c>
      <c r="F58" s="35" t="s">
        <v>271</v>
      </c>
      <c r="G58" s="35">
        <v>1923</v>
      </c>
      <c r="H58" s="35" t="s">
        <v>1495</v>
      </c>
      <c r="I58" s="35" t="s">
        <v>1496</v>
      </c>
      <c r="J58" s="35" t="s">
        <v>1036</v>
      </c>
      <c r="K58" s="35"/>
      <c r="L58" s="35"/>
      <c r="M58" s="35" t="s">
        <v>1275</v>
      </c>
      <c r="N58" s="35" t="s">
        <v>1276</v>
      </c>
      <c r="O58" s="35"/>
      <c r="P58" s="35" t="s">
        <v>1277</v>
      </c>
      <c r="Q58" s="35" t="s">
        <v>107</v>
      </c>
      <c r="R58" s="35" t="s">
        <v>1314</v>
      </c>
      <c r="S58" s="35" t="s">
        <v>1278</v>
      </c>
      <c r="T58" s="35" t="s">
        <v>855</v>
      </c>
      <c r="U58" s="35">
        <v>119</v>
      </c>
      <c r="V58" s="35">
        <v>115</v>
      </c>
      <c r="W58" s="35">
        <v>2</v>
      </c>
      <c r="X58" s="35">
        <v>0</v>
      </c>
      <c r="Y58" s="35">
        <v>119</v>
      </c>
      <c r="Z58" s="35">
        <v>0</v>
      </c>
      <c r="AA58" s="113">
        <v>426</v>
      </c>
    </row>
    <row r="59" spans="1:27" x14ac:dyDescent="0.25">
      <c r="A59" s="25">
        <v>89</v>
      </c>
      <c r="B59" s="35" t="s">
        <v>1116</v>
      </c>
      <c r="C59" s="35" t="s">
        <v>200</v>
      </c>
      <c r="D59" s="35" t="s">
        <v>208</v>
      </c>
      <c r="E59" s="35" t="s">
        <v>209</v>
      </c>
      <c r="F59" s="35" t="s">
        <v>210</v>
      </c>
      <c r="G59" s="35">
        <v>1966</v>
      </c>
      <c r="H59" s="35" t="s">
        <v>211</v>
      </c>
      <c r="I59" s="35" t="s">
        <v>212</v>
      </c>
      <c r="J59" s="35" t="s">
        <v>213</v>
      </c>
      <c r="K59" s="35" t="s">
        <v>141</v>
      </c>
      <c r="L59" s="35" t="s">
        <v>212</v>
      </c>
      <c r="M59" s="35"/>
      <c r="N59" s="35" t="s">
        <v>214</v>
      </c>
      <c r="O59" s="35"/>
      <c r="P59" s="35" t="s">
        <v>208</v>
      </c>
      <c r="Q59" s="35" t="s">
        <v>9</v>
      </c>
      <c r="R59" s="35" t="s">
        <v>210</v>
      </c>
      <c r="S59" s="35" t="s">
        <v>215</v>
      </c>
      <c r="T59" s="35" t="s">
        <v>822</v>
      </c>
      <c r="U59" s="35">
        <v>7</v>
      </c>
      <c r="V59" s="35">
        <v>7</v>
      </c>
      <c r="W59" s="35">
        <v>0</v>
      </c>
      <c r="X59" s="35">
        <v>0</v>
      </c>
      <c r="Y59" s="35">
        <v>7</v>
      </c>
      <c r="Z59" s="35">
        <v>0</v>
      </c>
      <c r="AA59" s="113">
        <v>560.5</v>
      </c>
    </row>
    <row r="60" spans="1:27" x14ac:dyDescent="0.25">
      <c r="A60" s="25">
        <v>256</v>
      </c>
      <c r="B60" s="35" t="s">
        <v>1716</v>
      </c>
      <c r="C60" s="35" t="s">
        <v>200</v>
      </c>
      <c r="D60" s="35" t="s">
        <v>216</v>
      </c>
      <c r="E60" s="35" t="s">
        <v>224</v>
      </c>
      <c r="F60" s="35" t="s">
        <v>218</v>
      </c>
      <c r="G60" s="35">
        <v>1962</v>
      </c>
      <c r="H60" s="35"/>
      <c r="I60" s="35" t="s">
        <v>1489</v>
      </c>
      <c r="J60" s="35" t="s">
        <v>1490</v>
      </c>
      <c r="K60" s="35"/>
      <c r="L60" s="35"/>
      <c r="M60" s="35" t="s">
        <v>1275</v>
      </c>
      <c r="N60" s="35" t="s">
        <v>1276</v>
      </c>
      <c r="O60" s="35"/>
      <c r="P60" s="35" t="s">
        <v>1277</v>
      </c>
      <c r="Q60" s="35" t="s">
        <v>107</v>
      </c>
      <c r="R60" s="35" t="s">
        <v>1314</v>
      </c>
      <c r="S60" s="35" t="s">
        <v>1278</v>
      </c>
      <c r="T60" s="35" t="s">
        <v>855</v>
      </c>
      <c r="U60" s="35">
        <v>196</v>
      </c>
      <c r="V60" s="35">
        <v>192</v>
      </c>
      <c r="W60" s="35">
        <v>4</v>
      </c>
      <c r="X60" s="35">
        <v>0</v>
      </c>
      <c r="Y60" s="35">
        <v>192</v>
      </c>
      <c r="Z60" s="35">
        <v>0</v>
      </c>
      <c r="AA60" s="113">
        <v>488</v>
      </c>
    </row>
    <row r="61" spans="1:27" x14ac:dyDescent="0.25">
      <c r="A61" s="25">
        <v>253</v>
      </c>
      <c r="B61" s="35" t="s">
        <v>1717</v>
      </c>
      <c r="C61" s="35" t="s">
        <v>200</v>
      </c>
      <c r="D61" s="35" t="s">
        <v>216</v>
      </c>
      <c r="E61" s="35" t="s">
        <v>224</v>
      </c>
      <c r="F61" s="35" t="s">
        <v>218</v>
      </c>
      <c r="G61" s="35">
        <v>1965</v>
      </c>
      <c r="H61" s="35"/>
      <c r="I61" s="35" t="s">
        <v>1489</v>
      </c>
      <c r="J61" s="35" t="s">
        <v>1490</v>
      </c>
      <c r="K61" s="35"/>
      <c r="L61" s="35"/>
      <c r="M61" s="35" t="s">
        <v>1275</v>
      </c>
      <c r="N61" s="35" t="s">
        <v>1276</v>
      </c>
      <c r="O61" s="35"/>
      <c r="P61" s="35" t="s">
        <v>1277</v>
      </c>
      <c r="Q61" s="35" t="s">
        <v>107</v>
      </c>
      <c r="R61" s="35" t="s">
        <v>1314</v>
      </c>
      <c r="S61" s="35" t="s">
        <v>1278</v>
      </c>
      <c r="T61" s="35" t="s">
        <v>855</v>
      </c>
      <c r="U61" s="35">
        <v>44</v>
      </c>
      <c r="V61" s="35">
        <v>44</v>
      </c>
      <c r="W61" s="35">
        <v>0</v>
      </c>
      <c r="X61" s="35">
        <v>1</v>
      </c>
      <c r="Y61" s="35">
        <v>43</v>
      </c>
      <c r="Z61" s="35">
        <v>0</v>
      </c>
      <c r="AA61" s="113">
        <v>492</v>
      </c>
    </row>
    <row r="62" spans="1:27" x14ac:dyDescent="0.25">
      <c r="A62" s="25">
        <v>27</v>
      </c>
      <c r="B62" s="35" t="s">
        <v>225</v>
      </c>
      <c r="C62" s="35" t="s">
        <v>200</v>
      </c>
      <c r="D62" s="35" t="s">
        <v>216</v>
      </c>
      <c r="E62" s="35" t="s">
        <v>226</v>
      </c>
      <c r="F62" s="35" t="s">
        <v>218</v>
      </c>
      <c r="G62" s="35">
        <v>1972</v>
      </c>
      <c r="H62" s="35"/>
      <c r="I62" s="35" t="s">
        <v>1489</v>
      </c>
      <c r="J62" s="35" t="s">
        <v>1490</v>
      </c>
      <c r="K62" s="35"/>
      <c r="L62" s="35"/>
      <c r="M62" s="35" t="s">
        <v>1491</v>
      </c>
      <c r="N62" s="35" t="s">
        <v>1613</v>
      </c>
      <c r="O62" s="35"/>
      <c r="P62" s="35" t="s">
        <v>132</v>
      </c>
      <c r="Q62" s="35" t="s">
        <v>9</v>
      </c>
      <c r="R62" s="35" t="s">
        <v>133</v>
      </c>
      <c r="S62" s="35" t="s">
        <v>1490</v>
      </c>
      <c r="T62" s="35" t="s">
        <v>855</v>
      </c>
      <c r="U62" s="35">
        <v>250</v>
      </c>
      <c r="V62" s="35">
        <v>250</v>
      </c>
      <c r="W62" s="35">
        <v>0</v>
      </c>
      <c r="X62" s="35">
        <v>0</v>
      </c>
      <c r="Y62" s="35">
        <v>250</v>
      </c>
      <c r="Z62" s="35">
        <v>0</v>
      </c>
      <c r="AA62" s="113">
        <v>502</v>
      </c>
    </row>
    <row r="63" spans="1:27" x14ac:dyDescent="0.25">
      <c r="A63" s="25">
        <v>144</v>
      </c>
      <c r="B63" s="35" t="s">
        <v>228</v>
      </c>
      <c r="C63" s="35" t="s">
        <v>200</v>
      </c>
      <c r="D63" s="35" t="s">
        <v>216</v>
      </c>
      <c r="E63" s="35" t="s">
        <v>229</v>
      </c>
      <c r="F63" s="35" t="s">
        <v>218</v>
      </c>
      <c r="G63" s="35">
        <v>0</v>
      </c>
      <c r="H63" s="35"/>
      <c r="I63" s="35" t="s">
        <v>1684</v>
      </c>
      <c r="J63" s="35" t="s">
        <v>204</v>
      </c>
      <c r="K63" s="35"/>
      <c r="L63" s="35"/>
      <c r="M63" s="35" t="s">
        <v>99</v>
      </c>
      <c r="N63" s="35" t="s">
        <v>1099</v>
      </c>
      <c r="O63" s="35"/>
      <c r="P63" s="35" t="s">
        <v>100</v>
      </c>
      <c r="Q63" s="35" t="s">
        <v>9</v>
      </c>
      <c r="R63" s="35" t="s">
        <v>608</v>
      </c>
      <c r="S63" s="35" t="s">
        <v>1028</v>
      </c>
      <c r="T63" s="35" t="s">
        <v>829</v>
      </c>
      <c r="U63" s="35">
        <v>83</v>
      </c>
      <c r="V63" s="35">
        <v>72</v>
      </c>
      <c r="W63" s="35">
        <v>11</v>
      </c>
      <c r="X63" s="35">
        <v>0</v>
      </c>
      <c r="Y63" s="35">
        <v>72</v>
      </c>
      <c r="Z63" s="35">
        <v>0</v>
      </c>
      <c r="AA63" s="113">
        <v>475</v>
      </c>
    </row>
    <row r="64" spans="1:27" x14ac:dyDescent="0.25">
      <c r="A64" s="25">
        <v>81</v>
      </c>
      <c r="B64" s="35" t="s">
        <v>1553</v>
      </c>
      <c r="C64" s="35" t="s">
        <v>200</v>
      </c>
      <c r="D64" s="35" t="s">
        <v>216</v>
      </c>
      <c r="E64" s="35" t="s">
        <v>217</v>
      </c>
      <c r="F64" s="35" t="s">
        <v>218</v>
      </c>
      <c r="G64" s="35">
        <v>1952</v>
      </c>
      <c r="H64" s="35" t="s">
        <v>219</v>
      </c>
      <c r="I64" s="35" t="s">
        <v>220</v>
      </c>
      <c r="J64" s="35" t="s">
        <v>221</v>
      </c>
      <c r="K64" s="35" t="s">
        <v>1492</v>
      </c>
      <c r="L64" s="35" t="s">
        <v>220</v>
      </c>
      <c r="M64" s="35"/>
      <c r="N64" s="35" t="s">
        <v>222</v>
      </c>
      <c r="O64" s="35"/>
      <c r="P64" s="35" t="s">
        <v>216</v>
      </c>
      <c r="Q64" s="35" t="s">
        <v>9</v>
      </c>
      <c r="R64" s="35" t="s">
        <v>218</v>
      </c>
      <c r="S64" s="35" t="s">
        <v>223</v>
      </c>
      <c r="T64" s="35" t="s">
        <v>822</v>
      </c>
      <c r="U64" s="35">
        <v>56</v>
      </c>
      <c r="V64" s="35">
        <v>46</v>
      </c>
      <c r="W64" s="35">
        <v>0</v>
      </c>
      <c r="X64" s="35">
        <v>3</v>
      </c>
      <c r="Y64" s="35">
        <v>46</v>
      </c>
      <c r="Z64" s="35">
        <v>7</v>
      </c>
      <c r="AA64" s="113">
        <v>429</v>
      </c>
    </row>
    <row r="65" spans="1:27" x14ac:dyDescent="0.25">
      <c r="A65" s="25">
        <v>79</v>
      </c>
      <c r="B65" s="35" t="s">
        <v>1110</v>
      </c>
      <c r="C65" s="35" t="s">
        <v>200</v>
      </c>
      <c r="D65" s="35" t="s">
        <v>230</v>
      </c>
      <c r="E65" s="35" t="s">
        <v>231</v>
      </c>
      <c r="F65" s="35" t="s">
        <v>232</v>
      </c>
      <c r="G65" s="35">
        <v>1965</v>
      </c>
      <c r="H65" s="35"/>
      <c r="I65" s="35" t="s">
        <v>1614</v>
      </c>
      <c r="J65" s="35" t="s">
        <v>1329</v>
      </c>
      <c r="K65" s="35"/>
      <c r="L65" s="35"/>
      <c r="M65" s="35" t="s">
        <v>233</v>
      </c>
      <c r="N65" s="35" t="s">
        <v>234</v>
      </c>
      <c r="O65" s="35"/>
      <c r="P65" s="35" t="s">
        <v>235</v>
      </c>
      <c r="Q65" s="35" t="s">
        <v>236</v>
      </c>
      <c r="R65" s="35" t="s">
        <v>237</v>
      </c>
      <c r="S65" s="35" t="s">
        <v>1111</v>
      </c>
      <c r="T65" s="35" t="s">
        <v>822</v>
      </c>
      <c r="U65" s="35">
        <v>15</v>
      </c>
      <c r="V65" s="35">
        <v>15</v>
      </c>
      <c r="W65" s="35">
        <v>0</v>
      </c>
      <c r="X65" s="35">
        <v>0</v>
      </c>
      <c r="Y65" s="35">
        <v>15</v>
      </c>
      <c r="Z65" s="35">
        <v>0</v>
      </c>
      <c r="AA65" s="113">
        <v>482</v>
      </c>
    </row>
    <row r="66" spans="1:27" x14ac:dyDescent="0.25">
      <c r="A66" s="25">
        <v>139</v>
      </c>
      <c r="B66" s="35" t="s">
        <v>1142</v>
      </c>
      <c r="C66" s="35" t="s">
        <v>200</v>
      </c>
      <c r="D66" s="35" t="s">
        <v>238</v>
      </c>
      <c r="E66" s="35" t="s">
        <v>241</v>
      </c>
      <c r="F66" s="35" t="s">
        <v>240</v>
      </c>
      <c r="G66" s="35">
        <v>1968</v>
      </c>
      <c r="H66" s="35"/>
      <c r="I66" s="35" t="s">
        <v>1684</v>
      </c>
      <c r="J66" s="35" t="s">
        <v>204</v>
      </c>
      <c r="K66" s="35"/>
      <c r="L66" s="35"/>
      <c r="M66" s="35" t="s">
        <v>99</v>
      </c>
      <c r="N66" s="35" t="s">
        <v>1099</v>
      </c>
      <c r="O66" s="35"/>
      <c r="P66" s="35" t="s">
        <v>100</v>
      </c>
      <c r="Q66" s="35" t="s">
        <v>9</v>
      </c>
      <c r="R66" s="35" t="s">
        <v>608</v>
      </c>
      <c r="S66" s="35" t="s">
        <v>1028</v>
      </c>
      <c r="T66" s="35" t="s">
        <v>829</v>
      </c>
      <c r="U66" s="35">
        <v>52</v>
      </c>
      <c r="V66" s="35">
        <v>49</v>
      </c>
      <c r="W66" s="35">
        <v>3</v>
      </c>
      <c r="X66" s="35">
        <v>0</v>
      </c>
      <c r="Y66" s="35">
        <v>49</v>
      </c>
      <c r="Z66" s="35">
        <v>0</v>
      </c>
      <c r="AA66" s="113">
        <v>462</v>
      </c>
    </row>
    <row r="67" spans="1:27" x14ac:dyDescent="0.25">
      <c r="A67" s="25">
        <v>101</v>
      </c>
      <c r="B67" s="35" t="s">
        <v>1718</v>
      </c>
      <c r="C67" s="35" t="s">
        <v>200</v>
      </c>
      <c r="D67" s="35" t="s">
        <v>238</v>
      </c>
      <c r="E67" s="35" t="s">
        <v>239</v>
      </c>
      <c r="F67" s="35" t="s">
        <v>243</v>
      </c>
      <c r="G67" s="35">
        <v>1962</v>
      </c>
      <c r="H67" s="35"/>
      <c r="I67" s="35" t="s">
        <v>1719</v>
      </c>
      <c r="J67" s="35" t="s">
        <v>1637</v>
      </c>
      <c r="K67" s="35"/>
      <c r="L67" s="35"/>
      <c r="M67" s="35" t="s">
        <v>1493</v>
      </c>
      <c r="N67" s="35" t="s">
        <v>1494</v>
      </c>
      <c r="O67" s="35"/>
      <c r="P67" s="35" t="s">
        <v>238</v>
      </c>
      <c r="Q67" s="35" t="s">
        <v>9</v>
      </c>
      <c r="R67" s="35" t="s">
        <v>243</v>
      </c>
      <c r="S67" s="35"/>
      <c r="T67" s="35" t="s">
        <v>855</v>
      </c>
      <c r="U67" s="35">
        <v>55</v>
      </c>
      <c r="V67" s="35">
        <v>53</v>
      </c>
      <c r="W67" s="35">
        <v>1</v>
      </c>
      <c r="X67" s="35">
        <v>0</v>
      </c>
      <c r="Y67" s="35">
        <v>53</v>
      </c>
      <c r="Z67" s="35">
        <v>0</v>
      </c>
      <c r="AA67" s="113">
        <v>455</v>
      </c>
    </row>
    <row r="68" spans="1:27" x14ac:dyDescent="0.25">
      <c r="A68" s="25">
        <v>85</v>
      </c>
      <c r="B68" s="35" t="s">
        <v>1114</v>
      </c>
      <c r="C68" s="35" t="s">
        <v>200</v>
      </c>
      <c r="D68" s="35" t="s">
        <v>238</v>
      </c>
      <c r="E68" s="35" t="s">
        <v>242</v>
      </c>
      <c r="F68" s="35" t="s">
        <v>243</v>
      </c>
      <c r="G68" s="35">
        <v>1966</v>
      </c>
      <c r="H68" s="35"/>
      <c r="I68" s="35" t="s">
        <v>1409</v>
      </c>
      <c r="J68" s="35" t="s">
        <v>1364</v>
      </c>
      <c r="K68" s="35"/>
      <c r="L68" s="35"/>
      <c r="M68" s="35" t="s">
        <v>1554</v>
      </c>
      <c r="N68" s="35" t="s">
        <v>195</v>
      </c>
      <c r="O68" s="35" t="s">
        <v>196</v>
      </c>
      <c r="P68" s="35" t="s">
        <v>197</v>
      </c>
      <c r="Q68" s="35" t="s">
        <v>9</v>
      </c>
      <c r="R68" s="35" t="s">
        <v>198</v>
      </c>
      <c r="S68" s="35" t="s">
        <v>1364</v>
      </c>
      <c r="T68" s="35" t="s">
        <v>822</v>
      </c>
      <c r="U68" s="35">
        <v>65</v>
      </c>
      <c r="V68" s="35">
        <v>65</v>
      </c>
      <c r="W68" s="35">
        <v>0</v>
      </c>
      <c r="X68" s="35">
        <v>2</v>
      </c>
      <c r="Y68" s="35">
        <v>63</v>
      </c>
      <c r="Z68" s="35">
        <v>0</v>
      </c>
      <c r="AA68" s="113">
        <v>406</v>
      </c>
    </row>
    <row r="69" spans="1:27" x14ac:dyDescent="0.25">
      <c r="A69" s="25">
        <v>83</v>
      </c>
      <c r="B69" s="35" t="s">
        <v>244</v>
      </c>
      <c r="C69" s="35" t="s">
        <v>200</v>
      </c>
      <c r="D69" s="35" t="s">
        <v>245</v>
      </c>
      <c r="E69" s="35" t="s">
        <v>246</v>
      </c>
      <c r="F69" s="35" t="s">
        <v>247</v>
      </c>
      <c r="G69" s="35">
        <v>1966</v>
      </c>
      <c r="H69" s="35"/>
      <c r="I69" s="35" t="s">
        <v>1684</v>
      </c>
      <c r="J69" s="35" t="s">
        <v>204</v>
      </c>
      <c r="K69" s="35"/>
      <c r="L69" s="35"/>
      <c r="M69" s="35" t="s">
        <v>99</v>
      </c>
      <c r="N69" s="35" t="s">
        <v>1099</v>
      </c>
      <c r="O69" s="35"/>
      <c r="P69" s="35" t="s">
        <v>100</v>
      </c>
      <c r="Q69" s="35" t="s">
        <v>9</v>
      </c>
      <c r="R69" s="35" t="s">
        <v>608</v>
      </c>
      <c r="S69" s="35" t="s">
        <v>1028</v>
      </c>
      <c r="T69" s="35" t="s">
        <v>829</v>
      </c>
      <c r="U69" s="35">
        <v>172</v>
      </c>
      <c r="V69" s="35">
        <v>167</v>
      </c>
      <c r="W69" s="35">
        <v>5</v>
      </c>
      <c r="X69" s="35">
        <v>0</v>
      </c>
      <c r="Y69" s="35">
        <v>167</v>
      </c>
      <c r="Z69" s="35">
        <v>0</v>
      </c>
      <c r="AA69" s="113">
        <v>357</v>
      </c>
    </row>
    <row r="70" spans="1:27" x14ac:dyDescent="0.25">
      <c r="A70" s="25">
        <v>91</v>
      </c>
      <c r="B70" s="35" t="s">
        <v>248</v>
      </c>
      <c r="C70" s="35" t="s">
        <v>200</v>
      </c>
      <c r="D70" s="35" t="s">
        <v>245</v>
      </c>
      <c r="E70" s="35" t="s">
        <v>249</v>
      </c>
      <c r="F70" s="35" t="s">
        <v>247</v>
      </c>
      <c r="G70" s="35">
        <v>1968</v>
      </c>
      <c r="H70" s="35" t="s">
        <v>1495</v>
      </c>
      <c r="I70" s="35" t="s">
        <v>1496</v>
      </c>
      <c r="J70" s="35" t="s">
        <v>1036</v>
      </c>
      <c r="K70" s="35"/>
      <c r="L70" s="35"/>
      <c r="M70" s="35" t="s">
        <v>248</v>
      </c>
      <c r="N70" s="35" t="s">
        <v>1037</v>
      </c>
      <c r="O70" s="35" t="s">
        <v>1038</v>
      </c>
      <c r="P70" s="35" t="s">
        <v>1039</v>
      </c>
      <c r="Q70" s="35" t="s">
        <v>1040</v>
      </c>
      <c r="R70" s="35" t="s">
        <v>1041</v>
      </c>
      <c r="S70" s="35" t="s">
        <v>1036</v>
      </c>
      <c r="T70" s="35" t="s">
        <v>855</v>
      </c>
      <c r="U70" s="35">
        <v>100</v>
      </c>
      <c r="V70" s="35">
        <v>100</v>
      </c>
      <c r="W70" s="35">
        <v>0</v>
      </c>
      <c r="X70" s="35">
        <v>0</v>
      </c>
      <c r="Y70" s="35">
        <v>100</v>
      </c>
      <c r="Z70" s="35">
        <v>0</v>
      </c>
      <c r="AA70" s="113">
        <v>390</v>
      </c>
    </row>
    <row r="71" spans="1:27" x14ac:dyDescent="0.25">
      <c r="A71" s="25">
        <v>126</v>
      </c>
      <c r="B71" s="35" t="s">
        <v>1136</v>
      </c>
      <c r="C71" s="35" t="s">
        <v>200</v>
      </c>
      <c r="D71" s="35" t="s">
        <v>245</v>
      </c>
      <c r="E71" s="35" t="s">
        <v>253</v>
      </c>
      <c r="F71" s="35" t="s">
        <v>247</v>
      </c>
      <c r="G71" s="35">
        <v>1957</v>
      </c>
      <c r="H71" s="35" t="s">
        <v>1400</v>
      </c>
      <c r="I71" s="35" t="s">
        <v>1401</v>
      </c>
      <c r="J71" s="35" t="s">
        <v>153</v>
      </c>
      <c r="K71" s="35" t="s">
        <v>1712</v>
      </c>
      <c r="L71" s="35" t="s">
        <v>1713</v>
      </c>
      <c r="M71" s="35"/>
      <c r="N71" s="35" t="s">
        <v>1714</v>
      </c>
      <c r="O71" s="35"/>
      <c r="P71" s="35" t="s">
        <v>154</v>
      </c>
      <c r="Q71" s="35" t="s">
        <v>9</v>
      </c>
      <c r="R71" s="35" t="s">
        <v>155</v>
      </c>
      <c r="S71" s="35" t="s">
        <v>153</v>
      </c>
      <c r="T71" s="35" t="s">
        <v>822</v>
      </c>
      <c r="U71" s="35">
        <v>51</v>
      </c>
      <c r="V71" s="35">
        <v>51</v>
      </c>
      <c r="W71" s="35">
        <v>0</v>
      </c>
      <c r="X71" s="35">
        <v>0</v>
      </c>
      <c r="Y71" s="35">
        <v>51</v>
      </c>
      <c r="Z71" s="35">
        <v>0</v>
      </c>
      <c r="AA71" s="113">
        <v>351</v>
      </c>
    </row>
    <row r="72" spans="1:27" x14ac:dyDescent="0.25">
      <c r="A72" s="25">
        <v>238</v>
      </c>
      <c r="B72" s="35" t="s">
        <v>254</v>
      </c>
      <c r="C72" s="35" t="s">
        <v>200</v>
      </c>
      <c r="D72" s="35" t="s">
        <v>255</v>
      </c>
      <c r="E72" s="35" t="s">
        <v>256</v>
      </c>
      <c r="F72" s="35" t="s">
        <v>257</v>
      </c>
      <c r="G72" s="35">
        <v>1960</v>
      </c>
      <c r="H72" s="35" t="s">
        <v>1042</v>
      </c>
      <c r="I72" s="35" t="s">
        <v>1043</v>
      </c>
      <c r="J72" s="35" t="s">
        <v>1615</v>
      </c>
      <c r="K72" s="35"/>
      <c r="L72" s="35"/>
      <c r="M72" s="35" t="s">
        <v>258</v>
      </c>
      <c r="N72" s="35" t="s">
        <v>259</v>
      </c>
      <c r="O72" s="35"/>
      <c r="P72" s="35" t="s">
        <v>260</v>
      </c>
      <c r="Q72" s="35" t="s">
        <v>261</v>
      </c>
      <c r="R72" s="35" t="s">
        <v>262</v>
      </c>
      <c r="S72" s="35" t="s">
        <v>263</v>
      </c>
      <c r="T72" s="35" t="s">
        <v>822</v>
      </c>
      <c r="U72" s="35">
        <v>150</v>
      </c>
      <c r="V72" s="35">
        <v>149</v>
      </c>
      <c r="W72" s="35">
        <v>1</v>
      </c>
      <c r="X72" s="35">
        <v>0</v>
      </c>
      <c r="Y72" s="35">
        <v>149</v>
      </c>
      <c r="Z72" s="35">
        <v>0</v>
      </c>
      <c r="AA72" s="113">
        <v>550</v>
      </c>
    </row>
    <row r="73" spans="1:27" x14ac:dyDescent="0.25">
      <c r="A73" s="25">
        <v>82</v>
      </c>
      <c r="B73" s="35" t="s">
        <v>1113</v>
      </c>
      <c r="C73" s="35" t="s">
        <v>200</v>
      </c>
      <c r="D73" s="35" t="s">
        <v>154</v>
      </c>
      <c r="E73" s="35" t="s">
        <v>264</v>
      </c>
      <c r="F73" s="35" t="s">
        <v>155</v>
      </c>
      <c r="G73" s="35">
        <v>1959</v>
      </c>
      <c r="H73" s="35"/>
      <c r="I73" s="35" t="s">
        <v>1489</v>
      </c>
      <c r="J73" s="35" t="s">
        <v>1490</v>
      </c>
      <c r="K73" s="35"/>
      <c r="L73" s="35"/>
      <c r="M73" s="35" t="s">
        <v>1497</v>
      </c>
      <c r="N73" s="35" t="s">
        <v>1498</v>
      </c>
      <c r="O73" s="35" t="s">
        <v>1499</v>
      </c>
      <c r="P73" s="35" t="s">
        <v>132</v>
      </c>
      <c r="Q73" s="35" t="s">
        <v>9</v>
      </c>
      <c r="R73" s="35" t="s">
        <v>133</v>
      </c>
      <c r="S73" s="35" t="s">
        <v>1490</v>
      </c>
      <c r="T73" s="35" t="s">
        <v>855</v>
      </c>
      <c r="U73" s="35">
        <v>64</v>
      </c>
      <c r="V73" s="35">
        <v>64</v>
      </c>
      <c r="W73" s="35">
        <v>0</v>
      </c>
      <c r="X73" s="35">
        <v>0</v>
      </c>
      <c r="Y73" s="35">
        <v>64</v>
      </c>
      <c r="Z73" s="35">
        <v>0</v>
      </c>
      <c r="AA73" s="113">
        <v>323</v>
      </c>
    </row>
    <row r="74" spans="1:27" x14ac:dyDescent="0.25">
      <c r="A74" s="25">
        <v>96</v>
      </c>
      <c r="B74" s="35" t="s">
        <v>265</v>
      </c>
      <c r="C74" s="35" t="s">
        <v>200</v>
      </c>
      <c r="D74" s="35" t="s">
        <v>154</v>
      </c>
      <c r="E74" s="35" t="s">
        <v>266</v>
      </c>
      <c r="F74" s="35" t="s">
        <v>155</v>
      </c>
      <c r="G74" s="35">
        <v>1965</v>
      </c>
      <c r="H74" s="35" t="s">
        <v>267</v>
      </c>
      <c r="I74" s="35" t="s">
        <v>268</v>
      </c>
      <c r="J74" s="35" t="s">
        <v>1720</v>
      </c>
      <c r="K74" s="35" t="s">
        <v>141</v>
      </c>
      <c r="L74" s="35" t="s">
        <v>269</v>
      </c>
      <c r="M74" s="35"/>
      <c r="N74" s="35" t="s">
        <v>270</v>
      </c>
      <c r="O74" s="35"/>
      <c r="P74" s="35" t="s">
        <v>205</v>
      </c>
      <c r="Q74" s="35" t="s">
        <v>9</v>
      </c>
      <c r="R74" s="35" t="s">
        <v>271</v>
      </c>
      <c r="S74" s="35" t="s">
        <v>272</v>
      </c>
      <c r="T74" s="35" t="s">
        <v>822</v>
      </c>
      <c r="U74" s="35">
        <v>17</v>
      </c>
      <c r="V74" s="35">
        <v>17</v>
      </c>
      <c r="W74" s="35">
        <v>0</v>
      </c>
      <c r="X74" s="35">
        <v>16</v>
      </c>
      <c r="Y74" s="35">
        <v>1</v>
      </c>
      <c r="Z74" s="35">
        <v>0</v>
      </c>
      <c r="AA74" s="113">
        <v>300</v>
      </c>
    </row>
    <row r="75" spans="1:27" x14ac:dyDescent="0.25">
      <c r="A75" s="25">
        <v>279</v>
      </c>
      <c r="B75" s="35" t="s">
        <v>1616</v>
      </c>
      <c r="C75" s="35" t="s">
        <v>200</v>
      </c>
      <c r="D75" s="35" t="s">
        <v>154</v>
      </c>
      <c r="E75" s="35" t="s">
        <v>1279</v>
      </c>
      <c r="F75" s="35" t="s">
        <v>155</v>
      </c>
      <c r="G75" s="35">
        <v>1950</v>
      </c>
      <c r="H75" s="35"/>
      <c r="I75" s="35" t="s">
        <v>1636</v>
      </c>
      <c r="J75" s="35" t="s">
        <v>1500</v>
      </c>
      <c r="K75" s="35"/>
      <c r="L75" s="35"/>
      <c r="M75" s="35" t="s">
        <v>1616</v>
      </c>
      <c r="N75" s="35" t="s">
        <v>1280</v>
      </c>
      <c r="O75" s="35"/>
      <c r="P75" s="35" t="s">
        <v>154</v>
      </c>
      <c r="Q75" s="35" t="s">
        <v>9</v>
      </c>
      <c r="R75" s="35" t="s">
        <v>155</v>
      </c>
      <c r="S75" s="35"/>
      <c r="T75" s="35" t="s">
        <v>855</v>
      </c>
      <c r="U75" s="35">
        <v>28</v>
      </c>
      <c r="V75" s="35">
        <v>28</v>
      </c>
      <c r="W75" s="35">
        <v>0</v>
      </c>
      <c r="X75" s="35">
        <v>0</v>
      </c>
      <c r="Y75" s="35">
        <v>28</v>
      </c>
      <c r="Z75" s="35">
        <v>0</v>
      </c>
      <c r="AA75" s="113">
        <v>318</v>
      </c>
    </row>
    <row r="76" spans="1:27" x14ac:dyDescent="0.25">
      <c r="A76" s="25">
        <v>28</v>
      </c>
      <c r="B76" s="35" t="s">
        <v>273</v>
      </c>
      <c r="C76" s="35" t="s">
        <v>200</v>
      </c>
      <c r="D76" s="35" t="s">
        <v>274</v>
      </c>
      <c r="E76" s="35" t="s">
        <v>275</v>
      </c>
      <c r="F76" s="35" t="s">
        <v>133</v>
      </c>
      <c r="G76" s="35">
        <v>1967</v>
      </c>
      <c r="H76" s="35"/>
      <c r="I76" s="35" t="s">
        <v>1721</v>
      </c>
      <c r="J76" s="35" t="s">
        <v>1617</v>
      </c>
      <c r="K76" s="35"/>
      <c r="L76" s="35"/>
      <c r="M76" s="35" t="s">
        <v>1416</v>
      </c>
      <c r="N76" s="35" t="s">
        <v>1618</v>
      </c>
      <c r="O76" s="35"/>
      <c r="P76" s="35" t="s">
        <v>1619</v>
      </c>
      <c r="Q76" s="35" t="s">
        <v>1620</v>
      </c>
      <c r="R76" s="35" t="s">
        <v>1673</v>
      </c>
      <c r="S76" s="35" t="s">
        <v>1621</v>
      </c>
      <c r="T76" s="35" t="s">
        <v>822</v>
      </c>
      <c r="U76" s="35">
        <v>8</v>
      </c>
      <c r="V76" s="35">
        <v>6</v>
      </c>
      <c r="W76" s="35">
        <v>2</v>
      </c>
      <c r="X76" s="35">
        <v>2</v>
      </c>
      <c r="Y76" s="35">
        <v>4</v>
      </c>
      <c r="Z76" s="35">
        <v>0</v>
      </c>
      <c r="AA76" s="113">
        <v>395</v>
      </c>
    </row>
    <row r="77" spans="1:27" x14ac:dyDescent="0.25">
      <c r="A77" s="25">
        <v>130</v>
      </c>
      <c r="B77" s="35" t="s">
        <v>276</v>
      </c>
      <c r="C77" s="35" t="s">
        <v>200</v>
      </c>
      <c r="D77" s="35" t="s">
        <v>274</v>
      </c>
      <c r="E77" s="35" t="s">
        <v>277</v>
      </c>
      <c r="F77" s="35" t="s">
        <v>133</v>
      </c>
      <c r="G77" s="35">
        <v>1966</v>
      </c>
      <c r="H77" s="35"/>
      <c r="I77" s="35" t="s">
        <v>1489</v>
      </c>
      <c r="J77" s="35" t="s">
        <v>1490</v>
      </c>
      <c r="K77" s="35"/>
      <c r="L77" s="35"/>
      <c r="M77" s="35" t="s">
        <v>1501</v>
      </c>
      <c r="N77" s="35" t="s">
        <v>1498</v>
      </c>
      <c r="O77" s="35" t="s">
        <v>1499</v>
      </c>
      <c r="P77" s="35" t="s">
        <v>132</v>
      </c>
      <c r="Q77" s="35" t="s">
        <v>9</v>
      </c>
      <c r="R77" s="35" t="s">
        <v>133</v>
      </c>
      <c r="S77" s="35"/>
      <c r="T77" s="35" t="s">
        <v>855</v>
      </c>
      <c r="U77" s="35">
        <v>120</v>
      </c>
      <c r="V77" s="35">
        <v>118</v>
      </c>
      <c r="W77" s="35">
        <v>0</v>
      </c>
      <c r="X77" s="35">
        <v>0</v>
      </c>
      <c r="Y77" s="35">
        <v>118</v>
      </c>
      <c r="Z77" s="35">
        <v>0</v>
      </c>
      <c r="AA77" s="113">
        <v>432</v>
      </c>
    </row>
    <row r="78" spans="1:27" x14ac:dyDescent="0.25">
      <c r="A78" s="25">
        <v>75</v>
      </c>
      <c r="B78" s="35" t="s">
        <v>286</v>
      </c>
      <c r="C78" s="35" t="s">
        <v>200</v>
      </c>
      <c r="D78" s="35" t="s">
        <v>132</v>
      </c>
      <c r="E78" s="35" t="s">
        <v>287</v>
      </c>
      <c r="F78" s="35" t="s">
        <v>133</v>
      </c>
      <c r="G78" s="35">
        <v>1970</v>
      </c>
      <c r="H78" s="35"/>
      <c r="I78" s="35" t="s">
        <v>289</v>
      </c>
      <c r="J78" s="35" t="s">
        <v>1722</v>
      </c>
      <c r="K78" s="35"/>
      <c r="L78" s="35"/>
      <c r="M78" s="35" t="s">
        <v>289</v>
      </c>
      <c r="N78" s="35" t="s">
        <v>290</v>
      </c>
      <c r="O78" s="35"/>
      <c r="P78" s="35" t="s">
        <v>205</v>
      </c>
      <c r="Q78" s="35" t="s">
        <v>9</v>
      </c>
      <c r="R78" s="35" t="s">
        <v>207</v>
      </c>
      <c r="S78" s="35" t="s">
        <v>291</v>
      </c>
      <c r="T78" s="35" t="s">
        <v>829</v>
      </c>
      <c r="U78" s="35">
        <v>8</v>
      </c>
      <c r="V78" s="35">
        <v>8</v>
      </c>
      <c r="W78" s="35">
        <v>0</v>
      </c>
      <c r="X78" s="35">
        <v>0</v>
      </c>
      <c r="Y78" s="35">
        <v>8</v>
      </c>
      <c r="Z78" s="35">
        <v>0</v>
      </c>
      <c r="AA78" s="113">
        <v>426</v>
      </c>
    </row>
    <row r="79" spans="1:27" x14ac:dyDescent="0.25">
      <c r="A79" s="25">
        <v>281</v>
      </c>
      <c r="B79" s="35" t="s">
        <v>278</v>
      </c>
      <c r="C79" s="35" t="s">
        <v>200</v>
      </c>
      <c r="D79" s="35" t="s">
        <v>132</v>
      </c>
      <c r="E79" s="35" t="s">
        <v>279</v>
      </c>
      <c r="F79" s="35" t="s">
        <v>133</v>
      </c>
      <c r="G79" s="35">
        <v>1987</v>
      </c>
      <c r="H79" s="35" t="s">
        <v>280</v>
      </c>
      <c r="I79" s="35" t="s">
        <v>281</v>
      </c>
      <c r="J79" s="35" t="s">
        <v>282</v>
      </c>
      <c r="K79" s="35" t="s">
        <v>280</v>
      </c>
      <c r="L79" s="35" t="s">
        <v>281</v>
      </c>
      <c r="M79" s="35"/>
      <c r="N79" s="35" t="s">
        <v>283</v>
      </c>
      <c r="O79" s="35"/>
      <c r="P79" s="35" t="s">
        <v>284</v>
      </c>
      <c r="Q79" s="35" t="s">
        <v>9</v>
      </c>
      <c r="R79" s="35" t="s">
        <v>285</v>
      </c>
      <c r="S79" s="35" t="s">
        <v>282</v>
      </c>
      <c r="T79" s="35" t="s">
        <v>822</v>
      </c>
      <c r="U79" s="35">
        <v>6</v>
      </c>
      <c r="V79" s="35">
        <v>6</v>
      </c>
      <c r="W79" s="35">
        <v>0</v>
      </c>
      <c r="X79" s="35">
        <v>5</v>
      </c>
      <c r="Y79" s="35">
        <v>1</v>
      </c>
      <c r="Z79" s="35">
        <v>0</v>
      </c>
      <c r="AA79" s="113">
        <v>519.21</v>
      </c>
    </row>
    <row r="80" spans="1:27" x14ac:dyDescent="0.25">
      <c r="A80" s="25">
        <v>129</v>
      </c>
      <c r="B80" s="35" t="s">
        <v>293</v>
      </c>
      <c r="C80" s="35" t="s">
        <v>200</v>
      </c>
      <c r="D80" s="35" t="s">
        <v>132</v>
      </c>
      <c r="E80" s="35" t="s">
        <v>292</v>
      </c>
      <c r="F80" s="35" t="s">
        <v>133</v>
      </c>
      <c r="G80" s="35">
        <v>1983</v>
      </c>
      <c r="H80" s="35"/>
      <c r="I80" s="35" t="s">
        <v>1044</v>
      </c>
      <c r="J80" s="35" t="s">
        <v>1410</v>
      </c>
      <c r="K80" s="35"/>
      <c r="L80" s="35"/>
      <c r="M80" s="35" t="s">
        <v>293</v>
      </c>
      <c r="N80" s="35" t="s">
        <v>292</v>
      </c>
      <c r="O80" s="35" t="s">
        <v>292</v>
      </c>
      <c r="P80" s="35" t="s">
        <v>132</v>
      </c>
      <c r="Q80" s="35" t="s">
        <v>9</v>
      </c>
      <c r="R80" s="35" t="s">
        <v>133</v>
      </c>
      <c r="S80" s="35" t="s">
        <v>1410</v>
      </c>
      <c r="T80" s="35" t="s">
        <v>855</v>
      </c>
      <c r="U80" s="35">
        <v>112</v>
      </c>
      <c r="V80" s="35">
        <v>112</v>
      </c>
      <c r="W80" s="35">
        <v>0</v>
      </c>
      <c r="X80" s="35">
        <v>0</v>
      </c>
      <c r="Y80" s="35">
        <v>112</v>
      </c>
      <c r="Z80" s="35">
        <v>0</v>
      </c>
      <c r="AA80" s="113">
        <v>325</v>
      </c>
    </row>
    <row r="81" spans="1:27" x14ac:dyDescent="0.25">
      <c r="A81" s="25">
        <v>199</v>
      </c>
      <c r="B81" s="35" t="s">
        <v>1555</v>
      </c>
      <c r="C81" s="35" t="s">
        <v>230</v>
      </c>
      <c r="D81" s="35" t="s">
        <v>294</v>
      </c>
      <c r="E81" s="35" t="s">
        <v>295</v>
      </c>
      <c r="F81" s="35" t="s">
        <v>296</v>
      </c>
      <c r="G81" s="35">
        <v>1970</v>
      </c>
      <c r="H81" s="35"/>
      <c r="I81" s="35" t="s">
        <v>1503</v>
      </c>
      <c r="J81" s="35" t="s">
        <v>1507</v>
      </c>
      <c r="K81" s="35" t="s">
        <v>1556</v>
      </c>
      <c r="L81" s="35" t="s">
        <v>1502</v>
      </c>
      <c r="M81" s="35" t="s">
        <v>1503</v>
      </c>
      <c r="N81" s="35" t="s">
        <v>1504</v>
      </c>
      <c r="O81" s="35" t="s">
        <v>1505</v>
      </c>
      <c r="P81" s="35" t="s">
        <v>1506</v>
      </c>
      <c r="Q81" s="35" t="s">
        <v>9</v>
      </c>
      <c r="R81" s="35" t="s">
        <v>1543</v>
      </c>
      <c r="S81" s="35" t="s">
        <v>1507</v>
      </c>
      <c r="T81" s="35" t="s">
        <v>822</v>
      </c>
      <c r="U81" s="35">
        <v>18</v>
      </c>
      <c r="V81" s="35">
        <v>18</v>
      </c>
      <c r="W81" s="35">
        <v>0</v>
      </c>
      <c r="X81" s="35">
        <v>0</v>
      </c>
      <c r="Y81" s="35">
        <v>18</v>
      </c>
      <c r="Z81" s="35">
        <v>0</v>
      </c>
      <c r="AA81" s="113">
        <v>254</v>
      </c>
    </row>
    <row r="82" spans="1:27" x14ac:dyDescent="0.25">
      <c r="A82" s="25">
        <v>74</v>
      </c>
      <c r="B82" s="35" t="s">
        <v>1622</v>
      </c>
      <c r="C82" s="35" t="s">
        <v>230</v>
      </c>
      <c r="D82" s="35" t="s">
        <v>297</v>
      </c>
      <c r="E82" s="35" t="s">
        <v>1623</v>
      </c>
      <c r="F82" s="35" t="s">
        <v>1723</v>
      </c>
      <c r="G82" s="35">
        <v>1967</v>
      </c>
      <c r="H82" s="35"/>
      <c r="I82" s="35" t="s">
        <v>1701</v>
      </c>
      <c r="J82" s="35" t="s">
        <v>1724</v>
      </c>
      <c r="K82" s="35"/>
      <c r="L82" s="35"/>
      <c r="M82" s="35" t="s">
        <v>1725</v>
      </c>
      <c r="N82" s="35" t="s">
        <v>1704</v>
      </c>
      <c r="O82" s="35"/>
      <c r="P82" s="35" t="s">
        <v>1705</v>
      </c>
      <c r="Q82" s="35" t="s">
        <v>1706</v>
      </c>
      <c r="R82" s="35" t="s">
        <v>1707</v>
      </c>
      <c r="S82" s="35"/>
      <c r="T82" s="35" t="s">
        <v>822</v>
      </c>
      <c r="U82" s="35">
        <v>24</v>
      </c>
      <c r="V82" s="35">
        <v>21</v>
      </c>
      <c r="W82" s="35">
        <v>3</v>
      </c>
      <c r="X82" s="35">
        <v>1</v>
      </c>
      <c r="Y82" s="35">
        <v>20</v>
      </c>
      <c r="Z82" s="35">
        <v>0</v>
      </c>
      <c r="AA82" s="113">
        <v>290</v>
      </c>
    </row>
    <row r="83" spans="1:27" x14ac:dyDescent="0.25">
      <c r="A83" s="25">
        <v>314</v>
      </c>
      <c r="B83" s="35" t="s">
        <v>1045</v>
      </c>
      <c r="C83" s="35" t="s">
        <v>299</v>
      </c>
      <c r="D83" s="35" t="s">
        <v>300</v>
      </c>
      <c r="E83" s="35" t="s">
        <v>303</v>
      </c>
      <c r="F83" s="35" t="s">
        <v>301</v>
      </c>
      <c r="G83" s="35">
        <v>2005</v>
      </c>
      <c r="H83" s="35" t="s">
        <v>304</v>
      </c>
      <c r="I83" s="35" t="s">
        <v>305</v>
      </c>
      <c r="J83" s="35" t="s">
        <v>306</v>
      </c>
      <c r="K83" s="35" t="s">
        <v>304</v>
      </c>
      <c r="L83" s="35" t="s">
        <v>305</v>
      </c>
      <c r="M83" s="35"/>
      <c r="N83" s="35" t="s">
        <v>303</v>
      </c>
      <c r="O83" s="35"/>
      <c r="P83" s="35" t="s">
        <v>307</v>
      </c>
      <c r="Q83" s="35" t="s">
        <v>9</v>
      </c>
      <c r="R83" s="35" t="s">
        <v>308</v>
      </c>
      <c r="S83" s="35" t="s">
        <v>306</v>
      </c>
      <c r="T83" s="35" t="s">
        <v>822</v>
      </c>
      <c r="U83" s="35">
        <v>5</v>
      </c>
      <c r="V83" s="35">
        <v>5</v>
      </c>
      <c r="W83" s="35">
        <v>0</v>
      </c>
      <c r="X83" s="35">
        <v>4</v>
      </c>
      <c r="Y83" s="35">
        <v>1</v>
      </c>
      <c r="Z83" s="35">
        <v>0</v>
      </c>
      <c r="AA83" s="113">
        <v>350</v>
      </c>
    </row>
    <row r="84" spans="1:27" x14ac:dyDescent="0.25">
      <c r="A84" s="25">
        <v>88</v>
      </c>
      <c r="B84" s="35" t="s">
        <v>1624</v>
      </c>
      <c r="C84" s="35" t="s">
        <v>299</v>
      </c>
      <c r="D84" s="35" t="s">
        <v>300</v>
      </c>
      <c r="E84" s="35" t="s">
        <v>1115</v>
      </c>
      <c r="F84" s="35" t="s">
        <v>301</v>
      </c>
      <c r="G84" s="35">
        <v>1963</v>
      </c>
      <c r="H84" s="35" t="s">
        <v>1557</v>
      </c>
      <c r="I84" s="35" t="s">
        <v>1412</v>
      </c>
      <c r="J84" s="35" t="s">
        <v>1366</v>
      </c>
      <c r="K84" s="35" t="s">
        <v>1411</v>
      </c>
      <c r="L84" s="35" t="s">
        <v>1412</v>
      </c>
      <c r="M84" s="35" t="s">
        <v>1508</v>
      </c>
      <c r="N84" s="35" t="s">
        <v>1509</v>
      </c>
      <c r="O84" s="35"/>
      <c r="P84" s="35" t="s">
        <v>302</v>
      </c>
      <c r="Q84" s="35" t="s">
        <v>9</v>
      </c>
      <c r="R84" s="35" t="s">
        <v>301</v>
      </c>
      <c r="S84" s="35" t="s">
        <v>1366</v>
      </c>
      <c r="T84" s="35" t="s">
        <v>822</v>
      </c>
      <c r="U84" s="35">
        <v>38</v>
      </c>
      <c r="V84" s="35">
        <v>37</v>
      </c>
      <c r="W84" s="35">
        <v>1</v>
      </c>
      <c r="X84" s="35">
        <v>0</v>
      </c>
      <c r="Y84" s="35">
        <v>37</v>
      </c>
      <c r="Z84" s="35">
        <v>0</v>
      </c>
      <c r="AA84" s="113">
        <v>355</v>
      </c>
    </row>
    <row r="85" spans="1:27" x14ac:dyDescent="0.25">
      <c r="A85" s="25">
        <v>104</v>
      </c>
      <c r="B85" s="35" t="s">
        <v>309</v>
      </c>
      <c r="C85" s="35" t="s">
        <v>299</v>
      </c>
      <c r="D85" s="35" t="s">
        <v>310</v>
      </c>
      <c r="E85" s="35" t="s">
        <v>311</v>
      </c>
      <c r="F85" s="35" t="s">
        <v>247</v>
      </c>
      <c r="G85" s="35">
        <v>1967</v>
      </c>
      <c r="H85" s="35" t="s">
        <v>1281</v>
      </c>
      <c r="I85" s="35" t="s">
        <v>312</v>
      </c>
      <c r="J85" s="35" t="s">
        <v>1726</v>
      </c>
      <c r="K85" s="35" t="s">
        <v>1365</v>
      </c>
      <c r="L85" s="35" t="s">
        <v>312</v>
      </c>
      <c r="M85" s="35" t="s">
        <v>1413</v>
      </c>
      <c r="N85" s="35" t="s">
        <v>1047</v>
      </c>
      <c r="O85" s="35"/>
      <c r="P85" s="35" t="s">
        <v>245</v>
      </c>
      <c r="Q85" s="35" t="s">
        <v>9</v>
      </c>
      <c r="R85" s="35" t="s">
        <v>247</v>
      </c>
      <c r="S85" s="35" t="s">
        <v>1046</v>
      </c>
      <c r="T85" s="35" t="s">
        <v>822</v>
      </c>
      <c r="U85" s="35">
        <v>14</v>
      </c>
      <c r="V85" s="35">
        <v>14</v>
      </c>
      <c r="W85" s="35">
        <v>0</v>
      </c>
      <c r="X85" s="35">
        <v>0</v>
      </c>
      <c r="Y85" s="35">
        <v>14</v>
      </c>
      <c r="Z85" s="35">
        <v>0</v>
      </c>
      <c r="AA85" s="113">
        <v>347</v>
      </c>
    </row>
    <row r="86" spans="1:27" x14ac:dyDescent="0.25">
      <c r="A86" s="25">
        <v>181</v>
      </c>
      <c r="B86" s="35" t="s">
        <v>1172</v>
      </c>
      <c r="C86" s="35" t="s">
        <v>299</v>
      </c>
      <c r="D86" s="35" t="s">
        <v>313</v>
      </c>
      <c r="E86" s="35" t="s">
        <v>1049</v>
      </c>
      <c r="F86" s="35" t="s">
        <v>328</v>
      </c>
      <c r="G86" s="35">
        <v>1966</v>
      </c>
      <c r="H86" s="35" t="s">
        <v>1495</v>
      </c>
      <c r="I86" s="35" t="s">
        <v>1496</v>
      </c>
      <c r="J86" s="35" t="s">
        <v>1036</v>
      </c>
      <c r="K86" s="35"/>
      <c r="L86" s="35"/>
      <c r="M86" s="35" t="s">
        <v>1048</v>
      </c>
      <c r="N86" s="35" t="s">
        <v>1049</v>
      </c>
      <c r="O86" s="35"/>
      <c r="P86" s="35" t="s">
        <v>327</v>
      </c>
      <c r="Q86" s="35" t="s">
        <v>9</v>
      </c>
      <c r="R86" s="35" t="s">
        <v>328</v>
      </c>
      <c r="S86" s="35"/>
      <c r="T86" s="35" t="s">
        <v>855</v>
      </c>
      <c r="U86" s="35">
        <v>9</v>
      </c>
      <c r="V86" s="35">
        <v>8</v>
      </c>
      <c r="W86" s="35">
        <v>1</v>
      </c>
      <c r="X86" s="35">
        <v>0</v>
      </c>
      <c r="Y86" s="35">
        <v>8</v>
      </c>
      <c r="Z86" s="35">
        <v>0</v>
      </c>
      <c r="AA86" s="113">
        <v>360</v>
      </c>
    </row>
    <row r="87" spans="1:27" x14ac:dyDescent="0.25">
      <c r="A87" s="25">
        <v>113</v>
      </c>
      <c r="B87" s="35" t="s">
        <v>1124</v>
      </c>
      <c r="C87" s="35" t="s">
        <v>299</v>
      </c>
      <c r="D87" s="35" t="s">
        <v>313</v>
      </c>
      <c r="E87" s="35" t="s">
        <v>1558</v>
      </c>
      <c r="F87" s="35" t="s">
        <v>315</v>
      </c>
      <c r="G87" s="35">
        <v>1968</v>
      </c>
      <c r="H87" s="35" t="s">
        <v>288</v>
      </c>
      <c r="I87" s="35" t="s">
        <v>323</v>
      </c>
      <c r="J87" s="35" t="s">
        <v>324</v>
      </c>
      <c r="K87" s="35" t="s">
        <v>288</v>
      </c>
      <c r="L87" s="35" t="s">
        <v>323</v>
      </c>
      <c r="M87" s="35"/>
      <c r="N87" s="35" t="s">
        <v>325</v>
      </c>
      <c r="O87" s="35"/>
      <c r="P87" s="35" t="s">
        <v>313</v>
      </c>
      <c r="Q87" s="35" t="s">
        <v>9</v>
      </c>
      <c r="R87" s="35" t="s">
        <v>315</v>
      </c>
      <c r="S87" s="35" t="s">
        <v>324</v>
      </c>
      <c r="T87" s="35" t="s">
        <v>822</v>
      </c>
      <c r="U87" s="35">
        <v>5</v>
      </c>
      <c r="V87" s="35">
        <v>5</v>
      </c>
      <c r="W87" s="35">
        <v>0</v>
      </c>
      <c r="X87" s="35">
        <v>0</v>
      </c>
      <c r="Y87" s="35">
        <v>5</v>
      </c>
      <c r="Z87" s="35">
        <v>0</v>
      </c>
      <c r="AA87" s="113">
        <v>320</v>
      </c>
    </row>
    <row r="88" spans="1:27" x14ac:dyDescent="0.25">
      <c r="A88" s="25">
        <v>103</v>
      </c>
      <c r="B88" s="35" t="s">
        <v>329</v>
      </c>
      <c r="C88" s="35" t="s">
        <v>299</v>
      </c>
      <c r="D88" s="35" t="s">
        <v>313</v>
      </c>
      <c r="E88" s="35" t="s">
        <v>330</v>
      </c>
      <c r="F88" s="35" t="s">
        <v>315</v>
      </c>
      <c r="G88" s="35">
        <v>1982</v>
      </c>
      <c r="H88" s="35" t="s">
        <v>1727</v>
      </c>
      <c r="I88" s="35" t="s">
        <v>332</v>
      </c>
      <c r="J88" s="35" t="s">
        <v>333</v>
      </c>
      <c r="K88" s="35" t="s">
        <v>331</v>
      </c>
      <c r="L88" s="35" t="s">
        <v>332</v>
      </c>
      <c r="M88" s="35"/>
      <c r="N88" s="35" t="s">
        <v>1728</v>
      </c>
      <c r="O88" s="35"/>
      <c r="P88" s="35" t="s">
        <v>250</v>
      </c>
      <c r="Q88" s="35" t="s">
        <v>9</v>
      </c>
      <c r="R88" s="35" t="s">
        <v>251</v>
      </c>
      <c r="S88" s="35" t="s">
        <v>333</v>
      </c>
      <c r="T88" s="35" t="s">
        <v>822</v>
      </c>
      <c r="U88" s="35">
        <v>9</v>
      </c>
      <c r="V88" s="35">
        <v>9</v>
      </c>
      <c r="W88" s="35">
        <v>0</v>
      </c>
      <c r="X88" s="35">
        <v>9</v>
      </c>
      <c r="Y88" s="35">
        <v>0</v>
      </c>
      <c r="Z88" s="35">
        <v>0</v>
      </c>
      <c r="AA88" s="113">
        <v>0</v>
      </c>
    </row>
    <row r="89" spans="1:27" x14ac:dyDescent="0.25">
      <c r="A89" s="25">
        <v>98</v>
      </c>
      <c r="B89" s="35" t="s">
        <v>1120</v>
      </c>
      <c r="C89" s="35" t="s">
        <v>299</v>
      </c>
      <c r="D89" s="35" t="s">
        <v>313</v>
      </c>
      <c r="E89" s="35" t="s">
        <v>322</v>
      </c>
      <c r="F89" s="35" t="s">
        <v>315</v>
      </c>
      <c r="G89" s="35">
        <v>1970</v>
      </c>
      <c r="H89" s="35"/>
      <c r="I89" s="35" t="s">
        <v>1729</v>
      </c>
      <c r="J89" s="35" t="s">
        <v>1730</v>
      </c>
      <c r="K89" s="35" t="s">
        <v>1731</v>
      </c>
      <c r="L89" s="35" t="s">
        <v>1625</v>
      </c>
      <c r="M89" s="35" t="s">
        <v>1729</v>
      </c>
      <c r="N89" s="35" t="s">
        <v>1732</v>
      </c>
      <c r="O89" s="35"/>
      <c r="P89" s="35" t="s">
        <v>327</v>
      </c>
      <c r="Q89" s="35" t="s">
        <v>9</v>
      </c>
      <c r="R89" s="35" t="s">
        <v>328</v>
      </c>
      <c r="S89" s="35" t="s">
        <v>1730</v>
      </c>
      <c r="T89" s="35" t="s">
        <v>822</v>
      </c>
      <c r="U89" s="35">
        <v>8</v>
      </c>
      <c r="V89" s="35">
        <v>6</v>
      </c>
      <c r="W89" s="35">
        <v>0</v>
      </c>
      <c r="X89" s="35">
        <v>0</v>
      </c>
      <c r="Y89" s="35">
        <v>7</v>
      </c>
      <c r="Z89" s="35">
        <v>0</v>
      </c>
      <c r="AA89" s="113">
        <v>274</v>
      </c>
    </row>
    <row r="90" spans="1:27" x14ac:dyDescent="0.25">
      <c r="A90" s="25">
        <v>100</v>
      </c>
      <c r="B90" s="35" t="s">
        <v>1415</v>
      </c>
      <c r="C90" s="35" t="s">
        <v>299</v>
      </c>
      <c r="D90" s="35" t="s">
        <v>313</v>
      </c>
      <c r="E90" s="35" t="s">
        <v>314</v>
      </c>
      <c r="F90" s="35" t="s">
        <v>315</v>
      </c>
      <c r="G90" s="35">
        <v>1992</v>
      </c>
      <c r="H90" s="35" t="s">
        <v>316</v>
      </c>
      <c r="I90" s="35" t="s">
        <v>317</v>
      </c>
      <c r="J90" s="35" t="s">
        <v>318</v>
      </c>
      <c r="K90" s="35" t="s">
        <v>316</v>
      </c>
      <c r="L90" s="35" t="s">
        <v>317</v>
      </c>
      <c r="M90" s="35"/>
      <c r="N90" s="35" t="s">
        <v>319</v>
      </c>
      <c r="O90" s="35" t="s">
        <v>320</v>
      </c>
      <c r="P90" s="35" t="s">
        <v>321</v>
      </c>
      <c r="Q90" s="35" t="s">
        <v>9</v>
      </c>
      <c r="R90" s="35" t="s">
        <v>315</v>
      </c>
      <c r="S90" s="35" t="s">
        <v>318</v>
      </c>
      <c r="T90" s="35" t="s">
        <v>822</v>
      </c>
      <c r="U90" s="35">
        <v>7</v>
      </c>
      <c r="V90" s="35">
        <v>7</v>
      </c>
      <c r="W90" s="35">
        <v>0</v>
      </c>
      <c r="X90" s="35">
        <v>0</v>
      </c>
      <c r="Y90" s="35">
        <v>7</v>
      </c>
      <c r="Z90" s="35">
        <v>0</v>
      </c>
      <c r="AA90" s="113">
        <v>335</v>
      </c>
    </row>
    <row r="91" spans="1:27" x14ac:dyDescent="0.25">
      <c r="A91" s="25">
        <v>71</v>
      </c>
      <c r="B91" s="35" t="s">
        <v>1559</v>
      </c>
      <c r="C91" s="35" t="s">
        <v>299</v>
      </c>
      <c r="D91" s="35" t="s">
        <v>307</v>
      </c>
      <c r="E91" s="35" t="s">
        <v>334</v>
      </c>
      <c r="F91" s="35" t="s">
        <v>308</v>
      </c>
      <c r="G91" s="35">
        <v>1966</v>
      </c>
      <c r="H91" s="35" t="s">
        <v>661</v>
      </c>
      <c r="I91" s="35" t="s">
        <v>1733</v>
      </c>
      <c r="J91" s="35" t="s">
        <v>1617</v>
      </c>
      <c r="K91" s="35"/>
      <c r="L91" s="35"/>
      <c r="M91" s="35" t="s">
        <v>1416</v>
      </c>
      <c r="N91" s="35" t="s">
        <v>1618</v>
      </c>
      <c r="O91" s="35"/>
      <c r="P91" s="35" t="s">
        <v>1619</v>
      </c>
      <c r="Q91" s="35" t="s">
        <v>1620</v>
      </c>
      <c r="R91" s="35" t="s">
        <v>1673</v>
      </c>
      <c r="S91" s="35" t="s">
        <v>1621</v>
      </c>
      <c r="T91" s="35" t="s">
        <v>822</v>
      </c>
      <c r="U91" s="35">
        <v>10</v>
      </c>
      <c r="V91" s="35">
        <v>10</v>
      </c>
      <c r="W91" s="35">
        <v>0</v>
      </c>
      <c r="X91" s="35">
        <v>0</v>
      </c>
      <c r="Y91" s="35">
        <v>10</v>
      </c>
      <c r="Z91" s="35">
        <v>0</v>
      </c>
      <c r="AA91" s="113">
        <v>334</v>
      </c>
    </row>
    <row r="92" spans="1:27" x14ac:dyDescent="0.25">
      <c r="A92" s="25">
        <v>70</v>
      </c>
      <c r="B92" s="35" t="s">
        <v>1560</v>
      </c>
      <c r="C92" s="35" t="s">
        <v>299</v>
      </c>
      <c r="D92" s="35" t="s">
        <v>307</v>
      </c>
      <c r="E92" s="35" t="s">
        <v>335</v>
      </c>
      <c r="F92" s="35" t="s">
        <v>308</v>
      </c>
      <c r="G92" s="35">
        <v>1970</v>
      </c>
      <c r="H92" s="35" t="s">
        <v>661</v>
      </c>
      <c r="I92" s="35" t="s">
        <v>1733</v>
      </c>
      <c r="J92" s="35" t="s">
        <v>1617</v>
      </c>
      <c r="K92" s="35"/>
      <c r="L92" s="35"/>
      <c r="M92" s="35" t="s">
        <v>1416</v>
      </c>
      <c r="N92" s="35" t="s">
        <v>1618</v>
      </c>
      <c r="O92" s="35"/>
      <c r="P92" s="35" t="s">
        <v>1619</v>
      </c>
      <c r="Q92" s="35" t="s">
        <v>1620</v>
      </c>
      <c r="R92" s="35" t="s">
        <v>1673</v>
      </c>
      <c r="S92" s="35" t="s">
        <v>1621</v>
      </c>
      <c r="T92" s="35" t="s">
        <v>822</v>
      </c>
      <c r="U92" s="35">
        <v>19</v>
      </c>
      <c r="V92" s="35">
        <v>17</v>
      </c>
      <c r="W92" s="35">
        <v>2</v>
      </c>
      <c r="X92" s="35">
        <v>0</v>
      </c>
      <c r="Y92" s="35">
        <v>13</v>
      </c>
      <c r="Z92" s="35">
        <v>0</v>
      </c>
      <c r="AA92" s="113">
        <v>334</v>
      </c>
    </row>
    <row r="93" spans="1:27" x14ac:dyDescent="0.25">
      <c r="A93" s="25">
        <v>109</v>
      </c>
      <c r="B93" s="35" t="s">
        <v>1121</v>
      </c>
      <c r="C93" s="35" t="s">
        <v>299</v>
      </c>
      <c r="D93" s="35" t="s">
        <v>336</v>
      </c>
      <c r="E93" s="35" t="s">
        <v>1510</v>
      </c>
      <c r="F93" s="35" t="s">
        <v>337</v>
      </c>
      <c r="G93" s="35">
        <v>1968</v>
      </c>
      <c r="H93" s="35" t="s">
        <v>1626</v>
      </c>
      <c r="I93" s="35" t="s">
        <v>1067</v>
      </c>
      <c r="J93" s="35" t="s">
        <v>1627</v>
      </c>
      <c r="K93" s="35" t="s">
        <v>1282</v>
      </c>
      <c r="L93" s="35" t="s">
        <v>338</v>
      </c>
      <c r="M93" s="35"/>
      <c r="N93" s="35" t="s">
        <v>1734</v>
      </c>
      <c r="O93" s="35"/>
      <c r="P93" s="35" t="s">
        <v>250</v>
      </c>
      <c r="Q93" s="35" t="s">
        <v>9</v>
      </c>
      <c r="R93" s="35" t="s">
        <v>251</v>
      </c>
      <c r="S93" s="35" t="s">
        <v>1628</v>
      </c>
      <c r="T93" s="35" t="s">
        <v>822</v>
      </c>
      <c r="U93" s="35">
        <v>7</v>
      </c>
      <c r="V93" s="35">
        <v>7</v>
      </c>
      <c r="W93" s="35">
        <v>0</v>
      </c>
      <c r="X93" s="35">
        <v>0</v>
      </c>
      <c r="Y93" s="35">
        <v>7</v>
      </c>
      <c r="Z93" s="35">
        <v>0</v>
      </c>
      <c r="AA93" s="113">
        <v>207.6</v>
      </c>
    </row>
    <row r="94" spans="1:27" x14ac:dyDescent="0.25">
      <c r="A94" s="25">
        <v>118</v>
      </c>
      <c r="B94" s="35" t="s">
        <v>1126</v>
      </c>
      <c r="C94" s="35" t="s">
        <v>299</v>
      </c>
      <c r="D94" s="35" t="s">
        <v>250</v>
      </c>
      <c r="E94" s="35" t="s">
        <v>339</v>
      </c>
      <c r="F94" s="35" t="s">
        <v>251</v>
      </c>
      <c r="G94" s="35">
        <v>1953</v>
      </c>
      <c r="H94" s="35" t="s">
        <v>1400</v>
      </c>
      <c r="I94" s="35" t="s">
        <v>1401</v>
      </c>
      <c r="J94" s="35" t="s">
        <v>153</v>
      </c>
      <c r="K94" s="35" t="s">
        <v>1712</v>
      </c>
      <c r="L94" s="35" t="s">
        <v>1713</v>
      </c>
      <c r="M94" s="35"/>
      <c r="N94" s="35" t="s">
        <v>1714</v>
      </c>
      <c r="O94" s="35"/>
      <c r="P94" s="35" t="s">
        <v>154</v>
      </c>
      <c r="Q94" s="35" t="s">
        <v>9</v>
      </c>
      <c r="R94" s="35" t="s">
        <v>155</v>
      </c>
      <c r="S94" s="35" t="s">
        <v>153</v>
      </c>
      <c r="T94" s="35" t="s">
        <v>822</v>
      </c>
      <c r="U94" s="35">
        <v>30</v>
      </c>
      <c r="V94" s="35">
        <v>24</v>
      </c>
      <c r="W94" s="35">
        <v>3</v>
      </c>
      <c r="X94" s="35">
        <v>0</v>
      </c>
      <c r="Y94" s="35">
        <v>24</v>
      </c>
      <c r="Z94" s="35">
        <v>3</v>
      </c>
      <c r="AA94" s="113">
        <v>360</v>
      </c>
    </row>
    <row r="95" spans="1:27" x14ac:dyDescent="0.25">
      <c r="A95" s="25">
        <v>107</v>
      </c>
      <c r="B95" s="35" t="s">
        <v>1735</v>
      </c>
      <c r="C95" s="35" t="s">
        <v>299</v>
      </c>
      <c r="D95" s="35" t="s">
        <v>250</v>
      </c>
      <c r="E95" s="35" t="s">
        <v>348</v>
      </c>
      <c r="F95" s="35" t="s">
        <v>251</v>
      </c>
      <c r="G95" s="35">
        <v>2014</v>
      </c>
      <c r="H95" s="35" t="s">
        <v>1736</v>
      </c>
      <c r="I95" s="35" t="s">
        <v>1737</v>
      </c>
      <c r="J95" s="35" t="s">
        <v>1738</v>
      </c>
      <c r="K95" s="35" t="s">
        <v>1736</v>
      </c>
      <c r="L95" s="35" t="s">
        <v>1737</v>
      </c>
      <c r="M95" s="35"/>
      <c r="N95" s="35" t="s">
        <v>1739</v>
      </c>
      <c r="O95" s="35"/>
      <c r="P95" s="35" t="s">
        <v>250</v>
      </c>
      <c r="Q95" s="35" t="s">
        <v>9</v>
      </c>
      <c r="R95" s="35" t="s">
        <v>251</v>
      </c>
      <c r="S95" s="35"/>
      <c r="T95" s="35" t="s">
        <v>822</v>
      </c>
      <c r="U95" s="35">
        <v>13</v>
      </c>
      <c r="V95" s="35">
        <v>13</v>
      </c>
      <c r="W95" s="35">
        <v>0</v>
      </c>
      <c r="X95" s="35">
        <v>11</v>
      </c>
      <c r="Y95" s="35">
        <v>2</v>
      </c>
      <c r="Z95" s="35">
        <v>0</v>
      </c>
      <c r="AA95" s="113">
        <v>390.78</v>
      </c>
    </row>
    <row r="96" spans="1:27" x14ac:dyDescent="0.25">
      <c r="A96" s="25">
        <v>93</v>
      </c>
      <c r="B96" s="35" t="s">
        <v>343</v>
      </c>
      <c r="C96" s="35" t="s">
        <v>299</v>
      </c>
      <c r="D96" s="35" t="s">
        <v>250</v>
      </c>
      <c r="E96" s="35" t="s">
        <v>344</v>
      </c>
      <c r="F96" s="35" t="s">
        <v>251</v>
      </c>
      <c r="G96" s="35">
        <v>1945</v>
      </c>
      <c r="H96" s="35"/>
      <c r="I96" s="35" t="s">
        <v>1740</v>
      </c>
      <c r="J96" s="35" t="s">
        <v>1283</v>
      </c>
      <c r="K96" s="35" t="s">
        <v>748</v>
      </c>
      <c r="L96" s="35" t="s">
        <v>345</v>
      </c>
      <c r="M96" s="35"/>
      <c r="N96" s="35" t="s">
        <v>1050</v>
      </c>
      <c r="O96" s="35"/>
      <c r="P96" s="35" t="s">
        <v>250</v>
      </c>
      <c r="Q96" s="35" t="s">
        <v>9</v>
      </c>
      <c r="R96" s="35" t="s">
        <v>251</v>
      </c>
      <c r="S96" s="35" t="s">
        <v>1284</v>
      </c>
      <c r="T96" s="35" t="s">
        <v>822</v>
      </c>
      <c r="U96" s="35">
        <v>9</v>
      </c>
      <c r="V96" s="35">
        <v>9</v>
      </c>
      <c r="W96" s="35">
        <v>0</v>
      </c>
      <c r="X96" s="35">
        <v>0</v>
      </c>
      <c r="Y96" s="35">
        <v>9</v>
      </c>
      <c r="Z96" s="35">
        <v>0</v>
      </c>
      <c r="AA96" s="113">
        <v>380</v>
      </c>
    </row>
    <row r="97" spans="1:27" x14ac:dyDescent="0.25">
      <c r="A97" s="25">
        <v>94</v>
      </c>
      <c r="B97" s="35" t="s">
        <v>1118</v>
      </c>
      <c r="C97" s="35" t="s">
        <v>299</v>
      </c>
      <c r="D97" s="35" t="s">
        <v>250</v>
      </c>
      <c r="E97" s="35" t="s">
        <v>340</v>
      </c>
      <c r="F97" s="35" t="s">
        <v>251</v>
      </c>
      <c r="G97" s="35">
        <v>1968</v>
      </c>
      <c r="H97" s="35" t="s">
        <v>1325</v>
      </c>
      <c r="I97" s="35" t="s">
        <v>1417</v>
      </c>
      <c r="J97" s="35"/>
      <c r="K97" s="35" t="s">
        <v>605</v>
      </c>
      <c r="L97" s="35" t="s">
        <v>341</v>
      </c>
      <c r="M97" s="35"/>
      <c r="N97" s="35" t="s">
        <v>340</v>
      </c>
      <c r="O97" s="35"/>
      <c r="P97" s="35" t="s">
        <v>250</v>
      </c>
      <c r="Q97" s="35" t="s">
        <v>9</v>
      </c>
      <c r="R97" s="35" t="s">
        <v>251</v>
      </c>
      <c r="S97" s="35" t="s">
        <v>1511</v>
      </c>
      <c r="T97" s="35" t="s">
        <v>822</v>
      </c>
      <c r="U97" s="35">
        <v>25</v>
      </c>
      <c r="V97" s="35">
        <v>25</v>
      </c>
      <c r="W97" s="35">
        <v>0</v>
      </c>
      <c r="X97" s="35">
        <v>1</v>
      </c>
      <c r="Y97" s="35">
        <v>24</v>
      </c>
      <c r="Z97" s="35">
        <v>0</v>
      </c>
      <c r="AA97" s="113">
        <v>342</v>
      </c>
    </row>
    <row r="98" spans="1:27" x14ac:dyDescent="0.25">
      <c r="A98" s="25">
        <v>92</v>
      </c>
      <c r="B98" s="35" t="s">
        <v>1117</v>
      </c>
      <c r="C98" s="35" t="s">
        <v>299</v>
      </c>
      <c r="D98" s="35" t="s">
        <v>250</v>
      </c>
      <c r="E98" s="35" t="s">
        <v>1561</v>
      </c>
      <c r="F98" s="35" t="s">
        <v>251</v>
      </c>
      <c r="G98" s="35">
        <v>1962</v>
      </c>
      <c r="H98" s="35"/>
      <c r="I98" s="35"/>
      <c r="J98" s="35"/>
      <c r="K98" s="35" t="s">
        <v>1564</v>
      </c>
      <c r="L98" s="35" t="s">
        <v>1562</v>
      </c>
      <c r="M98" s="35"/>
      <c r="N98" s="35" t="s">
        <v>1565</v>
      </c>
      <c r="O98" s="35"/>
      <c r="P98" s="35" t="s">
        <v>307</v>
      </c>
      <c r="Q98" s="35" t="s">
        <v>9</v>
      </c>
      <c r="R98" s="35" t="s">
        <v>308</v>
      </c>
      <c r="S98" s="35" t="s">
        <v>1563</v>
      </c>
      <c r="T98" s="35" t="s">
        <v>822</v>
      </c>
      <c r="U98" s="35">
        <v>7</v>
      </c>
      <c r="V98" s="35">
        <v>5</v>
      </c>
      <c r="W98" s="35">
        <v>0</v>
      </c>
      <c r="X98" s="35">
        <v>3</v>
      </c>
      <c r="Y98" s="35">
        <v>2</v>
      </c>
      <c r="Z98" s="35">
        <v>0</v>
      </c>
      <c r="AA98" s="113">
        <v>375</v>
      </c>
    </row>
    <row r="99" spans="1:27" x14ac:dyDescent="0.25">
      <c r="A99" s="25">
        <v>112</v>
      </c>
      <c r="B99" s="35" t="s">
        <v>1123</v>
      </c>
      <c r="C99" s="35" t="s">
        <v>299</v>
      </c>
      <c r="D99" s="35" t="s">
        <v>250</v>
      </c>
      <c r="E99" s="35" t="s">
        <v>346</v>
      </c>
      <c r="F99" s="35" t="s">
        <v>251</v>
      </c>
      <c r="G99" s="35">
        <v>1967</v>
      </c>
      <c r="H99" s="35" t="s">
        <v>1123</v>
      </c>
      <c r="I99" s="35" t="s">
        <v>1629</v>
      </c>
      <c r="J99" s="35"/>
      <c r="K99" s="35" t="s">
        <v>1330</v>
      </c>
      <c r="L99" s="35" t="s">
        <v>347</v>
      </c>
      <c r="M99" s="35"/>
      <c r="N99" s="35" t="s">
        <v>1367</v>
      </c>
      <c r="O99" s="35"/>
      <c r="P99" s="35" t="s">
        <v>1368</v>
      </c>
      <c r="Q99" s="35" t="s">
        <v>9</v>
      </c>
      <c r="R99" s="35" t="s">
        <v>251</v>
      </c>
      <c r="S99" s="35"/>
      <c r="T99" s="35" t="s">
        <v>822</v>
      </c>
      <c r="U99" s="35">
        <v>60</v>
      </c>
      <c r="V99" s="35">
        <v>60</v>
      </c>
      <c r="W99" s="35">
        <v>0</v>
      </c>
      <c r="X99" s="35">
        <v>0</v>
      </c>
      <c r="Y99" s="35">
        <v>60</v>
      </c>
      <c r="Z99" s="35">
        <v>0</v>
      </c>
      <c r="AA99" s="113">
        <v>384</v>
      </c>
    </row>
    <row r="100" spans="1:27" x14ac:dyDescent="0.25">
      <c r="A100" s="25">
        <v>267</v>
      </c>
      <c r="B100" s="35" t="s">
        <v>1194</v>
      </c>
      <c r="C100" s="35" t="s">
        <v>299</v>
      </c>
      <c r="D100" s="35" t="s">
        <v>250</v>
      </c>
      <c r="E100" s="35" t="s">
        <v>342</v>
      </c>
      <c r="F100" s="35" t="s">
        <v>251</v>
      </c>
      <c r="G100" s="35">
        <v>1970</v>
      </c>
      <c r="H100" s="35"/>
      <c r="I100" s="35" t="s">
        <v>289</v>
      </c>
      <c r="J100" s="35" t="s">
        <v>252</v>
      </c>
      <c r="K100" s="35"/>
      <c r="L100" s="35"/>
      <c r="M100" s="35" t="s">
        <v>289</v>
      </c>
      <c r="N100" s="35" t="s">
        <v>290</v>
      </c>
      <c r="O100" s="35"/>
      <c r="P100" s="35" t="s">
        <v>205</v>
      </c>
      <c r="Q100" s="35" t="s">
        <v>9</v>
      </c>
      <c r="R100" s="35" t="s">
        <v>207</v>
      </c>
      <c r="S100" s="35" t="s">
        <v>291</v>
      </c>
      <c r="T100" s="35" t="s">
        <v>829</v>
      </c>
      <c r="U100" s="35">
        <v>9</v>
      </c>
      <c r="V100" s="35">
        <v>8</v>
      </c>
      <c r="W100" s="35">
        <v>0</v>
      </c>
      <c r="X100" s="35">
        <v>0</v>
      </c>
      <c r="Y100" s="35">
        <v>8</v>
      </c>
      <c r="Z100" s="35">
        <v>0</v>
      </c>
      <c r="AA100" s="113">
        <v>327.75</v>
      </c>
    </row>
    <row r="101" spans="1:27" x14ac:dyDescent="0.25">
      <c r="A101" s="25">
        <v>95</v>
      </c>
      <c r="B101" s="35" t="s">
        <v>1119</v>
      </c>
      <c r="C101" s="35" t="s">
        <v>299</v>
      </c>
      <c r="D101" s="35" t="s">
        <v>250</v>
      </c>
      <c r="E101" s="35" t="s">
        <v>340</v>
      </c>
      <c r="F101" s="35" t="s">
        <v>251</v>
      </c>
      <c r="G101" s="35">
        <v>1991</v>
      </c>
      <c r="H101" s="35" t="s">
        <v>1325</v>
      </c>
      <c r="I101" s="35" t="s">
        <v>1417</v>
      </c>
      <c r="J101" s="35" t="s">
        <v>1511</v>
      </c>
      <c r="K101" s="35" t="s">
        <v>605</v>
      </c>
      <c r="L101" s="35" t="s">
        <v>341</v>
      </c>
      <c r="M101" s="35"/>
      <c r="N101" s="35" t="s">
        <v>340</v>
      </c>
      <c r="O101" s="35"/>
      <c r="P101" s="35" t="s">
        <v>250</v>
      </c>
      <c r="Q101" s="35" t="s">
        <v>9</v>
      </c>
      <c r="R101" s="35" t="s">
        <v>251</v>
      </c>
      <c r="S101" s="35" t="s">
        <v>1511</v>
      </c>
      <c r="T101" s="35" t="s">
        <v>822</v>
      </c>
      <c r="U101" s="35">
        <v>60</v>
      </c>
      <c r="V101" s="35">
        <v>60</v>
      </c>
      <c r="W101" s="35">
        <v>0</v>
      </c>
      <c r="X101" s="35">
        <v>0</v>
      </c>
      <c r="Y101" s="35">
        <v>60</v>
      </c>
      <c r="Z101" s="35">
        <v>0</v>
      </c>
      <c r="AA101" s="113">
        <v>364</v>
      </c>
    </row>
    <row r="102" spans="1:27" x14ac:dyDescent="0.25">
      <c r="A102" s="25">
        <v>254</v>
      </c>
      <c r="B102" s="35" t="s">
        <v>1418</v>
      </c>
      <c r="C102" s="35" t="s">
        <v>299</v>
      </c>
      <c r="D102" s="35" t="s">
        <v>327</v>
      </c>
      <c r="E102" s="35" t="s">
        <v>1051</v>
      </c>
      <c r="F102" s="35" t="s">
        <v>328</v>
      </c>
      <c r="G102" s="35">
        <v>1968</v>
      </c>
      <c r="H102" s="35"/>
      <c r="I102" s="35" t="s">
        <v>1612</v>
      </c>
      <c r="J102" s="35"/>
      <c r="K102" s="35"/>
      <c r="L102" s="35"/>
      <c r="M102" s="35" t="s">
        <v>1612</v>
      </c>
      <c r="N102" s="35" t="s">
        <v>1741</v>
      </c>
      <c r="O102" s="35"/>
      <c r="P102" s="35" t="s">
        <v>216</v>
      </c>
      <c r="Q102" s="35" t="s">
        <v>9</v>
      </c>
      <c r="R102" s="35" t="s">
        <v>218</v>
      </c>
      <c r="S102" s="35" t="s">
        <v>1742</v>
      </c>
      <c r="T102" s="35" t="s">
        <v>822</v>
      </c>
      <c r="U102" s="35">
        <v>18</v>
      </c>
      <c r="V102" s="35">
        <v>18</v>
      </c>
      <c r="W102" s="35">
        <v>0</v>
      </c>
      <c r="X102" s="35">
        <v>0</v>
      </c>
      <c r="Y102" s="35">
        <v>18</v>
      </c>
      <c r="Z102" s="35">
        <v>0</v>
      </c>
      <c r="AA102" s="113">
        <v>427</v>
      </c>
    </row>
    <row r="103" spans="1:27" x14ac:dyDescent="0.25">
      <c r="A103" s="25">
        <v>300</v>
      </c>
      <c r="B103" s="35" t="s">
        <v>1743</v>
      </c>
      <c r="C103" s="35" t="s">
        <v>299</v>
      </c>
      <c r="D103" s="35" t="s">
        <v>327</v>
      </c>
      <c r="E103" s="35" t="s">
        <v>365</v>
      </c>
      <c r="F103" s="35" t="s">
        <v>328</v>
      </c>
      <c r="G103" s="35">
        <v>1960</v>
      </c>
      <c r="H103" s="35" t="s">
        <v>1630</v>
      </c>
      <c r="I103" s="35" t="s">
        <v>369</v>
      </c>
      <c r="J103" s="35" t="s">
        <v>1632</v>
      </c>
      <c r="K103" s="35" t="s">
        <v>1630</v>
      </c>
      <c r="L103" s="35" t="s">
        <v>369</v>
      </c>
      <c r="M103" s="35"/>
      <c r="N103" s="35" t="s">
        <v>1631</v>
      </c>
      <c r="O103" s="35"/>
      <c r="P103" s="35" t="s">
        <v>327</v>
      </c>
      <c r="Q103" s="35" t="s">
        <v>9</v>
      </c>
      <c r="R103" s="35" t="s">
        <v>328</v>
      </c>
      <c r="S103" s="35" t="s">
        <v>1632</v>
      </c>
      <c r="T103" s="35" t="s">
        <v>822</v>
      </c>
      <c r="U103" s="35">
        <v>4</v>
      </c>
      <c r="V103" s="35">
        <v>2</v>
      </c>
      <c r="W103" s="35">
        <v>0</v>
      </c>
      <c r="X103" s="35">
        <v>4</v>
      </c>
      <c r="Y103" s="35">
        <v>0</v>
      </c>
      <c r="Z103" s="35">
        <v>0</v>
      </c>
      <c r="AA103" s="113">
        <v>0</v>
      </c>
    </row>
    <row r="104" spans="1:27" x14ac:dyDescent="0.25">
      <c r="A104" s="25">
        <v>230</v>
      </c>
      <c r="B104" s="35" t="s">
        <v>349</v>
      </c>
      <c r="C104" s="35" t="s">
        <v>299</v>
      </c>
      <c r="D104" s="35" t="s">
        <v>327</v>
      </c>
      <c r="E104" s="35" t="s">
        <v>350</v>
      </c>
      <c r="F104" s="35" t="s">
        <v>328</v>
      </c>
      <c r="G104" s="35">
        <v>1971</v>
      </c>
      <c r="H104" s="35" t="s">
        <v>351</v>
      </c>
      <c r="I104" s="35" t="s">
        <v>352</v>
      </c>
      <c r="J104" s="35"/>
      <c r="K104" s="35" t="s">
        <v>351</v>
      </c>
      <c r="L104" s="35" t="s">
        <v>352</v>
      </c>
      <c r="M104" s="35"/>
      <c r="N104" s="35" t="s">
        <v>354</v>
      </c>
      <c r="O104" s="35"/>
      <c r="P104" s="35" t="s">
        <v>197</v>
      </c>
      <c r="Q104" s="35" t="s">
        <v>9</v>
      </c>
      <c r="R104" s="35" t="s">
        <v>355</v>
      </c>
      <c r="S104" s="35" t="s">
        <v>353</v>
      </c>
      <c r="T104" s="35" t="s">
        <v>822</v>
      </c>
      <c r="U104" s="35">
        <v>12</v>
      </c>
      <c r="V104" s="35">
        <v>10</v>
      </c>
      <c r="W104" s="35">
        <v>1</v>
      </c>
      <c r="X104" s="35">
        <v>0</v>
      </c>
      <c r="Y104" s="35">
        <v>10</v>
      </c>
      <c r="Z104" s="35">
        <v>2</v>
      </c>
      <c r="AA104" s="113">
        <v>415</v>
      </c>
    </row>
    <row r="105" spans="1:27" x14ac:dyDescent="0.25">
      <c r="A105" s="25">
        <v>249</v>
      </c>
      <c r="B105" s="35" t="s">
        <v>356</v>
      </c>
      <c r="C105" s="35" t="s">
        <v>299</v>
      </c>
      <c r="D105" s="35" t="s">
        <v>327</v>
      </c>
      <c r="E105" s="35" t="s">
        <v>357</v>
      </c>
      <c r="F105" s="35" t="s">
        <v>328</v>
      </c>
      <c r="G105" s="35">
        <v>1960</v>
      </c>
      <c r="H105" s="35" t="s">
        <v>1495</v>
      </c>
      <c r="I105" s="35" t="s">
        <v>1496</v>
      </c>
      <c r="J105" s="35" t="s">
        <v>1036</v>
      </c>
      <c r="K105" s="35"/>
      <c r="L105" s="35"/>
      <c r="M105" s="35" t="s">
        <v>358</v>
      </c>
      <c r="N105" s="35" t="s">
        <v>1037</v>
      </c>
      <c r="O105" s="35" t="s">
        <v>1038</v>
      </c>
      <c r="P105" s="35" t="s">
        <v>1039</v>
      </c>
      <c r="Q105" s="35" t="s">
        <v>1040</v>
      </c>
      <c r="R105" s="35" t="s">
        <v>1041</v>
      </c>
      <c r="S105" s="35" t="s">
        <v>1036</v>
      </c>
      <c r="T105" s="35" t="s">
        <v>855</v>
      </c>
      <c r="U105" s="35">
        <v>30</v>
      </c>
      <c r="V105" s="35">
        <v>30</v>
      </c>
      <c r="W105" s="35">
        <v>0</v>
      </c>
      <c r="X105" s="35">
        <v>0</v>
      </c>
      <c r="Y105" s="35">
        <v>30</v>
      </c>
      <c r="Z105" s="35">
        <v>0</v>
      </c>
      <c r="AA105" s="113">
        <v>390</v>
      </c>
    </row>
    <row r="106" spans="1:27" x14ac:dyDescent="0.25">
      <c r="A106" s="25">
        <v>110</v>
      </c>
      <c r="B106" s="35" t="s">
        <v>367</v>
      </c>
      <c r="C106" s="35" t="s">
        <v>299</v>
      </c>
      <c r="D106" s="35" t="s">
        <v>327</v>
      </c>
      <c r="E106" s="35" t="s">
        <v>368</v>
      </c>
      <c r="F106" s="35" t="s">
        <v>328</v>
      </c>
      <c r="G106" s="35">
        <v>1960</v>
      </c>
      <c r="H106" s="35" t="s">
        <v>227</v>
      </c>
      <c r="I106" s="35" t="s">
        <v>369</v>
      </c>
      <c r="J106" s="35" t="s">
        <v>1331</v>
      </c>
      <c r="K106" s="35" t="s">
        <v>227</v>
      </c>
      <c r="L106" s="35" t="s">
        <v>369</v>
      </c>
      <c r="M106" s="35"/>
      <c r="N106" s="35" t="s">
        <v>370</v>
      </c>
      <c r="O106" s="35"/>
      <c r="P106" s="35" t="s">
        <v>327</v>
      </c>
      <c r="Q106" s="35" t="s">
        <v>9</v>
      </c>
      <c r="R106" s="35" t="s">
        <v>328</v>
      </c>
      <c r="S106" s="35" t="s">
        <v>1331</v>
      </c>
      <c r="T106" s="35" t="s">
        <v>822</v>
      </c>
      <c r="U106" s="35">
        <v>5</v>
      </c>
      <c r="V106" s="35">
        <v>3</v>
      </c>
      <c r="W106" s="35">
        <v>0</v>
      </c>
      <c r="X106" s="35">
        <v>0</v>
      </c>
      <c r="Y106" s="35">
        <v>3</v>
      </c>
      <c r="Z106" s="35">
        <v>0</v>
      </c>
      <c r="AA106" s="113">
        <v>175</v>
      </c>
    </row>
    <row r="107" spans="1:27" x14ac:dyDescent="0.25">
      <c r="A107" s="25">
        <v>115</v>
      </c>
      <c r="B107" s="35" t="s">
        <v>359</v>
      </c>
      <c r="C107" s="35" t="s">
        <v>299</v>
      </c>
      <c r="D107" s="35" t="s">
        <v>327</v>
      </c>
      <c r="E107" s="35" t="s">
        <v>360</v>
      </c>
      <c r="F107" s="35" t="s">
        <v>328</v>
      </c>
      <c r="G107" s="35">
        <v>1961</v>
      </c>
      <c r="H107" s="35" t="s">
        <v>361</v>
      </c>
      <c r="I107" s="35" t="s">
        <v>362</v>
      </c>
      <c r="J107" s="35" t="s">
        <v>363</v>
      </c>
      <c r="K107" s="35" t="s">
        <v>361</v>
      </c>
      <c r="L107" s="35" t="s">
        <v>362</v>
      </c>
      <c r="M107" s="35"/>
      <c r="N107" s="35" t="s">
        <v>1566</v>
      </c>
      <c r="O107" s="35"/>
      <c r="P107" s="35" t="s">
        <v>327</v>
      </c>
      <c r="Q107" s="35" t="s">
        <v>9</v>
      </c>
      <c r="R107" s="35" t="s">
        <v>328</v>
      </c>
      <c r="S107" s="35" t="s">
        <v>363</v>
      </c>
      <c r="T107" s="35" t="s">
        <v>822</v>
      </c>
      <c r="U107" s="35">
        <v>4</v>
      </c>
      <c r="V107" s="35">
        <v>4</v>
      </c>
      <c r="W107" s="35">
        <v>0</v>
      </c>
      <c r="X107" s="35">
        <v>4</v>
      </c>
      <c r="Y107" s="35">
        <v>0</v>
      </c>
      <c r="Z107" s="35">
        <v>0</v>
      </c>
      <c r="AA107" s="113">
        <v>0</v>
      </c>
    </row>
    <row r="108" spans="1:27" x14ac:dyDescent="0.25">
      <c r="A108" s="25">
        <v>111</v>
      </c>
      <c r="B108" s="35" t="s">
        <v>1122</v>
      </c>
      <c r="C108" s="35" t="s">
        <v>299</v>
      </c>
      <c r="D108" s="35" t="s">
        <v>327</v>
      </c>
      <c r="E108" s="35" t="s">
        <v>366</v>
      </c>
      <c r="F108" s="35" t="s">
        <v>328</v>
      </c>
      <c r="G108" s="35">
        <v>1962</v>
      </c>
      <c r="H108" s="35"/>
      <c r="I108" s="35" t="s">
        <v>1684</v>
      </c>
      <c r="J108" s="35" t="s">
        <v>204</v>
      </c>
      <c r="K108" s="35"/>
      <c r="L108" s="35"/>
      <c r="M108" s="35" t="s">
        <v>99</v>
      </c>
      <c r="N108" s="35" t="s">
        <v>1099</v>
      </c>
      <c r="O108" s="35"/>
      <c r="P108" s="35" t="s">
        <v>100</v>
      </c>
      <c r="Q108" s="35" t="s">
        <v>9</v>
      </c>
      <c r="R108" s="35" t="s">
        <v>608</v>
      </c>
      <c r="S108" s="35" t="s">
        <v>1028</v>
      </c>
      <c r="T108" s="35" t="s">
        <v>829</v>
      </c>
      <c r="U108" s="35">
        <v>32</v>
      </c>
      <c r="V108" s="35">
        <v>30</v>
      </c>
      <c r="W108" s="35">
        <v>2</v>
      </c>
      <c r="X108" s="35">
        <v>0</v>
      </c>
      <c r="Y108" s="35">
        <v>30</v>
      </c>
      <c r="Z108" s="35">
        <v>0</v>
      </c>
      <c r="AA108" s="113">
        <v>424</v>
      </c>
    </row>
    <row r="109" spans="1:27" x14ac:dyDescent="0.25">
      <c r="A109" s="25">
        <v>77</v>
      </c>
      <c r="B109" s="35" t="s">
        <v>364</v>
      </c>
      <c r="C109" s="35" t="s">
        <v>299</v>
      </c>
      <c r="D109" s="35" t="s">
        <v>327</v>
      </c>
      <c r="E109" s="35" t="s">
        <v>131</v>
      </c>
      <c r="F109" s="35" t="s">
        <v>328</v>
      </c>
      <c r="G109" s="35">
        <v>1970</v>
      </c>
      <c r="H109" s="35"/>
      <c r="I109" s="35" t="s">
        <v>289</v>
      </c>
      <c r="J109" s="35" t="s">
        <v>252</v>
      </c>
      <c r="K109" s="35"/>
      <c r="L109" s="35"/>
      <c r="M109" s="35" t="s">
        <v>289</v>
      </c>
      <c r="N109" s="35" t="s">
        <v>290</v>
      </c>
      <c r="O109" s="35"/>
      <c r="P109" s="35" t="s">
        <v>205</v>
      </c>
      <c r="Q109" s="35" t="s">
        <v>9</v>
      </c>
      <c r="R109" s="35" t="s">
        <v>207</v>
      </c>
      <c r="S109" s="35" t="s">
        <v>291</v>
      </c>
      <c r="T109" s="35" t="s">
        <v>829</v>
      </c>
      <c r="U109" s="35">
        <v>17</v>
      </c>
      <c r="V109" s="35">
        <v>17</v>
      </c>
      <c r="W109" s="35">
        <v>0</v>
      </c>
      <c r="X109" s="35">
        <v>0</v>
      </c>
      <c r="Y109" s="35">
        <v>17</v>
      </c>
      <c r="Z109" s="35">
        <v>0</v>
      </c>
      <c r="AA109" s="113">
        <v>304.47000000000003</v>
      </c>
    </row>
    <row r="110" spans="1:27" x14ac:dyDescent="0.25">
      <c r="A110" s="25">
        <v>250</v>
      </c>
      <c r="B110" s="35" t="s">
        <v>371</v>
      </c>
      <c r="C110" s="35" t="s">
        <v>372</v>
      </c>
      <c r="D110" s="35" t="s">
        <v>373</v>
      </c>
      <c r="E110" s="35" t="s">
        <v>1633</v>
      </c>
      <c r="F110" s="35" t="s">
        <v>374</v>
      </c>
      <c r="G110" s="35">
        <v>1982</v>
      </c>
      <c r="H110" s="35" t="s">
        <v>376</v>
      </c>
      <c r="I110" s="35" t="s">
        <v>377</v>
      </c>
      <c r="J110" s="35" t="s">
        <v>375</v>
      </c>
      <c r="K110" s="35" t="s">
        <v>376</v>
      </c>
      <c r="L110" s="35" t="s">
        <v>377</v>
      </c>
      <c r="M110" s="35"/>
      <c r="N110" s="35" t="s">
        <v>378</v>
      </c>
      <c r="O110" s="35"/>
      <c r="P110" s="35" t="s">
        <v>379</v>
      </c>
      <c r="Q110" s="35" t="s">
        <v>9</v>
      </c>
      <c r="R110" s="35" t="s">
        <v>374</v>
      </c>
      <c r="S110" s="35" t="s">
        <v>375</v>
      </c>
      <c r="T110" s="35" t="s">
        <v>822</v>
      </c>
      <c r="U110" s="35">
        <v>8</v>
      </c>
      <c r="V110" s="35">
        <v>1</v>
      </c>
      <c r="W110" s="35">
        <v>5</v>
      </c>
      <c r="X110" s="35">
        <v>1</v>
      </c>
      <c r="Y110" s="35">
        <v>1</v>
      </c>
      <c r="Z110" s="35">
        <v>1</v>
      </c>
      <c r="AA110" s="113">
        <v>195</v>
      </c>
    </row>
    <row r="111" spans="1:27" x14ac:dyDescent="0.25">
      <c r="A111" s="25">
        <v>136</v>
      </c>
      <c r="B111" s="35" t="s">
        <v>1140</v>
      </c>
      <c r="C111" s="35" t="s">
        <v>372</v>
      </c>
      <c r="D111" s="35" t="s">
        <v>372</v>
      </c>
      <c r="E111" s="35" t="s">
        <v>380</v>
      </c>
      <c r="F111" s="35" t="s">
        <v>381</v>
      </c>
      <c r="G111" s="35">
        <v>1954</v>
      </c>
      <c r="H111" s="35"/>
      <c r="I111" s="35" t="s">
        <v>1684</v>
      </c>
      <c r="J111" s="35" t="s">
        <v>204</v>
      </c>
      <c r="K111" s="35"/>
      <c r="L111" s="35"/>
      <c r="M111" s="35" t="s">
        <v>99</v>
      </c>
      <c r="N111" s="35" t="s">
        <v>1099</v>
      </c>
      <c r="O111" s="35"/>
      <c r="P111" s="35" t="s">
        <v>100</v>
      </c>
      <c r="Q111" s="35" t="s">
        <v>9</v>
      </c>
      <c r="R111" s="35" t="s">
        <v>608</v>
      </c>
      <c r="S111" s="35" t="s">
        <v>1028</v>
      </c>
      <c r="T111" s="35" t="s">
        <v>829</v>
      </c>
      <c r="U111" s="35">
        <v>24</v>
      </c>
      <c r="V111" s="35">
        <v>24</v>
      </c>
      <c r="W111" s="35">
        <v>0</v>
      </c>
      <c r="X111" s="35">
        <v>0</v>
      </c>
      <c r="Y111" s="35">
        <v>24</v>
      </c>
      <c r="Z111" s="35">
        <v>0</v>
      </c>
      <c r="AA111" s="113">
        <v>358</v>
      </c>
    </row>
    <row r="112" spans="1:27" x14ac:dyDescent="0.25">
      <c r="A112" s="25">
        <v>298</v>
      </c>
      <c r="B112" s="35" t="s">
        <v>1285</v>
      </c>
      <c r="C112" s="35" t="s">
        <v>382</v>
      </c>
      <c r="D112" s="35" t="s">
        <v>383</v>
      </c>
      <c r="E112" s="35" t="s">
        <v>1200</v>
      </c>
      <c r="F112" s="35" t="s">
        <v>384</v>
      </c>
      <c r="G112" s="35">
        <v>1998</v>
      </c>
      <c r="H112" s="35" t="s">
        <v>1201</v>
      </c>
      <c r="I112" s="35" t="s">
        <v>130</v>
      </c>
      <c r="J112" s="35" t="s">
        <v>385</v>
      </c>
      <c r="K112" s="35"/>
      <c r="L112" s="35"/>
      <c r="M112" s="35" t="s">
        <v>386</v>
      </c>
      <c r="N112" s="35" t="s">
        <v>387</v>
      </c>
      <c r="O112" s="35"/>
      <c r="P112" s="35" t="s">
        <v>161</v>
      </c>
      <c r="Q112" s="35" t="s">
        <v>9</v>
      </c>
      <c r="R112" s="35" t="s">
        <v>162</v>
      </c>
      <c r="S112" s="35" t="s">
        <v>385</v>
      </c>
      <c r="T112" s="35" t="s">
        <v>822</v>
      </c>
      <c r="U112" s="35">
        <v>4</v>
      </c>
      <c r="V112" s="35">
        <v>4</v>
      </c>
      <c r="W112" s="35">
        <v>0</v>
      </c>
      <c r="X112" s="35">
        <v>0</v>
      </c>
      <c r="Y112" s="35">
        <v>4</v>
      </c>
      <c r="Z112" s="35">
        <v>0</v>
      </c>
      <c r="AA112" s="113">
        <v>320</v>
      </c>
    </row>
    <row r="113" spans="1:27" x14ac:dyDescent="0.25">
      <c r="A113" s="25">
        <v>168</v>
      </c>
      <c r="B113" s="35" t="s">
        <v>1634</v>
      </c>
      <c r="C113" s="35" t="s">
        <v>382</v>
      </c>
      <c r="D113" s="35" t="s">
        <v>388</v>
      </c>
      <c r="E113" s="35" t="s">
        <v>1635</v>
      </c>
      <c r="F113" s="35" t="s">
        <v>389</v>
      </c>
      <c r="G113" s="35">
        <v>1988</v>
      </c>
      <c r="H113" s="35"/>
      <c r="I113" s="35" t="s">
        <v>1636</v>
      </c>
      <c r="J113" s="35" t="s">
        <v>1637</v>
      </c>
      <c r="K113" s="35"/>
      <c r="L113" s="35"/>
      <c r="M113" s="35" t="s">
        <v>1634</v>
      </c>
      <c r="N113" s="35" t="s">
        <v>1635</v>
      </c>
      <c r="O113" s="35" t="s">
        <v>1638</v>
      </c>
      <c r="P113" s="35" t="s">
        <v>388</v>
      </c>
      <c r="Q113" s="35" t="s">
        <v>9</v>
      </c>
      <c r="R113" s="35" t="s">
        <v>389</v>
      </c>
      <c r="S113" s="35"/>
      <c r="T113" s="35" t="s">
        <v>855</v>
      </c>
      <c r="U113" s="35">
        <v>113</v>
      </c>
      <c r="V113" s="35">
        <v>113</v>
      </c>
      <c r="W113" s="35">
        <v>0</v>
      </c>
      <c r="X113" s="35">
        <v>0</v>
      </c>
      <c r="Y113" s="35">
        <v>113</v>
      </c>
      <c r="Z113" s="35">
        <v>0</v>
      </c>
      <c r="AA113" s="113">
        <v>362</v>
      </c>
    </row>
    <row r="114" spans="1:27" x14ac:dyDescent="0.25">
      <c r="A114" s="25">
        <v>121</v>
      </c>
      <c r="B114" s="35" t="s">
        <v>392</v>
      </c>
      <c r="C114" s="35" t="s">
        <v>382</v>
      </c>
      <c r="D114" s="35" t="s">
        <v>20</v>
      </c>
      <c r="E114" s="35" t="s">
        <v>393</v>
      </c>
      <c r="F114" s="35" t="s">
        <v>394</v>
      </c>
      <c r="G114" s="35">
        <v>1966</v>
      </c>
      <c r="H114" s="35" t="s">
        <v>1132</v>
      </c>
      <c r="I114" s="35" t="s">
        <v>130</v>
      </c>
      <c r="J114" s="35" t="s">
        <v>385</v>
      </c>
      <c r="K114" s="35"/>
      <c r="L114" s="35"/>
      <c r="M114" s="35" t="s">
        <v>395</v>
      </c>
      <c r="N114" s="35" t="s">
        <v>387</v>
      </c>
      <c r="O114" s="35"/>
      <c r="P114" s="35" t="s">
        <v>161</v>
      </c>
      <c r="Q114" s="35" t="s">
        <v>9</v>
      </c>
      <c r="R114" s="35" t="s">
        <v>162</v>
      </c>
      <c r="S114" s="35" t="s">
        <v>385</v>
      </c>
      <c r="T114" s="35" t="s">
        <v>822</v>
      </c>
      <c r="U114" s="35">
        <v>46</v>
      </c>
      <c r="V114" s="35">
        <v>45</v>
      </c>
      <c r="W114" s="35">
        <v>0</v>
      </c>
      <c r="X114" s="35">
        <v>7</v>
      </c>
      <c r="Y114" s="35">
        <v>39</v>
      </c>
      <c r="Z114" s="35">
        <v>0</v>
      </c>
      <c r="AA114" s="113">
        <v>290</v>
      </c>
    </row>
    <row r="115" spans="1:27" x14ac:dyDescent="0.25">
      <c r="A115" s="25">
        <v>167</v>
      </c>
      <c r="B115" s="35" t="s">
        <v>1168</v>
      </c>
      <c r="C115" s="35" t="s">
        <v>382</v>
      </c>
      <c r="D115" s="35" t="s">
        <v>20</v>
      </c>
      <c r="E115" s="35" t="s">
        <v>396</v>
      </c>
      <c r="F115" s="35" t="s">
        <v>394</v>
      </c>
      <c r="G115" s="35">
        <v>1965</v>
      </c>
      <c r="H115" s="35" t="s">
        <v>1052</v>
      </c>
      <c r="I115" s="35" t="s">
        <v>130</v>
      </c>
      <c r="J115" s="35" t="s">
        <v>385</v>
      </c>
      <c r="K115" s="35" t="s">
        <v>390</v>
      </c>
      <c r="L115" s="35" t="s">
        <v>130</v>
      </c>
      <c r="M115" s="35"/>
      <c r="N115" s="35" t="s">
        <v>387</v>
      </c>
      <c r="O115" s="35"/>
      <c r="P115" s="35" t="s">
        <v>161</v>
      </c>
      <c r="Q115" s="35" t="s">
        <v>9</v>
      </c>
      <c r="R115" s="35" t="s">
        <v>162</v>
      </c>
      <c r="S115" s="35" t="s">
        <v>391</v>
      </c>
      <c r="T115" s="35" t="s">
        <v>822</v>
      </c>
      <c r="U115" s="35">
        <v>33</v>
      </c>
      <c r="V115" s="35">
        <v>32</v>
      </c>
      <c r="W115" s="35">
        <v>1</v>
      </c>
      <c r="X115" s="35">
        <v>2</v>
      </c>
      <c r="Y115" s="35">
        <v>30</v>
      </c>
      <c r="Z115" s="35">
        <v>0</v>
      </c>
      <c r="AA115" s="113">
        <v>280</v>
      </c>
    </row>
    <row r="116" spans="1:27" x14ac:dyDescent="0.25">
      <c r="A116" s="25">
        <v>165</v>
      </c>
      <c r="B116" s="35" t="s">
        <v>1332</v>
      </c>
      <c r="C116" s="35" t="s">
        <v>382</v>
      </c>
      <c r="D116" s="35" t="s">
        <v>20</v>
      </c>
      <c r="E116" s="35" t="s">
        <v>1333</v>
      </c>
      <c r="F116" s="35" t="s">
        <v>394</v>
      </c>
      <c r="G116" s="35">
        <v>1967</v>
      </c>
      <c r="H116" s="35"/>
      <c r="I116" s="35" t="s">
        <v>1512</v>
      </c>
      <c r="J116" s="35" t="s">
        <v>1364</v>
      </c>
      <c r="K116" s="35"/>
      <c r="L116" s="35"/>
      <c r="M116" s="35" t="s">
        <v>1286</v>
      </c>
      <c r="N116" s="35" t="s">
        <v>195</v>
      </c>
      <c r="O116" s="35" t="s">
        <v>196</v>
      </c>
      <c r="P116" s="35" t="s">
        <v>197</v>
      </c>
      <c r="Q116" s="35" t="s">
        <v>9</v>
      </c>
      <c r="R116" s="35" t="s">
        <v>198</v>
      </c>
      <c r="S116" s="35" t="s">
        <v>1364</v>
      </c>
      <c r="T116" s="35" t="s">
        <v>822</v>
      </c>
      <c r="U116" s="35">
        <v>47</v>
      </c>
      <c r="V116" s="35">
        <v>45</v>
      </c>
      <c r="W116" s="35">
        <v>2</v>
      </c>
      <c r="X116" s="35">
        <v>5</v>
      </c>
      <c r="Y116" s="35">
        <v>40</v>
      </c>
      <c r="Z116" s="35">
        <v>0</v>
      </c>
      <c r="AA116" s="113">
        <v>287</v>
      </c>
    </row>
    <row r="117" spans="1:27" x14ac:dyDescent="0.25">
      <c r="A117" s="25">
        <v>164</v>
      </c>
      <c r="B117" s="35" t="s">
        <v>1567</v>
      </c>
      <c r="C117" s="35" t="s">
        <v>382</v>
      </c>
      <c r="D117" s="35" t="s">
        <v>20</v>
      </c>
      <c r="E117" s="35" t="s">
        <v>398</v>
      </c>
      <c r="F117" s="35" t="s">
        <v>394</v>
      </c>
      <c r="G117" s="35">
        <v>1963</v>
      </c>
      <c r="H117" s="35" t="s">
        <v>730</v>
      </c>
      <c r="I117" s="35" t="s">
        <v>1163</v>
      </c>
      <c r="J117" s="35" t="s">
        <v>1164</v>
      </c>
      <c r="K117" s="35" t="s">
        <v>730</v>
      </c>
      <c r="L117" s="35" t="s">
        <v>1163</v>
      </c>
      <c r="M117" s="35" t="s">
        <v>1568</v>
      </c>
      <c r="N117" s="35" t="s">
        <v>1165</v>
      </c>
      <c r="O117" s="35"/>
      <c r="P117" s="35" t="s">
        <v>1166</v>
      </c>
      <c r="Q117" s="35" t="s">
        <v>9</v>
      </c>
      <c r="R117" s="35" t="s">
        <v>167</v>
      </c>
      <c r="S117" s="35" t="s">
        <v>1164</v>
      </c>
      <c r="T117" s="35" t="s">
        <v>822</v>
      </c>
      <c r="U117" s="35">
        <v>31</v>
      </c>
      <c r="V117" s="35">
        <v>28</v>
      </c>
      <c r="W117" s="35">
        <v>2</v>
      </c>
      <c r="X117" s="35">
        <v>1</v>
      </c>
      <c r="Y117" s="35">
        <v>30</v>
      </c>
      <c r="Z117" s="35">
        <v>0</v>
      </c>
      <c r="AA117" s="113">
        <v>339</v>
      </c>
    </row>
    <row r="118" spans="1:27" x14ac:dyDescent="0.25">
      <c r="A118" s="25">
        <v>169</v>
      </c>
      <c r="B118" s="35" t="s">
        <v>1334</v>
      </c>
      <c r="C118" s="35" t="s">
        <v>382</v>
      </c>
      <c r="D118" s="35" t="s">
        <v>399</v>
      </c>
      <c r="E118" s="35" t="s">
        <v>400</v>
      </c>
      <c r="F118" s="35" t="s">
        <v>162</v>
      </c>
      <c r="G118" s="35">
        <v>1969</v>
      </c>
      <c r="H118" s="35"/>
      <c r="I118" s="35" t="s">
        <v>1512</v>
      </c>
      <c r="J118" s="35" t="s">
        <v>1364</v>
      </c>
      <c r="K118" s="35"/>
      <c r="L118" s="35"/>
      <c r="M118" s="35" t="s">
        <v>1286</v>
      </c>
      <c r="N118" s="35" t="s">
        <v>195</v>
      </c>
      <c r="O118" s="35" t="s">
        <v>196</v>
      </c>
      <c r="P118" s="35" t="s">
        <v>197</v>
      </c>
      <c r="Q118" s="35" t="s">
        <v>9</v>
      </c>
      <c r="R118" s="35" t="s">
        <v>198</v>
      </c>
      <c r="S118" s="35" t="s">
        <v>1364</v>
      </c>
      <c r="T118" s="35" t="s">
        <v>822</v>
      </c>
      <c r="U118" s="35">
        <v>53</v>
      </c>
      <c r="V118" s="35">
        <v>49</v>
      </c>
      <c r="W118" s="35">
        <v>2</v>
      </c>
      <c r="X118" s="35">
        <v>0</v>
      </c>
      <c r="Y118" s="35">
        <v>51</v>
      </c>
      <c r="Z118" s="35">
        <v>2</v>
      </c>
      <c r="AA118" s="113">
        <v>374</v>
      </c>
    </row>
    <row r="119" spans="1:27" x14ac:dyDescent="0.25">
      <c r="A119" s="25">
        <v>133</v>
      </c>
      <c r="B119" s="35" t="s">
        <v>1137</v>
      </c>
      <c r="C119" s="35" t="s">
        <v>401</v>
      </c>
      <c r="D119" s="35" t="s">
        <v>402</v>
      </c>
      <c r="E119" s="35" t="s">
        <v>403</v>
      </c>
      <c r="F119" s="35" t="s">
        <v>404</v>
      </c>
      <c r="G119" s="35">
        <v>1970</v>
      </c>
      <c r="H119" s="35"/>
      <c r="I119" s="35" t="s">
        <v>1287</v>
      </c>
      <c r="J119" s="35" t="s">
        <v>405</v>
      </c>
      <c r="K119" s="35"/>
      <c r="L119" s="35"/>
      <c r="M119" s="35" t="s">
        <v>1287</v>
      </c>
      <c r="N119" s="35" t="s">
        <v>1335</v>
      </c>
      <c r="O119" s="35"/>
      <c r="P119" s="35" t="s">
        <v>73</v>
      </c>
      <c r="Q119" s="35" t="s">
        <v>9</v>
      </c>
      <c r="R119" s="35" t="s">
        <v>74</v>
      </c>
      <c r="S119" s="35" t="s">
        <v>405</v>
      </c>
      <c r="T119" s="35" t="s">
        <v>829</v>
      </c>
      <c r="U119" s="35">
        <v>12</v>
      </c>
      <c r="V119" s="35">
        <v>12</v>
      </c>
      <c r="W119" s="35">
        <v>0</v>
      </c>
      <c r="X119" s="35">
        <v>3</v>
      </c>
      <c r="Y119" s="35">
        <v>9</v>
      </c>
      <c r="Z119" s="35">
        <v>0</v>
      </c>
      <c r="AA119" s="113">
        <v>301</v>
      </c>
    </row>
    <row r="120" spans="1:27" x14ac:dyDescent="0.25">
      <c r="A120" s="25">
        <v>78</v>
      </c>
      <c r="B120" s="35" t="s">
        <v>1109</v>
      </c>
      <c r="C120" s="35" t="s">
        <v>401</v>
      </c>
      <c r="D120" s="35" t="s">
        <v>145</v>
      </c>
      <c r="E120" s="35" t="s">
        <v>406</v>
      </c>
      <c r="F120" s="35" t="s">
        <v>407</v>
      </c>
      <c r="G120" s="35">
        <v>1969</v>
      </c>
      <c r="H120" s="35"/>
      <c r="I120" s="35" t="s">
        <v>1684</v>
      </c>
      <c r="J120" s="35" t="s">
        <v>98</v>
      </c>
      <c r="K120" s="35"/>
      <c r="L120" s="35"/>
      <c r="M120" s="35" t="s">
        <v>99</v>
      </c>
      <c r="N120" s="35" t="s">
        <v>1099</v>
      </c>
      <c r="O120" s="35"/>
      <c r="P120" s="35" t="s">
        <v>100</v>
      </c>
      <c r="Q120" s="35" t="s">
        <v>9</v>
      </c>
      <c r="R120" s="35" t="s">
        <v>608</v>
      </c>
      <c r="S120" s="35" t="s">
        <v>1028</v>
      </c>
      <c r="T120" s="35" t="s">
        <v>829</v>
      </c>
      <c r="U120" s="35">
        <v>95</v>
      </c>
      <c r="V120" s="35">
        <v>80</v>
      </c>
      <c r="W120" s="35">
        <v>15</v>
      </c>
      <c r="X120" s="35">
        <v>0</v>
      </c>
      <c r="Y120" s="35">
        <v>80</v>
      </c>
      <c r="Z120" s="35">
        <v>0</v>
      </c>
      <c r="AA120" s="113">
        <v>433</v>
      </c>
    </row>
    <row r="121" spans="1:27" x14ac:dyDescent="0.25">
      <c r="A121" s="25">
        <v>303</v>
      </c>
      <c r="B121" s="35" t="s">
        <v>408</v>
      </c>
      <c r="C121" s="35" t="s">
        <v>401</v>
      </c>
      <c r="D121" s="35" t="s">
        <v>401</v>
      </c>
      <c r="E121" s="35" t="s">
        <v>409</v>
      </c>
      <c r="F121" s="35" t="s">
        <v>74</v>
      </c>
      <c r="G121" s="35">
        <v>2001</v>
      </c>
      <c r="H121" s="35" t="s">
        <v>1203</v>
      </c>
      <c r="I121" s="35" t="s">
        <v>1204</v>
      </c>
      <c r="J121" s="35"/>
      <c r="K121" s="35" t="s">
        <v>410</v>
      </c>
      <c r="L121" s="35" t="s">
        <v>116</v>
      </c>
      <c r="M121" s="35"/>
      <c r="N121" s="35" t="s">
        <v>409</v>
      </c>
      <c r="O121" s="35"/>
      <c r="P121" s="35" t="s">
        <v>401</v>
      </c>
      <c r="Q121" s="35" t="s">
        <v>9</v>
      </c>
      <c r="R121" s="35" t="s">
        <v>74</v>
      </c>
      <c r="S121" s="35" t="s">
        <v>411</v>
      </c>
      <c r="T121" s="35" t="s">
        <v>822</v>
      </c>
      <c r="U121" s="35">
        <v>8</v>
      </c>
      <c r="V121" s="35">
        <v>8</v>
      </c>
      <c r="W121" s="35">
        <v>0</v>
      </c>
      <c r="X121" s="35">
        <v>0</v>
      </c>
      <c r="Y121" s="35">
        <v>8</v>
      </c>
      <c r="Z121" s="35">
        <v>0</v>
      </c>
      <c r="AA121" s="113">
        <v>259</v>
      </c>
    </row>
    <row r="122" spans="1:27" x14ac:dyDescent="0.25">
      <c r="A122" s="25">
        <v>22</v>
      </c>
      <c r="B122" s="35" t="s">
        <v>1419</v>
      </c>
      <c r="C122" s="35" t="s">
        <v>401</v>
      </c>
      <c r="D122" s="35" t="s">
        <v>412</v>
      </c>
      <c r="E122" s="35" t="s">
        <v>1369</v>
      </c>
      <c r="F122" s="35" t="s">
        <v>420</v>
      </c>
      <c r="G122" s="35">
        <v>1968</v>
      </c>
      <c r="H122" s="35"/>
      <c r="I122" s="35" t="s">
        <v>1744</v>
      </c>
      <c r="J122" s="35" t="s">
        <v>413</v>
      </c>
      <c r="K122" s="35"/>
      <c r="L122" s="35"/>
      <c r="M122" s="35" t="s">
        <v>414</v>
      </c>
      <c r="N122" s="35" t="s">
        <v>1639</v>
      </c>
      <c r="O122" s="35"/>
      <c r="P122" s="35" t="s">
        <v>412</v>
      </c>
      <c r="Q122" s="35" t="s">
        <v>9</v>
      </c>
      <c r="R122" s="35" t="s">
        <v>407</v>
      </c>
      <c r="S122" s="35" t="s">
        <v>413</v>
      </c>
      <c r="T122" s="35" t="s">
        <v>829</v>
      </c>
      <c r="U122" s="35">
        <v>16</v>
      </c>
      <c r="V122" s="35">
        <v>15</v>
      </c>
      <c r="W122" s="35">
        <v>0</v>
      </c>
      <c r="X122" s="35">
        <v>2</v>
      </c>
      <c r="Y122" s="35">
        <v>14</v>
      </c>
      <c r="Z122" s="35">
        <v>0</v>
      </c>
      <c r="AA122" s="113">
        <v>362</v>
      </c>
    </row>
    <row r="123" spans="1:27" x14ac:dyDescent="0.25">
      <c r="A123" s="25">
        <v>226</v>
      </c>
      <c r="B123" s="35" t="s">
        <v>415</v>
      </c>
      <c r="C123" s="35" t="s">
        <v>401</v>
      </c>
      <c r="D123" s="35" t="s">
        <v>412</v>
      </c>
      <c r="E123" s="35" t="s">
        <v>416</v>
      </c>
      <c r="F123" s="35" t="s">
        <v>407</v>
      </c>
      <c r="G123" s="35">
        <v>0</v>
      </c>
      <c r="H123" s="35" t="s">
        <v>1745</v>
      </c>
      <c r="I123" s="35" t="s">
        <v>417</v>
      </c>
      <c r="J123" s="35"/>
      <c r="K123" s="35" t="s">
        <v>1745</v>
      </c>
      <c r="L123" s="35" t="s">
        <v>417</v>
      </c>
      <c r="M123" s="35"/>
      <c r="N123" s="35" t="s">
        <v>418</v>
      </c>
      <c r="O123" s="35"/>
      <c r="P123" s="35" t="s">
        <v>412</v>
      </c>
      <c r="Q123" s="35" t="s">
        <v>9</v>
      </c>
      <c r="R123" s="35" t="s">
        <v>407</v>
      </c>
      <c r="S123" s="35" t="s">
        <v>419</v>
      </c>
      <c r="T123" s="35" t="s">
        <v>822</v>
      </c>
      <c r="U123" s="35">
        <v>7</v>
      </c>
      <c r="V123" s="35">
        <v>7</v>
      </c>
      <c r="W123" s="35">
        <v>0</v>
      </c>
      <c r="X123" s="35">
        <v>3</v>
      </c>
      <c r="Y123" s="35">
        <v>4</v>
      </c>
      <c r="Z123" s="35">
        <v>0</v>
      </c>
      <c r="AA123" s="113">
        <v>234.4</v>
      </c>
    </row>
    <row r="124" spans="1:27" x14ac:dyDescent="0.25">
      <c r="A124" s="25">
        <v>21</v>
      </c>
      <c r="B124" s="35" t="s">
        <v>421</v>
      </c>
      <c r="C124" s="35" t="s">
        <v>401</v>
      </c>
      <c r="D124" s="35" t="s">
        <v>412</v>
      </c>
      <c r="E124" s="35" t="s">
        <v>1746</v>
      </c>
      <c r="F124" s="35" t="s">
        <v>407</v>
      </c>
      <c r="G124" s="35">
        <v>1960</v>
      </c>
      <c r="H124" s="35"/>
      <c r="I124" s="35" t="s">
        <v>1640</v>
      </c>
      <c r="J124" s="35"/>
      <c r="K124" s="35"/>
      <c r="L124" s="35"/>
      <c r="M124" s="35" t="s">
        <v>1747</v>
      </c>
      <c r="N124" s="35" t="s">
        <v>1748</v>
      </c>
      <c r="O124" s="35"/>
      <c r="P124" s="35" t="s">
        <v>1749</v>
      </c>
      <c r="Q124" s="35" t="s">
        <v>514</v>
      </c>
      <c r="R124" s="35" t="s">
        <v>1750</v>
      </c>
      <c r="S124" s="35"/>
      <c r="T124" s="35" t="s">
        <v>822</v>
      </c>
      <c r="U124" s="35">
        <v>10</v>
      </c>
      <c r="V124" s="35">
        <v>10</v>
      </c>
      <c r="W124" s="35">
        <v>0</v>
      </c>
      <c r="X124" s="35">
        <v>9</v>
      </c>
      <c r="Y124" s="35">
        <v>0</v>
      </c>
      <c r="Z124" s="35">
        <v>0</v>
      </c>
      <c r="AA124" s="113">
        <v>0</v>
      </c>
    </row>
    <row r="125" spans="1:27" x14ac:dyDescent="0.25">
      <c r="A125" s="25">
        <v>20</v>
      </c>
      <c r="B125" s="35" t="s">
        <v>1089</v>
      </c>
      <c r="C125" s="35" t="s">
        <v>401</v>
      </c>
      <c r="D125" s="35" t="s">
        <v>412</v>
      </c>
      <c r="E125" s="35" t="s">
        <v>422</v>
      </c>
      <c r="F125" s="35" t="s">
        <v>407</v>
      </c>
      <c r="G125" s="35">
        <v>1966</v>
      </c>
      <c r="H125" s="35" t="s">
        <v>331</v>
      </c>
      <c r="I125" s="35" t="s">
        <v>441</v>
      </c>
      <c r="J125" s="35" t="s">
        <v>1053</v>
      </c>
      <c r="K125" s="35" t="s">
        <v>331</v>
      </c>
      <c r="L125" s="35" t="s">
        <v>441</v>
      </c>
      <c r="M125" s="35"/>
      <c r="N125" s="35" t="s">
        <v>1513</v>
      </c>
      <c r="O125" s="35"/>
      <c r="P125" s="35" t="s">
        <v>1090</v>
      </c>
      <c r="Q125" s="35" t="s">
        <v>9</v>
      </c>
      <c r="R125" s="35" t="s">
        <v>1091</v>
      </c>
      <c r="S125" s="35" t="s">
        <v>1053</v>
      </c>
      <c r="T125" s="35" t="s">
        <v>822</v>
      </c>
      <c r="U125" s="35">
        <v>14</v>
      </c>
      <c r="V125" s="35">
        <v>2</v>
      </c>
      <c r="W125" s="35">
        <v>0</v>
      </c>
      <c r="X125" s="35">
        <v>10</v>
      </c>
      <c r="Y125" s="35">
        <v>2</v>
      </c>
      <c r="Z125" s="35">
        <v>2</v>
      </c>
      <c r="AA125" s="113">
        <v>0</v>
      </c>
    </row>
    <row r="126" spans="1:27" x14ac:dyDescent="0.25">
      <c r="A126" s="25">
        <v>18</v>
      </c>
      <c r="B126" s="35" t="s">
        <v>1288</v>
      </c>
      <c r="C126" s="35" t="s">
        <v>401</v>
      </c>
      <c r="D126" s="35" t="s">
        <v>412</v>
      </c>
      <c r="E126" s="35" t="s">
        <v>1289</v>
      </c>
      <c r="F126" s="35" t="s">
        <v>407</v>
      </c>
      <c r="G126" s="35">
        <v>1960</v>
      </c>
      <c r="H126" s="35"/>
      <c r="I126" s="35" t="s">
        <v>1744</v>
      </c>
      <c r="J126" s="35" t="s">
        <v>413</v>
      </c>
      <c r="K126" s="35"/>
      <c r="L126" s="35"/>
      <c r="M126" s="35" t="s">
        <v>414</v>
      </c>
      <c r="N126" s="35" t="s">
        <v>1639</v>
      </c>
      <c r="O126" s="35"/>
      <c r="P126" s="35" t="s">
        <v>412</v>
      </c>
      <c r="Q126" s="35" t="s">
        <v>9</v>
      </c>
      <c r="R126" s="35" t="s">
        <v>407</v>
      </c>
      <c r="S126" s="35" t="s">
        <v>413</v>
      </c>
      <c r="T126" s="35" t="s">
        <v>829</v>
      </c>
      <c r="U126" s="35">
        <v>19</v>
      </c>
      <c r="V126" s="35">
        <v>19</v>
      </c>
      <c r="W126" s="35">
        <v>0</v>
      </c>
      <c r="X126" s="35">
        <v>2</v>
      </c>
      <c r="Y126" s="35">
        <v>17</v>
      </c>
      <c r="Z126" s="35">
        <v>0</v>
      </c>
      <c r="AA126" s="113">
        <v>309</v>
      </c>
    </row>
    <row r="127" spans="1:27" x14ac:dyDescent="0.25">
      <c r="A127" s="25">
        <v>174</v>
      </c>
      <c r="B127" s="35" t="s">
        <v>1570</v>
      </c>
      <c r="C127" s="35" t="s">
        <v>401</v>
      </c>
      <c r="D127" s="35" t="s">
        <v>423</v>
      </c>
      <c r="E127" s="35" t="s">
        <v>1569</v>
      </c>
      <c r="F127" s="35" t="s">
        <v>424</v>
      </c>
      <c r="G127" s="35">
        <v>1977</v>
      </c>
      <c r="H127" s="35"/>
      <c r="I127" s="35"/>
      <c r="J127" s="35"/>
      <c r="K127" s="35" t="s">
        <v>1751</v>
      </c>
      <c r="L127" s="35" t="s">
        <v>1752</v>
      </c>
      <c r="M127" s="35" t="s">
        <v>1753</v>
      </c>
      <c r="N127" s="35" t="s">
        <v>1754</v>
      </c>
      <c r="O127" s="35"/>
      <c r="P127" s="35" t="s">
        <v>1755</v>
      </c>
      <c r="Q127" s="35" t="s">
        <v>107</v>
      </c>
      <c r="R127" s="35" t="s">
        <v>1756</v>
      </c>
      <c r="S127" s="35"/>
      <c r="T127" s="35" t="s">
        <v>822</v>
      </c>
      <c r="U127" s="35">
        <v>20</v>
      </c>
      <c r="V127" s="35">
        <v>18</v>
      </c>
      <c r="W127" s="35">
        <v>2</v>
      </c>
      <c r="X127" s="35">
        <v>0</v>
      </c>
      <c r="Y127" s="35">
        <v>18</v>
      </c>
      <c r="Z127" s="35">
        <v>2</v>
      </c>
      <c r="AA127" s="113">
        <v>429</v>
      </c>
    </row>
    <row r="128" spans="1:27" x14ac:dyDescent="0.25">
      <c r="A128" s="25">
        <v>19</v>
      </c>
      <c r="B128" s="35" t="s">
        <v>425</v>
      </c>
      <c r="C128" s="35" t="s">
        <v>401</v>
      </c>
      <c r="D128" s="35" t="s">
        <v>426</v>
      </c>
      <c r="E128" s="35" t="s">
        <v>1571</v>
      </c>
      <c r="F128" s="35" t="s">
        <v>427</v>
      </c>
      <c r="G128" s="35">
        <v>1950</v>
      </c>
      <c r="H128" s="35" t="s">
        <v>1336</v>
      </c>
      <c r="I128" s="35" t="s">
        <v>1337</v>
      </c>
      <c r="J128" s="35" t="s">
        <v>1338</v>
      </c>
      <c r="K128" s="35" t="s">
        <v>769</v>
      </c>
      <c r="L128" s="35" t="s">
        <v>1339</v>
      </c>
      <c r="M128" s="35"/>
      <c r="N128" s="35" t="s">
        <v>1757</v>
      </c>
      <c r="O128" s="35"/>
      <c r="P128" s="35" t="s">
        <v>685</v>
      </c>
      <c r="Q128" s="35" t="s">
        <v>9</v>
      </c>
      <c r="R128" s="35" t="s">
        <v>1350</v>
      </c>
      <c r="S128" s="35"/>
      <c r="T128" s="35" t="s">
        <v>822</v>
      </c>
      <c r="U128" s="35">
        <v>16</v>
      </c>
      <c r="V128" s="35">
        <v>7</v>
      </c>
      <c r="W128" s="35">
        <v>9</v>
      </c>
      <c r="X128" s="35">
        <v>2</v>
      </c>
      <c r="Y128" s="35">
        <v>0</v>
      </c>
      <c r="Z128" s="35">
        <v>4</v>
      </c>
      <c r="AA128" s="113">
        <v>320</v>
      </c>
    </row>
    <row r="129" spans="1:27" x14ac:dyDescent="0.25">
      <c r="A129" s="25">
        <v>297</v>
      </c>
      <c r="B129" s="35" t="s">
        <v>439</v>
      </c>
      <c r="C129" s="35" t="s">
        <v>401</v>
      </c>
      <c r="D129" s="35" t="s">
        <v>428</v>
      </c>
      <c r="E129" s="35" t="s">
        <v>440</v>
      </c>
      <c r="F129" s="35" t="s">
        <v>429</v>
      </c>
      <c r="G129" s="35">
        <v>1997</v>
      </c>
      <c r="H129" s="35"/>
      <c r="I129" s="35"/>
      <c r="J129" s="35"/>
      <c r="K129" s="35" t="s">
        <v>331</v>
      </c>
      <c r="L129" s="35" t="s">
        <v>441</v>
      </c>
      <c r="M129" s="35"/>
      <c r="N129" s="35" t="s">
        <v>1513</v>
      </c>
      <c r="O129" s="35"/>
      <c r="P129" s="35" t="s">
        <v>1090</v>
      </c>
      <c r="Q129" s="35" t="s">
        <v>9</v>
      </c>
      <c r="R129" s="35" t="s">
        <v>1091</v>
      </c>
      <c r="S129" s="35" t="s">
        <v>1053</v>
      </c>
      <c r="T129" s="35" t="s">
        <v>822</v>
      </c>
      <c r="U129" s="35">
        <v>7</v>
      </c>
      <c r="V129" s="35">
        <v>4</v>
      </c>
      <c r="W129" s="35">
        <v>0</v>
      </c>
      <c r="X129" s="35">
        <v>7</v>
      </c>
      <c r="Y129" s="35">
        <v>0</v>
      </c>
      <c r="Z129" s="35">
        <v>0</v>
      </c>
      <c r="AA129" s="113">
        <v>0</v>
      </c>
    </row>
    <row r="130" spans="1:27" x14ac:dyDescent="0.25">
      <c r="A130" s="25">
        <v>191</v>
      </c>
      <c r="B130" s="35" t="s">
        <v>430</v>
      </c>
      <c r="C130" s="35" t="s">
        <v>401</v>
      </c>
      <c r="D130" s="35" t="s">
        <v>428</v>
      </c>
      <c r="E130" s="35" t="s">
        <v>1340</v>
      </c>
      <c r="F130" s="35" t="s">
        <v>429</v>
      </c>
      <c r="G130" s="35">
        <v>1970</v>
      </c>
      <c r="H130" s="35" t="s">
        <v>1758</v>
      </c>
      <c r="I130" s="35" t="s">
        <v>1054</v>
      </c>
      <c r="J130" s="35"/>
      <c r="K130" s="35" t="s">
        <v>1758</v>
      </c>
      <c r="L130" s="35" t="s">
        <v>1054</v>
      </c>
      <c r="M130" s="35"/>
      <c r="N130" s="35" t="s">
        <v>1176</v>
      </c>
      <c r="O130" s="35"/>
      <c r="P130" s="35" t="s">
        <v>73</v>
      </c>
      <c r="Q130" s="35" t="s">
        <v>9</v>
      </c>
      <c r="R130" s="35" t="s">
        <v>74</v>
      </c>
      <c r="S130" s="35"/>
      <c r="T130" s="35" t="s">
        <v>822</v>
      </c>
      <c r="U130" s="35">
        <v>4</v>
      </c>
      <c r="V130" s="35">
        <v>3</v>
      </c>
      <c r="W130" s="35">
        <v>0</v>
      </c>
      <c r="X130" s="35">
        <v>2</v>
      </c>
      <c r="Y130" s="35">
        <v>1</v>
      </c>
      <c r="Z130" s="35">
        <v>0</v>
      </c>
      <c r="AA130" s="113">
        <v>382.74</v>
      </c>
    </row>
    <row r="131" spans="1:27" x14ac:dyDescent="0.25">
      <c r="A131" s="25">
        <v>306</v>
      </c>
      <c r="B131" s="35" t="s">
        <v>432</v>
      </c>
      <c r="C131" s="35" t="s">
        <v>401</v>
      </c>
      <c r="D131" s="35" t="s">
        <v>428</v>
      </c>
      <c r="E131" s="35" t="s">
        <v>433</v>
      </c>
      <c r="F131" s="35" t="s">
        <v>429</v>
      </c>
      <c r="G131" s="35">
        <v>1991</v>
      </c>
      <c r="H131" s="35" t="s">
        <v>434</v>
      </c>
      <c r="I131" s="35" t="s">
        <v>435</v>
      </c>
      <c r="J131" s="35" t="s">
        <v>436</v>
      </c>
      <c r="K131" s="35" t="s">
        <v>434</v>
      </c>
      <c r="L131" s="35" t="s">
        <v>435</v>
      </c>
      <c r="M131" s="35"/>
      <c r="N131" s="35" t="s">
        <v>437</v>
      </c>
      <c r="O131" s="35"/>
      <c r="P131" s="35" t="s">
        <v>428</v>
      </c>
      <c r="Q131" s="35" t="s">
        <v>9</v>
      </c>
      <c r="R131" s="35" t="s">
        <v>429</v>
      </c>
      <c r="S131" s="35" t="s">
        <v>436</v>
      </c>
      <c r="T131" s="35" t="s">
        <v>822</v>
      </c>
      <c r="U131" s="35">
        <v>11</v>
      </c>
      <c r="V131" s="35">
        <v>11</v>
      </c>
      <c r="W131" s="35">
        <v>0</v>
      </c>
      <c r="X131" s="35">
        <v>4</v>
      </c>
      <c r="Y131" s="35">
        <v>7</v>
      </c>
      <c r="Z131" s="35">
        <v>0</v>
      </c>
      <c r="AA131" s="113">
        <v>315</v>
      </c>
    </row>
    <row r="132" spans="1:27" x14ac:dyDescent="0.25">
      <c r="A132" s="25">
        <v>163</v>
      </c>
      <c r="B132" s="35" t="s">
        <v>1162</v>
      </c>
      <c r="C132" s="35" t="s">
        <v>401</v>
      </c>
      <c r="D132" s="35" t="s">
        <v>428</v>
      </c>
      <c r="E132" s="35" t="s">
        <v>438</v>
      </c>
      <c r="F132" s="35" t="s">
        <v>429</v>
      </c>
      <c r="G132" s="35">
        <v>1975</v>
      </c>
      <c r="H132" s="35"/>
      <c r="I132" s="35" t="s">
        <v>1287</v>
      </c>
      <c r="J132" s="35" t="s">
        <v>405</v>
      </c>
      <c r="K132" s="35"/>
      <c r="L132" s="35"/>
      <c r="M132" s="35" t="s">
        <v>1287</v>
      </c>
      <c r="N132" s="35" t="s">
        <v>1335</v>
      </c>
      <c r="O132" s="35"/>
      <c r="P132" s="35" t="s">
        <v>73</v>
      </c>
      <c r="Q132" s="35" t="s">
        <v>9</v>
      </c>
      <c r="R132" s="35" t="s">
        <v>74</v>
      </c>
      <c r="S132" s="35" t="s">
        <v>405</v>
      </c>
      <c r="T132" s="35" t="s">
        <v>829</v>
      </c>
      <c r="U132" s="35">
        <v>33</v>
      </c>
      <c r="V132" s="35">
        <v>32</v>
      </c>
      <c r="W132" s="35">
        <v>1</v>
      </c>
      <c r="X132" s="35">
        <v>0</v>
      </c>
      <c r="Y132" s="35">
        <v>32</v>
      </c>
      <c r="Z132" s="35">
        <v>0</v>
      </c>
      <c r="AA132" s="113">
        <v>334</v>
      </c>
    </row>
    <row r="133" spans="1:27" x14ac:dyDescent="0.25">
      <c r="A133" s="25">
        <v>140</v>
      </c>
      <c r="B133" s="35" t="s">
        <v>1143</v>
      </c>
      <c r="C133" s="35" t="s">
        <v>401</v>
      </c>
      <c r="D133" s="35" t="s">
        <v>428</v>
      </c>
      <c r="E133" s="35" t="s">
        <v>438</v>
      </c>
      <c r="F133" s="35" t="s">
        <v>429</v>
      </c>
      <c r="G133" s="35">
        <v>1994</v>
      </c>
      <c r="H133" s="35"/>
      <c r="I133" s="35" t="s">
        <v>1684</v>
      </c>
      <c r="J133" s="35" t="s">
        <v>98</v>
      </c>
      <c r="K133" s="35"/>
      <c r="L133" s="35"/>
      <c r="M133" s="35" t="s">
        <v>99</v>
      </c>
      <c r="N133" s="35" t="s">
        <v>1099</v>
      </c>
      <c r="O133" s="35"/>
      <c r="P133" s="35" t="s">
        <v>100</v>
      </c>
      <c r="Q133" s="35" t="s">
        <v>9</v>
      </c>
      <c r="R133" s="35" t="s">
        <v>608</v>
      </c>
      <c r="S133" s="35" t="s">
        <v>1028</v>
      </c>
      <c r="T133" s="35" t="s">
        <v>829</v>
      </c>
      <c r="U133" s="35">
        <v>6</v>
      </c>
      <c r="V133" s="35">
        <v>6</v>
      </c>
      <c r="W133" s="35">
        <v>0</v>
      </c>
      <c r="X133" s="35">
        <v>0</v>
      </c>
      <c r="Y133" s="35">
        <v>6</v>
      </c>
      <c r="Z133" s="35">
        <v>0</v>
      </c>
      <c r="AA133" s="113">
        <v>392</v>
      </c>
    </row>
    <row r="134" spans="1:27" x14ac:dyDescent="0.25">
      <c r="A134" s="25">
        <v>190</v>
      </c>
      <c r="B134" s="35" t="s">
        <v>443</v>
      </c>
      <c r="C134" s="35" t="s">
        <v>444</v>
      </c>
      <c r="D134" s="35" t="s">
        <v>445</v>
      </c>
      <c r="E134" s="35" t="s">
        <v>446</v>
      </c>
      <c r="F134" s="35" t="s">
        <v>447</v>
      </c>
      <c r="G134" s="35">
        <v>1961</v>
      </c>
      <c r="H134" s="35" t="s">
        <v>177</v>
      </c>
      <c r="I134" s="35" t="s">
        <v>178</v>
      </c>
      <c r="J134" s="35" t="s">
        <v>181</v>
      </c>
      <c r="K134" s="35" t="s">
        <v>177</v>
      </c>
      <c r="L134" s="35" t="s">
        <v>178</v>
      </c>
      <c r="M134" s="35" t="s">
        <v>1326</v>
      </c>
      <c r="N134" s="35" t="s">
        <v>179</v>
      </c>
      <c r="O134" s="35"/>
      <c r="P134" s="35" t="s">
        <v>180</v>
      </c>
      <c r="Q134" s="35" t="s">
        <v>9</v>
      </c>
      <c r="R134" s="35" t="s">
        <v>176</v>
      </c>
      <c r="S134" s="35" t="s">
        <v>181</v>
      </c>
      <c r="T134" s="35" t="s">
        <v>822</v>
      </c>
      <c r="U134" s="35">
        <v>32</v>
      </c>
      <c r="V134" s="35">
        <v>32</v>
      </c>
      <c r="W134" s="35">
        <v>0</v>
      </c>
      <c r="X134" s="35">
        <v>14</v>
      </c>
      <c r="Y134" s="35">
        <v>18</v>
      </c>
      <c r="Z134" s="35">
        <v>0</v>
      </c>
      <c r="AA134" s="113">
        <v>345</v>
      </c>
    </row>
    <row r="135" spans="1:27" x14ac:dyDescent="0.25">
      <c r="A135" s="25">
        <v>309</v>
      </c>
      <c r="B135" s="35" t="s">
        <v>1420</v>
      </c>
      <c r="C135" s="35" t="s">
        <v>444</v>
      </c>
      <c r="D135" s="35" t="s">
        <v>448</v>
      </c>
      <c r="E135" s="35" t="s">
        <v>449</v>
      </c>
      <c r="F135" s="35" t="s">
        <v>450</v>
      </c>
      <c r="G135" s="35">
        <v>1976</v>
      </c>
      <c r="H135" s="35" t="s">
        <v>1421</v>
      </c>
      <c r="I135" s="35" t="s">
        <v>1422</v>
      </c>
      <c r="J135" s="35" t="s">
        <v>1423</v>
      </c>
      <c r="K135" s="35" t="s">
        <v>1424</v>
      </c>
      <c r="L135" s="35" t="s">
        <v>1422</v>
      </c>
      <c r="M135" s="35"/>
      <c r="N135" s="35" t="s">
        <v>1514</v>
      </c>
      <c r="O135" s="35"/>
      <c r="P135" s="35" t="s">
        <v>451</v>
      </c>
      <c r="Q135" s="35" t="s">
        <v>9</v>
      </c>
      <c r="R135" s="35" t="s">
        <v>452</v>
      </c>
      <c r="S135" s="35" t="s">
        <v>1423</v>
      </c>
      <c r="T135" s="35" t="s">
        <v>822</v>
      </c>
      <c r="U135" s="35">
        <v>6</v>
      </c>
      <c r="V135" s="35">
        <v>6</v>
      </c>
      <c r="W135" s="35">
        <v>0</v>
      </c>
      <c r="X135" s="35">
        <v>1</v>
      </c>
      <c r="Y135" s="35">
        <v>5</v>
      </c>
      <c r="Z135" s="35">
        <v>0</v>
      </c>
      <c r="AA135" s="113">
        <v>250</v>
      </c>
    </row>
    <row r="136" spans="1:27" x14ac:dyDescent="0.25">
      <c r="A136" s="25">
        <v>286</v>
      </c>
      <c r="B136" s="35" t="s">
        <v>1425</v>
      </c>
      <c r="C136" s="35" t="s">
        <v>444</v>
      </c>
      <c r="D136" s="35" t="s">
        <v>448</v>
      </c>
      <c r="E136" s="35" t="s">
        <v>1426</v>
      </c>
      <c r="F136" s="35" t="s">
        <v>450</v>
      </c>
      <c r="G136" s="35">
        <v>1964</v>
      </c>
      <c r="H136" s="35" t="s">
        <v>397</v>
      </c>
      <c r="I136" s="35" t="s">
        <v>1427</v>
      </c>
      <c r="J136" s="35" t="s">
        <v>1515</v>
      </c>
      <c r="K136" s="35" t="s">
        <v>397</v>
      </c>
      <c r="L136" s="35" t="s">
        <v>1427</v>
      </c>
      <c r="M136" s="35"/>
      <c r="N136" s="35" t="s">
        <v>1428</v>
      </c>
      <c r="O136" s="35"/>
      <c r="P136" s="35" t="s">
        <v>444</v>
      </c>
      <c r="Q136" s="35" t="s">
        <v>9</v>
      </c>
      <c r="R136" s="35" t="s">
        <v>1458</v>
      </c>
      <c r="S136" s="35" t="s">
        <v>1429</v>
      </c>
      <c r="T136" s="35" t="s">
        <v>822</v>
      </c>
      <c r="U136" s="35">
        <v>16</v>
      </c>
      <c r="V136" s="35">
        <v>14</v>
      </c>
      <c r="W136" s="35">
        <v>2</v>
      </c>
      <c r="X136" s="35">
        <v>0</v>
      </c>
      <c r="Y136" s="35">
        <v>14</v>
      </c>
      <c r="Z136" s="35">
        <v>0</v>
      </c>
      <c r="AA136" s="113">
        <v>275</v>
      </c>
    </row>
    <row r="137" spans="1:27" x14ac:dyDescent="0.25">
      <c r="A137" s="25">
        <v>227</v>
      </c>
      <c r="B137" s="35" t="s">
        <v>456</v>
      </c>
      <c r="C137" s="35" t="s">
        <v>444</v>
      </c>
      <c r="D137" s="35" t="s">
        <v>453</v>
      </c>
      <c r="E137" s="35" t="s">
        <v>457</v>
      </c>
      <c r="F137" s="35" t="s">
        <v>454</v>
      </c>
      <c r="G137" s="35">
        <v>1965</v>
      </c>
      <c r="H137" s="35" t="s">
        <v>459</v>
      </c>
      <c r="I137" s="35" t="s">
        <v>458</v>
      </c>
      <c r="J137" s="35" t="s">
        <v>1341</v>
      </c>
      <c r="K137" s="35" t="s">
        <v>459</v>
      </c>
      <c r="L137" s="35" t="s">
        <v>458</v>
      </c>
      <c r="M137" s="35" t="s">
        <v>1430</v>
      </c>
      <c r="N137" s="35" t="s">
        <v>460</v>
      </c>
      <c r="O137" s="35"/>
      <c r="P137" s="35" t="s">
        <v>451</v>
      </c>
      <c r="Q137" s="35" t="s">
        <v>9</v>
      </c>
      <c r="R137" s="35" t="s">
        <v>452</v>
      </c>
      <c r="S137" s="35" t="s">
        <v>1341</v>
      </c>
      <c r="T137" s="35" t="s">
        <v>822</v>
      </c>
      <c r="U137" s="35">
        <v>11</v>
      </c>
      <c r="V137" s="35">
        <v>11</v>
      </c>
      <c r="W137" s="35">
        <v>0</v>
      </c>
      <c r="X137" s="35">
        <v>11</v>
      </c>
      <c r="Y137" s="35">
        <v>0</v>
      </c>
      <c r="Z137" s="35">
        <v>0</v>
      </c>
      <c r="AA137" s="113">
        <v>0</v>
      </c>
    </row>
    <row r="138" spans="1:27" x14ac:dyDescent="0.25">
      <c r="A138" s="25">
        <v>255</v>
      </c>
      <c r="B138" s="35" t="s">
        <v>1190</v>
      </c>
      <c r="C138" s="35" t="s">
        <v>444</v>
      </c>
      <c r="D138" s="35" t="s">
        <v>453</v>
      </c>
      <c r="E138" s="35" t="s">
        <v>1431</v>
      </c>
      <c r="F138" s="35" t="s">
        <v>454</v>
      </c>
      <c r="G138" s="35">
        <v>1998</v>
      </c>
      <c r="H138" s="35"/>
      <c r="I138" s="35" t="s">
        <v>1684</v>
      </c>
      <c r="J138" s="35" t="s">
        <v>204</v>
      </c>
      <c r="K138" s="35"/>
      <c r="L138" s="35"/>
      <c r="M138" s="35" t="s">
        <v>99</v>
      </c>
      <c r="N138" s="35" t="s">
        <v>1099</v>
      </c>
      <c r="O138" s="35"/>
      <c r="P138" s="35" t="s">
        <v>100</v>
      </c>
      <c r="Q138" s="35" t="s">
        <v>9</v>
      </c>
      <c r="R138" s="35" t="s">
        <v>608</v>
      </c>
      <c r="S138" s="35" t="s">
        <v>1028</v>
      </c>
      <c r="T138" s="35" t="s">
        <v>829</v>
      </c>
      <c r="U138" s="35">
        <v>102</v>
      </c>
      <c r="V138" s="35">
        <v>100</v>
      </c>
      <c r="W138" s="35">
        <v>2</v>
      </c>
      <c r="X138" s="35">
        <v>0</v>
      </c>
      <c r="Y138" s="35">
        <v>100</v>
      </c>
      <c r="Z138" s="35">
        <v>0</v>
      </c>
      <c r="AA138" s="113">
        <v>374</v>
      </c>
    </row>
    <row r="139" spans="1:27" x14ac:dyDescent="0.25">
      <c r="A139" s="25">
        <v>192</v>
      </c>
      <c r="B139" s="35" t="s">
        <v>1177</v>
      </c>
      <c r="C139" s="35" t="s">
        <v>444</v>
      </c>
      <c r="D139" s="35" t="s">
        <v>453</v>
      </c>
      <c r="E139" s="35" t="s">
        <v>455</v>
      </c>
      <c r="F139" s="35" t="s">
        <v>454</v>
      </c>
      <c r="G139" s="35">
        <v>1969</v>
      </c>
      <c r="H139" s="35" t="s">
        <v>1273</v>
      </c>
      <c r="I139" s="35" t="s">
        <v>1496</v>
      </c>
      <c r="J139" s="35" t="s">
        <v>1487</v>
      </c>
      <c r="K139" s="35"/>
      <c r="L139" s="35"/>
      <c r="M139" s="35" t="s">
        <v>1273</v>
      </c>
      <c r="N139" s="35" t="s">
        <v>183</v>
      </c>
      <c r="O139" s="35"/>
      <c r="P139" s="35" t="s">
        <v>180</v>
      </c>
      <c r="Q139" s="35" t="s">
        <v>9</v>
      </c>
      <c r="R139" s="35" t="s">
        <v>176</v>
      </c>
      <c r="S139" s="35" t="s">
        <v>184</v>
      </c>
      <c r="T139" s="35" t="s">
        <v>829</v>
      </c>
      <c r="U139" s="35">
        <v>48</v>
      </c>
      <c r="V139" s="35">
        <v>46</v>
      </c>
      <c r="W139" s="35">
        <v>2</v>
      </c>
      <c r="X139" s="35">
        <v>0</v>
      </c>
      <c r="Y139" s="35">
        <v>48</v>
      </c>
      <c r="Z139" s="35">
        <v>0</v>
      </c>
      <c r="AA139" s="113">
        <v>265</v>
      </c>
    </row>
    <row r="140" spans="1:27" x14ac:dyDescent="0.25">
      <c r="A140" s="25">
        <v>147</v>
      </c>
      <c r="B140" s="35" t="s">
        <v>1516</v>
      </c>
      <c r="C140" s="35" t="s">
        <v>461</v>
      </c>
      <c r="D140" s="35" t="s">
        <v>21</v>
      </c>
      <c r="E140" s="35" t="s">
        <v>467</v>
      </c>
      <c r="F140" s="35" t="s">
        <v>19</v>
      </c>
      <c r="G140" s="35">
        <v>1970</v>
      </c>
      <c r="H140" s="35" t="s">
        <v>1370</v>
      </c>
      <c r="I140" s="35" t="s">
        <v>1371</v>
      </c>
      <c r="J140" s="35" t="s">
        <v>1642</v>
      </c>
      <c r="K140" s="35" t="s">
        <v>1643</v>
      </c>
      <c r="L140" s="35" t="s">
        <v>1371</v>
      </c>
      <c r="M140" s="35" t="s">
        <v>1644</v>
      </c>
      <c r="N140" s="35" t="s">
        <v>1759</v>
      </c>
      <c r="O140" s="35"/>
      <c r="P140" s="35" t="s">
        <v>73</v>
      </c>
      <c r="Q140" s="35" t="s">
        <v>9</v>
      </c>
      <c r="R140" s="35" t="s">
        <v>74</v>
      </c>
      <c r="S140" s="35" t="s">
        <v>1642</v>
      </c>
      <c r="T140" s="35" t="s">
        <v>822</v>
      </c>
      <c r="U140" s="35">
        <v>17</v>
      </c>
      <c r="V140" s="35">
        <v>17</v>
      </c>
      <c r="W140" s="35">
        <v>0</v>
      </c>
      <c r="X140" s="35">
        <v>0</v>
      </c>
      <c r="Y140" s="35">
        <v>17</v>
      </c>
      <c r="Z140" s="35">
        <v>0</v>
      </c>
      <c r="AA140" s="113">
        <v>343</v>
      </c>
    </row>
    <row r="141" spans="1:27" x14ac:dyDescent="0.25">
      <c r="A141" s="25">
        <v>150</v>
      </c>
      <c r="B141" s="35" t="s">
        <v>1146</v>
      </c>
      <c r="C141" s="35" t="s">
        <v>461</v>
      </c>
      <c r="D141" s="35" t="s">
        <v>21</v>
      </c>
      <c r="E141" s="35" t="s">
        <v>462</v>
      </c>
      <c r="F141" s="35" t="s">
        <v>19</v>
      </c>
      <c r="G141" s="35">
        <v>1970</v>
      </c>
      <c r="H141" s="35" t="s">
        <v>1370</v>
      </c>
      <c r="I141" s="35" t="s">
        <v>1371</v>
      </c>
      <c r="J141" s="35" t="s">
        <v>1645</v>
      </c>
      <c r="K141" s="35"/>
      <c r="L141" s="35"/>
      <c r="M141" s="35" t="s">
        <v>1342</v>
      </c>
      <c r="N141" s="35" t="s">
        <v>1759</v>
      </c>
      <c r="O141" s="35"/>
      <c r="P141" s="35" t="s">
        <v>73</v>
      </c>
      <c r="Q141" s="35" t="s">
        <v>9</v>
      </c>
      <c r="R141" s="35" t="s">
        <v>74</v>
      </c>
      <c r="S141" s="35" t="s">
        <v>1760</v>
      </c>
      <c r="T141" s="35" t="s">
        <v>822</v>
      </c>
      <c r="U141" s="35">
        <v>5</v>
      </c>
      <c r="V141" s="35">
        <v>5</v>
      </c>
      <c r="W141" s="35">
        <v>0</v>
      </c>
      <c r="X141" s="35">
        <v>0</v>
      </c>
      <c r="Y141" s="35">
        <v>5</v>
      </c>
      <c r="Z141" s="35">
        <v>0</v>
      </c>
      <c r="AA141" s="113">
        <v>301.5</v>
      </c>
    </row>
    <row r="142" spans="1:27" x14ac:dyDescent="0.25">
      <c r="A142" s="25">
        <v>313</v>
      </c>
      <c r="B142" s="35" t="s">
        <v>1206</v>
      </c>
      <c r="C142" s="35" t="s">
        <v>461</v>
      </c>
      <c r="D142" s="35" t="s">
        <v>21</v>
      </c>
      <c r="E142" s="35" t="s">
        <v>470</v>
      </c>
      <c r="F142" s="35" t="s">
        <v>19</v>
      </c>
      <c r="G142" s="35">
        <v>1970</v>
      </c>
      <c r="H142" s="35" t="s">
        <v>331</v>
      </c>
      <c r="I142" s="35" t="s">
        <v>441</v>
      </c>
      <c r="J142" s="35" t="s">
        <v>1053</v>
      </c>
      <c r="K142" s="35" t="s">
        <v>331</v>
      </c>
      <c r="L142" s="35" t="s">
        <v>441</v>
      </c>
      <c r="M142" s="35"/>
      <c r="N142" s="35" t="s">
        <v>1513</v>
      </c>
      <c r="O142" s="35"/>
      <c r="P142" s="35" t="s">
        <v>1090</v>
      </c>
      <c r="Q142" s="35" t="s">
        <v>9</v>
      </c>
      <c r="R142" s="35" t="s">
        <v>1091</v>
      </c>
      <c r="S142" s="35" t="s">
        <v>1053</v>
      </c>
      <c r="T142" s="35" t="s">
        <v>822</v>
      </c>
      <c r="U142" s="35">
        <v>12</v>
      </c>
      <c r="V142" s="35">
        <v>2</v>
      </c>
      <c r="W142" s="35">
        <v>0</v>
      </c>
      <c r="X142" s="35">
        <v>0</v>
      </c>
      <c r="Y142" s="35">
        <v>2</v>
      </c>
      <c r="Z142" s="35">
        <v>9</v>
      </c>
      <c r="AA142" s="113">
        <v>0</v>
      </c>
    </row>
    <row r="143" spans="1:27" x14ac:dyDescent="0.25">
      <c r="A143" s="25">
        <v>220</v>
      </c>
      <c r="B143" s="35" t="s">
        <v>468</v>
      </c>
      <c r="C143" s="35" t="s">
        <v>461</v>
      </c>
      <c r="D143" s="35" t="s">
        <v>21</v>
      </c>
      <c r="E143" s="35" t="s">
        <v>469</v>
      </c>
      <c r="F143" s="35" t="s">
        <v>19</v>
      </c>
      <c r="G143" s="35">
        <v>1970</v>
      </c>
      <c r="H143" s="35"/>
      <c r="I143" s="35" t="s">
        <v>1761</v>
      </c>
      <c r="J143" s="35" t="s">
        <v>1762</v>
      </c>
      <c r="K143" s="35"/>
      <c r="L143" s="35"/>
      <c r="M143" s="35" t="s">
        <v>1763</v>
      </c>
      <c r="N143" s="35" t="s">
        <v>1764</v>
      </c>
      <c r="O143" s="35"/>
      <c r="P143" s="35" t="s">
        <v>1765</v>
      </c>
      <c r="Q143" s="35" t="s">
        <v>1766</v>
      </c>
      <c r="R143" s="35" t="s">
        <v>1767</v>
      </c>
      <c r="S143" s="35"/>
      <c r="T143" s="35" t="s">
        <v>822</v>
      </c>
      <c r="U143" s="35">
        <v>20</v>
      </c>
      <c r="V143" s="35">
        <v>19</v>
      </c>
      <c r="W143" s="35">
        <v>1</v>
      </c>
      <c r="X143" s="35">
        <v>11</v>
      </c>
      <c r="Y143" s="35">
        <v>8</v>
      </c>
      <c r="Z143" s="35">
        <v>0</v>
      </c>
      <c r="AA143" s="113">
        <v>320</v>
      </c>
    </row>
    <row r="144" spans="1:27" x14ac:dyDescent="0.25">
      <c r="A144" s="25">
        <v>210</v>
      </c>
      <c r="B144" s="35" t="s">
        <v>1432</v>
      </c>
      <c r="C144" s="35" t="s">
        <v>461</v>
      </c>
      <c r="D144" s="35" t="s">
        <v>21</v>
      </c>
      <c r="E144" s="35" t="s">
        <v>1768</v>
      </c>
      <c r="F144" s="35" t="s">
        <v>19</v>
      </c>
      <c r="G144" s="35">
        <v>1986</v>
      </c>
      <c r="H144" s="35"/>
      <c r="I144" s="35" t="s">
        <v>1343</v>
      </c>
      <c r="J144" s="35" t="s">
        <v>1769</v>
      </c>
      <c r="K144" s="35"/>
      <c r="L144" s="35"/>
      <c r="M144" s="35" t="s">
        <v>1343</v>
      </c>
      <c r="N144" s="35" t="s">
        <v>1768</v>
      </c>
      <c r="O144" s="35"/>
      <c r="P144" s="35" t="s">
        <v>21</v>
      </c>
      <c r="Q144" s="35" t="s">
        <v>9</v>
      </c>
      <c r="R144" s="35" t="s">
        <v>19</v>
      </c>
      <c r="S144" s="35" t="s">
        <v>1769</v>
      </c>
      <c r="T144" s="35" t="s">
        <v>855</v>
      </c>
      <c r="U144" s="35">
        <v>12</v>
      </c>
      <c r="V144" s="35">
        <v>12</v>
      </c>
      <c r="W144" s="35">
        <v>0</v>
      </c>
      <c r="X144" s="35">
        <v>0</v>
      </c>
      <c r="Y144" s="35">
        <v>12</v>
      </c>
      <c r="Z144" s="35">
        <v>0</v>
      </c>
      <c r="AA144" s="113">
        <v>370</v>
      </c>
    </row>
    <row r="145" spans="1:27" x14ac:dyDescent="0.25">
      <c r="A145" s="25">
        <v>205</v>
      </c>
      <c r="B145" s="35" t="s">
        <v>463</v>
      </c>
      <c r="C145" s="35" t="s">
        <v>461</v>
      </c>
      <c r="D145" s="35" t="s">
        <v>21</v>
      </c>
      <c r="E145" s="35" t="s">
        <v>1517</v>
      </c>
      <c r="F145" s="35" t="s">
        <v>19</v>
      </c>
      <c r="G145" s="35">
        <v>1955</v>
      </c>
      <c r="H145" s="35" t="s">
        <v>1572</v>
      </c>
      <c r="I145" s="35" t="s">
        <v>465</v>
      </c>
      <c r="J145" s="35" t="s">
        <v>466</v>
      </c>
      <c r="K145" s="35" t="s">
        <v>464</v>
      </c>
      <c r="L145" s="35" t="s">
        <v>465</v>
      </c>
      <c r="M145" s="35"/>
      <c r="N145" s="35" t="s">
        <v>1770</v>
      </c>
      <c r="O145" s="35"/>
      <c r="P145" s="35" t="s">
        <v>1059</v>
      </c>
      <c r="Q145" s="35" t="s">
        <v>431</v>
      </c>
      <c r="R145" s="35" t="s">
        <v>1060</v>
      </c>
      <c r="S145" s="35" t="s">
        <v>466</v>
      </c>
      <c r="T145" s="35" t="s">
        <v>822</v>
      </c>
      <c r="U145" s="35">
        <v>10</v>
      </c>
      <c r="V145" s="35">
        <v>7</v>
      </c>
      <c r="W145" s="35">
        <v>0</v>
      </c>
      <c r="X145" s="35">
        <v>3</v>
      </c>
      <c r="Y145" s="35">
        <v>7</v>
      </c>
      <c r="Z145" s="35">
        <v>0</v>
      </c>
      <c r="AA145" s="113">
        <v>299</v>
      </c>
    </row>
    <row r="146" spans="1:27" x14ac:dyDescent="0.25">
      <c r="A146" s="25">
        <v>211</v>
      </c>
      <c r="B146" s="35" t="s">
        <v>471</v>
      </c>
      <c r="C146" s="35" t="s">
        <v>461</v>
      </c>
      <c r="D146" s="35" t="s">
        <v>472</v>
      </c>
      <c r="E146" s="35" t="s">
        <v>1181</v>
      </c>
      <c r="F146" s="35" t="s">
        <v>473</v>
      </c>
      <c r="G146" s="35">
        <v>1970</v>
      </c>
      <c r="H146" s="35" t="s">
        <v>1365</v>
      </c>
      <c r="I146" s="35" t="s">
        <v>474</v>
      </c>
      <c r="J146" s="35"/>
      <c r="K146" s="35"/>
      <c r="L146" s="35"/>
      <c r="M146" s="35" t="s">
        <v>471</v>
      </c>
      <c r="N146" s="35" t="s">
        <v>475</v>
      </c>
      <c r="O146" s="35"/>
      <c r="P146" s="35" t="s">
        <v>461</v>
      </c>
      <c r="Q146" s="35" t="s">
        <v>9</v>
      </c>
      <c r="R146" s="35" t="s">
        <v>476</v>
      </c>
      <c r="S146" s="35" t="s">
        <v>477</v>
      </c>
      <c r="T146" s="35" t="s">
        <v>822</v>
      </c>
      <c r="U146" s="35">
        <v>44</v>
      </c>
      <c r="V146" s="35">
        <v>38</v>
      </c>
      <c r="W146" s="35">
        <v>3</v>
      </c>
      <c r="X146" s="35">
        <v>2</v>
      </c>
      <c r="Y146" s="35">
        <v>39</v>
      </c>
      <c r="Z146" s="35">
        <v>1</v>
      </c>
      <c r="AA146" s="113">
        <v>409</v>
      </c>
    </row>
    <row r="147" spans="1:27" x14ac:dyDescent="0.25">
      <c r="A147" s="25">
        <v>180</v>
      </c>
      <c r="B147" s="35" t="s">
        <v>1171</v>
      </c>
      <c r="C147" s="35" t="s">
        <v>461</v>
      </c>
      <c r="D147" s="35" t="s">
        <v>472</v>
      </c>
      <c r="E147" s="35" t="s">
        <v>478</v>
      </c>
      <c r="F147" s="35" t="s">
        <v>473</v>
      </c>
      <c r="G147" s="35">
        <v>1966</v>
      </c>
      <c r="H147" s="35" t="s">
        <v>1495</v>
      </c>
      <c r="I147" s="35" t="s">
        <v>1496</v>
      </c>
      <c r="J147" s="35" t="s">
        <v>1036</v>
      </c>
      <c r="K147" s="35"/>
      <c r="L147" s="35"/>
      <c r="M147" s="35" t="s">
        <v>1433</v>
      </c>
      <c r="N147" s="35" t="s">
        <v>1434</v>
      </c>
      <c r="O147" s="35" t="s">
        <v>1435</v>
      </c>
      <c r="P147" s="35" t="s">
        <v>472</v>
      </c>
      <c r="Q147" s="35" t="s">
        <v>9</v>
      </c>
      <c r="R147" s="35" t="s">
        <v>473</v>
      </c>
      <c r="S147" s="35"/>
      <c r="T147" s="35" t="s">
        <v>855</v>
      </c>
      <c r="U147" s="35">
        <v>44</v>
      </c>
      <c r="V147" s="35">
        <v>44</v>
      </c>
      <c r="W147" s="35">
        <v>0</v>
      </c>
      <c r="X147" s="35">
        <v>0</v>
      </c>
      <c r="Y147" s="35">
        <v>44</v>
      </c>
      <c r="Z147" s="35">
        <v>0</v>
      </c>
      <c r="AA147" s="113">
        <v>360</v>
      </c>
    </row>
    <row r="148" spans="1:27" x14ac:dyDescent="0.25">
      <c r="A148" s="25">
        <v>135</v>
      </c>
      <c r="B148" s="35" t="s">
        <v>1139</v>
      </c>
      <c r="C148" s="35" t="s">
        <v>461</v>
      </c>
      <c r="D148" s="35" t="s">
        <v>481</v>
      </c>
      <c r="E148" s="35" t="s">
        <v>482</v>
      </c>
      <c r="F148" s="35" t="s">
        <v>483</v>
      </c>
      <c r="G148" s="35">
        <v>1960</v>
      </c>
      <c r="H148" s="35"/>
      <c r="I148" s="35" t="s">
        <v>1684</v>
      </c>
      <c r="J148" s="35" t="s">
        <v>98</v>
      </c>
      <c r="K148" s="35"/>
      <c r="L148" s="35"/>
      <c r="M148" s="35" t="s">
        <v>99</v>
      </c>
      <c r="N148" s="35" t="s">
        <v>1099</v>
      </c>
      <c r="O148" s="35"/>
      <c r="P148" s="35" t="s">
        <v>100</v>
      </c>
      <c r="Q148" s="35" t="s">
        <v>9</v>
      </c>
      <c r="R148" s="35" t="s">
        <v>608</v>
      </c>
      <c r="S148" s="35" t="s">
        <v>1028</v>
      </c>
      <c r="T148" s="35" t="s">
        <v>829</v>
      </c>
      <c r="U148" s="35">
        <v>46</v>
      </c>
      <c r="V148" s="35">
        <v>22</v>
      </c>
      <c r="W148" s="35">
        <v>24</v>
      </c>
      <c r="X148" s="35">
        <v>0</v>
      </c>
      <c r="Y148" s="35">
        <v>22</v>
      </c>
      <c r="Z148" s="35">
        <v>0</v>
      </c>
      <c r="AA148" s="113">
        <v>425</v>
      </c>
    </row>
    <row r="149" spans="1:27" x14ac:dyDescent="0.25">
      <c r="A149" s="25">
        <v>301</v>
      </c>
      <c r="B149" s="35" t="s">
        <v>487</v>
      </c>
      <c r="C149" s="35" t="s">
        <v>461</v>
      </c>
      <c r="D149" s="35" t="s">
        <v>481</v>
      </c>
      <c r="E149" s="35" t="s">
        <v>488</v>
      </c>
      <c r="F149" s="35" t="s">
        <v>483</v>
      </c>
      <c r="G149" s="35">
        <v>1986</v>
      </c>
      <c r="H149" s="35" t="s">
        <v>1573</v>
      </c>
      <c r="I149" s="35" t="s">
        <v>326</v>
      </c>
      <c r="J149" s="35" t="s">
        <v>1574</v>
      </c>
      <c r="K149" s="35" t="s">
        <v>489</v>
      </c>
      <c r="L149" s="35" t="s">
        <v>326</v>
      </c>
      <c r="M149" s="35"/>
      <c r="N149" s="35" t="s">
        <v>491</v>
      </c>
      <c r="O149" s="35"/>
      <c r="P149" s="35" t="s">
        <v>486</v>
      </c>
      <c r="Q149" s="35" t="s">
        <v>9</v>
      </c>
      <c r="R149" s="35" t="s">
        <v>483</v>
      </c>
      <c r="S149" s="35" t="s">
        <v>490</v>
      </c>
      <c r="T149" s="35" t="s">
        <v>822</v>
      </c>
      <c r="U149" s="35">
        <v>6</v>
      </c>
      <c r="V149" s="35">
        <v>6</v>
      </c>
      <c r="W149" s="35">
        <v>0</v>
      </c>
      <c r="X149" s="35">
        <v>0</v>
      </c>
      <c r="Y149" s="35">
        <v>6</v>
      </c>
      <c r="Z149" s="35">
        <v>0</v>
      </c>
      <c r="AA149" s="113">
        <v>271</v>
      </c>
    </row>
    <row r="150" spans="1:27" x14ac:dyDescent="0.25">
      <c r="A150" s="25">
        <v>302</v>
      </c>
      <c r="B150" s="35" t="s">
        <v>1202</v>
      </c>
      <c r="C150" s="35" t="s">
        <v>461</v>
      </c>
      <c r="D150" s="35" t="s">
        <v>481</v>
      </c>
      <c r="E150" s="35" t="s">
        <v>484</v>
      </c>
      <c r="F150" s="35" t="s">
        <v>483</v>
      </c>
      <c r="G150" s="35">
        <v>1969</v>
      </c>
      <c r="H150" s="35" t="s">
        <v>1067</v>
      </c>
      <c r="I150" s="35" t="s">
        <v>485</v>
      </c>
      <c r="J150" s="35" t="s">
        <v>1771</v>
      </c>
      <c r="K150" s="35" t="s">
        <v>1772</v>
      </c>
      <c r="L150" s="35" t="s">
        <v>485</v>
      </c>
      <c r="M150" s="35"/>
      <c r="N150" s="35" t="s">
        <v>1773</v>
      </c>
      <c r="O150" s="35"/>
      <c r="P150" s="35" t="s">
        <v>1774</v>
      </c>
      <c r="Q150" s="35" t="s">
        <v>9</v>
      </c>
      <c r="R150" s="35" t="s">
        <v>1775</v>
      </c>
      <c r="S150" s="35" t="s">
        <v>1771</v>
      </c>
      <c r="T150" s="35" t="s">
        <v>822</v>
      </c>
      <c r="U150" s="35">
        <v>9</v>
      </c>
      <c r="V150" s="35">
        <v>7</v>
      </c>
      <c r="W150" s="35">
        <v>2</v>
      </c>
      <c r="X150" s="35">
        <v>2</v>
      </c>
      <c r="Y150" s="35">
        <v>6</v>
      </c>
      <c r="Z150" s="35">
        <v>1</v>
      </c>
      <c r="AA150" s="113">
        <v>222.5</v>
      </c>
    </row>
    <row r="151" spans="1:27" x14ac:dyDescent="0.25">
      <c r="A151" s="25">
        <v>318</v>
      </c>
      <c r="B151" s="35" t="s">
        <v>1055</v>
      </c>
      <c r="C151" s="35" t="s">
        <v>461</v>
      </c>
      <c r="D151" s="35" t="s">
        <v>479</v>
      </c>
      <c r="E151" s="35" t="s">
        <v>495</v>
      </c>
      <c r="F151" s="35" t="s">
        <v>480</v>
      </c>
      <c r="G151" s="35">
        <v>1993</v>
      </c>
      <c r="H151" s="35" t="s">
        <v>496</v>
      </c>
      <c r="I151" s="35" t="s">
        <v>497</v>
      </c>
      <c r="J151" s="35" t="s">
        <v>1518</v>
      </c>
      <c r="K151" s="35" t="s">
        <v>496</v>
      </c>
      <c r="L151" s="35" t="s">
        <v>497</v>
      </c>
      <c r="M151" s="35"/>
      <c r="N151" s="35" t="s">
        <v>498</v>
      </c>
      <c r="O151" s="35"/>
      <c r="P151" s="35" t="s">
        <v>472</v>
      </c>
      <c r="Q151" s="35" t="s">
        <v>9</v>
      </c>
      <c r="R151" s="35" t="s">
        <v>473</v>
      </c>
      <c r="S151" s="35"/>
      <c r="T151" s="35" t="s">
        <v>822</v>
      </c>
      <c r="U151" s="35">
        <v>3</v>
      </c>
      <c r="V151" s="35">
        <v>3</v>
      </c>
      <c r="W151" s="35">
        <v>0</v>
      </c>
      <c r="X151" s="35">
        <v>2</v>
      </c>
      <c r="Y151" s="35">
        <v>1</v>
      </c>
      <c r="Z151" s="35">
        <v>0</v>
      </c>
      <c r="AA151" s="113">
        <v>250</v>
      </c>
    </row>
    <row r="152" spans="1:27" x14ac:dyDescent="0.25">
      <c r="A152" s="25">
        <v>259</v>
      </c>
      <c r="B152" s="35" t="s">
        <v>499</v>
      </c>
      <c r="C152" s="35" t="s">
        <v>461</v>
      </c>
      <c r="D152" s="35" t="s">
        <v>479</v>
      </c>
      <c r="E152" s="35" t="s">
        <v>500</v>
      </c>
      <c r="F152" s="35" t="s">
        <v>480</v>
      </c>
      <c r="G152" s="35">
        <v>1960</v>
      </c>
      <c r="H152" s="35" t="s">
        <v>1436</v>
      </c>
      <c r="I152" s="35" t="s">
        <v>1437</v>
      </c>
      <c r="J152" s="35" t="s">
        <v>501</v>
      </c>
      <c r="K152" s="35"/>
      <c r="L152" s="35"/>
      <c r="M152" s="35" t="s">
        <v>1292</v>
      </c>
      <c r="N152" s="35" t="s">
        <v>1438</v>
      </c>
      <c r="O152" s="35" t="s">
        <v>502</v>
      </c>
      <c r="P152" s="35" t="s">
        <v>479</v>
      </c>
      <c r="Q152" s="35" t="s">
        <v>9</v>
      </c>
      <c r="R152" s="35" t="s">
        <v>480</v>
      </c>
      <c r="S152" s="35" t="s">
        <v>501</v>
      </c>
      <c r="T152" s="35" t="s">
        <v>822</v>
      </c>
      <c r="U152" s="35">
        <v>20</v>
      </c>
      <c r="V152" s="35">
        <v>12</v>
      </c>
      <c r="W152" s="35">
        <v>1</v>
      </c>
      <c r="X152" s="35">
        <v>5</v>
      </c>
      <c r="Y152" s="35">
        <v>10</v>
      </c>
      <c r="Z152" s="35">
        <v>4</v>
      </c>
      <c r="AA152" s="113">
        <v>260</v>
      </c>
    </row>
    <row r="153" spans="1:27" x14ac:dyDescent="0.25">
      <c r="A153" s="25">
        <v>149</v>
      </c>
      <c r="B153" s="35" t="s">
        <v>1291</v>
      </c>
      <c r="C153" s="35" t="s">
        <v>461</v>
      </c>
      <c r="D153" s="35" t="s">
        <v>479</v>
      </c>
      <c r="E153" s="35" t="s">
        <v>1056</v>
      </c>
      <c r="F153" s="35" t="s">
        <v>480</v>
      </c>
      <c r="G153" s="35">
        <v>1970</v>
      </c>
      <c r="H153" s="35" t="s">
        <v>1646</v>
      </c>
      <c r="I153" s="35" t="s">
        <v>1647</v>
      </c>
      <c r="J153" s="35" t="s">
        <v>493</v>
      </c>
      <c r="K153" s="35"/>
      <c r="L153" s="35"/>
      <c r="M153" s="35" t="s">
        <v>492</v>
      </c>
      <c r="N153" s="35" t="s">
        <v>1776</v>
      </c>
      <c r="O153" s="35"/>
      <c r="P153" s="35" t="s">
        <v>461</v>
      </c>
      <c r="Q153" s="35" t="s">
        <v>9</v>
      </c>
      <c r="R153" s="35" t="s">
        <v>494</v>
      </c>
      <c r="S153" s="35" t="s">
        <v>493</v>
      </c>
      <c r="T153" s="35" t="s">
        <v>829</v>
      </c>
      <c r="U153" s="35">
        <v>18</v>
      </c>
      <c r="V153" s="35">
        <v>17</v>
      </c>
      <c r="W153" s="35">
        <v>1</v>
      </c>
      <c r="X153" s="35">
        <v>0</v>
      </c>
      <c r="Y153" s="35">
        <v>17</v>
      </c>
      <c r="Z153" s="35">
        <v>0</v>
      </c>
      <c r="AA153" s="113">
        <v>300</v>
      </c>
    </row>
    <row r="154" spans="1:27" x14ac:dyDescent="0.25">
      <c r="A154" s="25">
        <v>288</v>
      </c>
      <c r="B154" s="35" t="s">
        <v>503</v>
      </c>
      <c r="C154" s="35" t="s">
        <v>461</v>
      </c>
      <c r="D154" s="35" t="s">
        <v>504</v>
      </c>
      <c r="E154" s="35" t="s">
        <v>505</v>
      </c>
      <c r="F154" s="35" t="s">
        <v>506</v>
      </c>
      <c r="G154" s="35">
        <v>1993</v>
      </c>
      <c r="H154" s="35" t="s">
        <v>1293</v>
      </c>
      <c r="I154" s="35" t="s">
        <v>1294</v>
      </c>
      <c r="J154" s="35" t="s">
        <v>1295</v>
      </c>
      <c r="K154" s="35" t="s">
        <v>1293</v>
      </c>
      <c r="L154" s="35" t="s">
        <v>1294</v>
      </c>
      <c r="M154" s="35"/>
      <c r="N154" s="35" t="s">
        <v>1296</v>
      </c>
      <c r="O154" s="35"/>
      <c r="P154" s="35" t="s">
        <v>504</v>
      </c>
      <c r="Q154" s="35" t="s">
        <v>9</v>
      </c>
      <c r="R154" s="35" t="s">
        <v>506</v>
      </c>
      <c r="S154" s="35" t="s">
        <v>1295</v>
      </c>
      <c r="T154" s="35" t="s">
        <v>822</v>
      </c>
      <c r="U154" s="35">
        <v>4</v>
      </c>
      <c r="V154" s="35">
        <v>4</v>
      </c>
      <c r="W154" s="35">
        <v>0</v>
      </c>
      <c r="X154" s="35">
        <v>1</v>
      </c>
      <c r="Y154" s="35">
        <v>3</v>
      </c>
      <c r="Z154" s="35">
        <v>0</v>
      </c>
      <c r="AA154" s="113">
        <v>202</v>
      </c>
    </row>
    <row r="155" spans="1:27" x14ac:dyDescent="0.25">
      <c r="A155" s="25">
        <v>184</v>
      </c>
      <c r="B155" s="35" t="s">
        <v>1173</v>
      </c>
      <c r="C155" s="35" t="s">
        <v>461</v>
      </c>
      <c r="D155" s="35" t="s">
        <v>507</v>
      </c>
      <c r="E155" s="35" t="s">
        <v>1439</v>
      </c>
      <c r="F155" s="35" t="s">
        <v>508</v>
      </c>
      <c r="G155" s="35">
        <v>1967</v>
      </c>
      <c r="H155" s="35" t="s">
        <v>103</v>
      </c>
      <c r="I155" s="35" t="s">
        <v>509</v>
      </c>
      <c r="J155" s="35" t="s">
        <v>510</v>
      </c>
      <c r="K155" s="35" t="s">
        <v>511</v>
      </c>
      <c r="L155" s="35" t="s">
        <v>509</v>
      </c>
      <c r="M155" s="35"/>
      <c r="N155" s="35" t="s">
        <v>512</v>
      </c>
      <c r="O155" s="35"/>
      <c r="P155" s="35" t="s">
        <v>513</v>
      </c>
      <c r="Q155" s="35" t="s">
        <v>514</v>
      </c>
      <c r="R155" s="35" t="s">
        <v>515</v>
      </c>
      <c r="S155" s="35" t="s">
        <v>510</v>
      </c>
      <c r="T155" s="35" t="s">
        <v>822</v>
      </c>
      <c r="U155" s="35">
        <v>14</v>
      </c>
      <c r="V155" s="35">
        <v>1</v>
      </c>
      <c r="W155" s="35">
        <v>5</v>
      </c>
      <c r="X155" s="35">
        <v>4</v>
      </c>
      <c r="Y155" s="35">
        <v>2</v>
      </c>
      <c r="Z155" s="35">
        <v>2</v>
      </c>
      <c r="AA155" s="113">
        <v>235</v>
      </c>
    </row>
    <row r="156" spans="1:27" x14ac:dyDescent="0.25">
      <c r="A156" s="25">
        <v>228</v>
      </c>
      <c r="B156" s="35" t="s">
        <v>1184</v>
      </c>
      <c r="C156" s="35" t="s">
        <v>461</v>
      </c>
      <c r="D156" s="35" t="s">
        <v>461</v>
      </c>
      <c r="E156" s="35" t="s">
        <v>527</v>
      </c>
      <c r="F156" s="35" t="s">
        <v>494</v>
      </c>
      <c r="G156" s="35">
        <v>1971</v>
      </c>
      <c r="H156" s="35" t="s">
        <v>528</v>
      </c>
      <c r="I156" s="35" t="s">
        <v>529</v>
      </c>
      <c r="J156" s="35" t="s">
        <v>530</v>
      </c>
      <c r="K156" s="35" t="s">
        <v>528</v>
      </c>
      <c r="L156" s="35" t="s">
        <v>529</v>
      </c>
      <c r="M156" s="35"/>
      <c r="N156" s="35" t="s">
        <v>1648</v>
      </c>
      <c r="O156" s="35"/>
      <c r="P156" s="35" t="s">
        <v>461</v>
      </c>
      <c r="Q156" s="35" t="s">
        <v>9</v>
      </c>
      <c r="R156" s="35" t="s">
        <v>494</v>
      </c>
      <c r="S156" s="35" t="s">
        <v>530</v>
      </c>
      <c r="T156" s="35" t="s">
        <v>822</v>
      </c>
      <c r="U156" s="35">
        <v>18</v>
      </c>
      <c r="V156" s="35">
        <v>18</v>
      </c>
      <c r="W156" s="35">
        <v>0</v>
      </c>
      <c r="X156" s="35">
        <v>0</v>
      </c>
      <c r="Y156" s="35">
        <v>18</v>
      </c>
      <c r="Z156" s="35">
        <v>0</v>
      </c>
      <c r="AA156" s="113">
        <v>360</v>
      </c>
    </row>
    <row r="157" spans="1:27" x14ac:dyDescent="0.25">
      <c r="A157" s="25">
        <v>212</v>
      </c>
      <c r="B157" s="35" t="s">
        <v>1440</v>
      </c>
      <c r="C157" s="35" t="s">
        <v>461</v>
      </c>
      <c r="D157" s="35" t="s">
        <v>461</v>
      </c>
      <c r="E157" s="35" t="s">
        <v>1297</v>
      </c>
      <c r="F157" s="35" t="s">
        <v>494</v>
      </c>
      <c r="G157" s="35">
        <v>1964</v>
      </c>
      <c r="H157" s="35" t="s">
        <v>1649</v>
      </c>
      <c r="I157" s="35" t="s">
        <v>474</v>
      </c>
      <c r="J157" s="35" t="s">
        <v>1575</v>
      </c>
      <c r="K157" s="35" t="s">
        <v>522</v>
      </c>
      <c r="L157" s="35" t="s">
        <v>474</v>
      </c>
      <c r="M157" s="35"/>
      <c r="N157" s="35" t="s">
        <v>1441</v>
      </c>
      <c r="O157" s="35"/>
      <c r="P157" s="35" t="s">
        <v>461</v>
      </c>
      <c r="Q157" s="35" t="s">
        <v>9</v>
      </c>
      <c r="R157" s="35" t="s">
        <v>476</v>
      </c>
      <c r="S157" s="35" t="s">
        <v>477</v>
      </c>
      <c r="T157" s="35" t="s">
        <v>822</v>
      </c>
      <c r="U157" s="35">
        <v>36</v>
      </c>
      <c r="V157" s="35">
        <v>35</v>
      </c>
      <c r="W157" s="35">
        <v>1</v>
      </c>
      <c r="X157" s="35">
        <v>1</v>
      </c>
      <c r="Y157" s="35">
        <v>34</v>
      </c>
      <c r="Z157" s="35">
        <v>0</v>
      </c>
      <c r="AA157" s="113">
        <v>428</v>
      </c>
    </row>
    <row r="158" spans="1:27" x14ac:dyDescent="0.25">
      <c r="A158" s="25">
        <v>207</v>
      </c>
      <c r="B158" s="35" t="s">
        <v>1125</v>
      </c>
      <c r="C158" s="35" t="s">
        <v>461</v>
      </c>
      <c r="D158" s="35" t="s">
        <v>461</v>
      </c>
      <c r="E158" s="35" t="s">
        <v>533</v>
      </c>
      <c r="F158" s="35" t="s">
        <v>494</v>
      </c>
      <c r="G158" s="35">
        <v>1978</v>
      </c>
      <c r="H158" s="35"/>
      <c r="I158" s="35" t="s">
        <v>1777</v>
      </c>
      <c r="J158" s="35" t="s">
        <v>530</v>
      </c>
      <c r="K158" s="35" t="s">
        <v>534</v>
      </c>
      <c r="L158" s="35" t="s">
        <v>535</v>
      </c>
      <c r="M158" s="35"/>
      <c r="N158" s="35" t="s">
        <v>1648</v>
      </c>
      <c r="O158" s="35"/>
      <c r="P158" s="35" t="s">
        <v>461</v>
      </c>
      <c r="Q158" s="35" t="s">
        <v>9</v>
      </c>
      <c r="R158" s="35" t="s">
        <v>476</v>
      </c>
      <c r="S158" s="35" t="s">
        <v>536</v>
      </c>
      <c r="T158" s="35" t="s">
        <v>822</v>
      </c>
      <c r="U158" s="35">
        <v>26</v>
      </c>
      <c r="V158" s="35">
        <v>26</v>
      </c>
      <c r="W158" s="35">
        <v>0</v>
      </c>
      <c r="X158" s="35">
        <v>0</v>
      </c>
      <c r="Y158" s="35">
        <v>26</v>
      </c>
      <c r="Z158" s="35">
        <v>0</v>
      </c>
      <c r="AA158" s="113">
        <v>363</v>
      </c>
    </row>
    <row r="159" spans="1:27" x14ac:dyDescent="0.25">
      <c r="A159" s="25">
        <v>215</v>
      </c>
      <c r="B159" s="35" t="s">
        <v>1182</v>
      </c>
      <c r="C159" s="35" t="s">
        <v>461</v>
      </c>
      <c r="D159" s="35" t="s">
        <v>461</v>
      </c>
      <c r="E159" s="35" t="s">
        <v>537</v>
      </c>
      <c r="F159" s="35" t="s">
        <v>494</v>
      </c>
      <c r="G159" s="35">
        <v>1975</v>
      </c>
      <c r="H159" s="35" t="s">
        <v>141</v>
      </c>
      <c r="I159" s="35" t="s">
        <v>538</v>
      </c>
      <c r="J159" s="35" t="s">
        <v>539</v>
      </c>
      <c r="K159" s="35" t="s">
        <v>141</v>
      </c>
      <c r="L159" s="35" t="s">
        <v>538</v>
      </c>
      <c r="M159" s="35"/>
      <c r="N159" s="35" t="s">
        <v>540</v>
      </c>
      <c r="O159" s="35"/>
      <c r="P159" s="35" t="s">
        <v>541</v>
      </c>
      <c r="Q159" s="35" t="s">
        <v>9</v>
      </c>
      <c r="R159" s="35" t="s">
        <v>542</v>
      </c>
      <c r="S159" s="35" t="s">
        <v>539</v>
      </c>
      <c r="T159" s="35" t="s">
        <v>822</v>
      </c>
      <c r="U159" s="35">
        <v>17</v>
      </c>
      <c r="V159" s="35">
        <v>15</v>
      </c>
      <c r="W159" s="35">
        <v>1</v>
      </c>
      <c r="X159" s="35">
        <v>0</v>
      </c>
      <c r="Y159" s="35">
        <v>15</v>
      </c>
      <c r="Z159" s="35">
        <v>1</v>
      </c>
      <c r="AA159" s="113">
        <v>355</v>
      </c>
    </row>
    <row r="160" spans="1:27" x14ac:dyDescent="0.25">
      <c r="A160" s="25">
        <v>275</v>
      </c>
      <c r="B160" s="35" t="s">
        <v>525</v>
      </c>
      <c r="C160" s="35" t="s">
        <v>461</v>
      </c>
      <c r="D160" s="35" t="s">
        <v>461</v>
      </c>
      <c r="E160" s="35" t="s">
        <v>526</v>
      </c>
      <c r="F160" s="35" t="s">
        <v>494</v>
      </c>
      <c r="G160" s="35">
        <v>1993</v>
      </c>
      <c r="H160" s="35" t="s">
        <v>1646</v>
      </c>
      <c r="I160" s="35" t="s">
        <v>1647</v>
      </c>
      <c r="J160" s="35" t="s">
        <v>493</v>
      </c>
      <c r="K160" s="35"/>
      <c r="L160" s="35"/>
      <c r="M160" s="35" t="s">
        <v>492</v>
      </c>
      <c r="N160" s="35" t="s">
        <v>1776</v>
      </c>
      <c r="O160" s="35"/>
      <c r="P160" s="35" t="s">
        <v>461</v>
      </c>
      <c r="Q160" s="35" t="s">
        <v>9</v>
      </c>
      <c r="R160" s="35" t="s">
        <v>494</v>
      </c>
      <c r="S160" s="35" t="s">
        <v>493</v>
      </c>
      <c r="T160" s="35" t="s">
        <v>829</v>
      </c>
      <c r="U160" s="35">
        <v>14</v>
      </c>
      <c r="V160" s="35">
        <v>14</v>
      </c>
      <c r="W160" s="35">
        <v>0</v>
      </c>
      <c r="X160" s="35">
        <v>0</v>
      </c>
      <c r="Y160" s="35">
        <v>14</v>
      </c>
      <c r="Z160" s="35">
        <v>0</v>
      </c>
      <c r="AA160" s="113">
        <v>290</v>
      </c>
    </row>
    <row r="161" spans="1:27" x14ac:dyDescent="0.25">
      <c r="A161" s="25">
        <v>284</v>
      </c>
      <c r="B161" s="35" t="s">
        <v>516</v>
      </c>
      <c r="C161" s="35" t="s">
        <v>461</v>
      </c>
      <c r="D161" s="35" t="s">
        <v>461</v>
      </c>
      <c r="E161" s="35" t="s">
        <v>517</v>
      </c>
      <c r="F161" s="35" t="s">
        <v>494</v>
      </c>
      <c r="G161" s="35">
        <v>1970</v>
      </c>
      <c r="H161" s="35" t="s">
        <v>1778</v>
      </c>
      <c r="I161" s="35" t="s">
        <v>518</v>
      </c>
      <c r="J161" s="35" t="s">
        <v>519</v>
      </c>
      <c r="K161" s="35"/>
      <c r="L161" s="35"/>
      <c r="M161" s="35" t="s">
        <v>520</v>
      </c>
      <c r="N161" s="35" t="s">
        <v>521</v>
      </c>
      <c r="O161" s="35"/>
      <c r="P161" s="35" t="s">
        <v>461</v>
      </c>
      <c r="Q161" s="35" t="s">
        <v>9</v>
      </c>
      <c r="R161" s="35" t="s">
        <v>494</v>
      </c>
      <c r="S161" s="35" t="s">
        <v>519</v>
      </c>
      <c r="T161" s="35" t="s">
        <v>822</v>
      </c>
      <c r="U161" s="35">
        <v>4</v>
      </c>
      <c r="V161" s="35">
        <v>4</v>
      </c>
      <c r="W161" s="35">
        <v>0</v>
      </c>
      <c r="X161" s="35">
        <v>3</v>
      </c>
      <c r="Y161" s="35">
        <v>1</v>
      </c>
      <c r="Z161" s="35">
        <v>0</v>
      </c>
      <c r="AA161" s="113">
        <v>310</v>
      </c>
    </row>
    <row r="162" spans="1:27" x14ac:dyDescent="0.25">
      <c r="A162" s="25">
        <v>213</v>
      </c>
      <c r="B162" s="35" t="s">
        <v>543</v>
      </c>
      <c r="C162" s="35" t="s">
        <v>461</v>
      </c>
      <c r="D162" s="35" t="s">
        <v>461</v>
      </c>
      <c r="E162" s="35" t="s">
        <v>544</v>
      </c>
      <c r="F162" s="35" t="s">
        <v>494</v>
      </c>
      <c r="G162" s="35">
        <v>1980</v>
      </c>
      <c r="H162" s="35" t="s">
        <v>522</v>
      </c>
      <c r="I162" s="35" t="s">
        <v>474</v>
      </c>
      <c r="J162" s="35" t="s">
        <v>477</v>
      </c>
      <c r="K162" s="35" t="s">
        <v>545</v>
      </c>
      <c r="L162" s="35" t="s">
        <v>474</v>
      </c>
      <c r="M162" s="35"/>
      <c r="N162" s="35" t="s">
        <v>523</v>
      </c>
      <c r="O162" s="35"/>
      <c r="P162" s="35" t="s">
        <v>461</v>
      </c>
      <c r="Q162" s="35" t="s">
        <v>9</v>
      </c>
      <c r="R162" s="35" t="s">
        <v>476</v>
      </c>
      <c r="S162" s="35" t="s">
        <v>477</v>
      </c>
      <c r="T162" s="35" t="s">
        <v>822</v>
      </c>
      <c r="U162" s="35">
        <v>12</v>
      </c>
      <c r="V162" s="35">
        <v>12</v>
      </c>
      <c r="W162" s="35">
        <v>0</v>
      </c>
      <c r="X162" s="35">
        <v>0</v>
      </c>
      <c r="Y162" s="35">
        <v>12</v>
      </c>
      <c r="Z162" s="35">
        <v>0</v>
      </c>
      <c r="AA162" s="113">
        <v>428</v>
      </c>
    </row>
    <row r="163" spans="1:27" x14ac:dyDescent="0.25">
      <c r="A163" s="25">
        <v>208</v>
      </c>
      <c r="B163" s="35" t="s">
        <v>531</v>
      </c>
      <c r="C163" s="35" t="s">
        <v>461</v>
      </c>
      <c r="D163" s="35" t="s">
        <v>461</v>
      </c>
      <c r="E163" s="35" t="s">
        <v>532</v>
      </c>
      <c r="F163" s="35" t="s">
        <v>494</v>
      </c>
      <c r="G163" s="35">
        <v>1956</v>
      </c>
      <c r="H163" s="35"/>
      <c r="I163" s="35" t="s">
        <v>1650</v>
      </c>
      <c r="J163" s="35" t="s">
        <v>1058</v>
      </c>
      <c r="K163" s="35" t="s">
        <v>1519</v>
      </c>
      <c r="L163" s="35" t="s">
        <v>1057</v>
      </c>
      <c r="M163" s="35" t="s">
        <v>531</v>
      </c>
      <c r="N163" s="35" t="s">
        <v>1520</v>
      </c>
      <c r="O163" s="35"/>
      <c r="P163" s="35" t="s">
        <v>1059</v>
      </c>
      <c r="Q163" s="35" t="s">
        <v>431</v>
      </c>
      <c r="R163" s="35" t="s">
        <v>1060</v>
      </c>
      <c r="S163" s="35" t="s">
        <v>1058</v>
      </c>
      <c r="T163" s="35" t="s">
        <v>822</v>
      </c>
      <c r="U163" s="35">
        <v>12</v>
      </c>
      <c r="V163" s="35">
        <v>12</v>
      </c>
      <c r="W163" s="35">
        <v>0</v>
      </c>
      <c r="X163" s="35">
        <v>0</v>
      </c>
      <c r="Y163" s="35">
        <v>12</v>
      </c>
      <c r="Z163" s="35">
        <v>0</v>
      </c>
      <c r="AA163" s="113">
        <v>324</v>
      </c>
    </row>
    <row r="164" spans="1:27" x14ac:dyDescent="0.25">
      <c r="A164" s="25">
        <v>186</v>
      </c>
      <c r="B164" s="35" t="s">
        <v>1175</v>
      </c>
      <c r="C164" s="35" t="s">
        <v>461</v>
      </c>
      <c r="D164" s="35" t="s">
        <v>546</v>
      </c>
      <c r="E164" s="35" t="s">
        <v>547</v>
      </c>
      <c r="F164" s="35" t="s">
        <v>548</v>
      </c>
      <c r="G164" s="35">
        <v>1955</v>
      </c>
      <c r="H164" s="35" t="s">
        <v>549</v>
      </c>
      <c r="I164" s="35" t="s">
        <v>550</v>
      </c>
      <c r="J164" s="35" t="s">
        <v>1061</v>
      </c>
      <c r="K164" s="35"/>
      <c r="L164" s="35"/>
      <c r="M164" s="35" t="s">
        <v>1298</v>
      </c>
      <c r="N164" s="35" t="s">
        <v>551</v>
      </c>
      <c r="O164" s="35"/>
      <c r="P164" s="35" t="s">
        <v>57</v>
      </c>
      <c r="Q164" s="35" t="s">
        <v>9</v>
      </c>
      <c r="R164" s="35" t="s">
        <v>66</v>
      </c>
      <c r="S164" s="35" t="s">
        <v>1061</v>
      </c>
      <c r="T164" s="35" t="s">
        <v>822</v>
      </c>
      <c r="U164" s="35">
        <v>10</v>
      </c>
      <c r="V164" s="35">
        <v>10</v>
      </c>
      <c r="W164" s="35">
        <v>0</v>
      </c>
      <c r="X164" s="35">
        <v>0</v>
      </c>
      <c r="Y164" s="35">
        <v>10</v>
      </c>
      <c r="Z164" s="35">
        <v>0</v>
      </c>
      <c r="AA164" s="113">
        <v>267.72000000000003</v>
      </c>
    </row>
    <row r="165" spans="1:27" x14ac:dyDescent="0.25">
      <c r="A165" s="25">
        <v>159</v>
      </c>
      <c r="B165" s="35" t="s">
        <v>554</v>
      </c>
      <c r="C165" s="35" t="s">
        <v>423</v>
      </c>
      <c r="D165" s="35" t="s">
        <v>73</v>
      </c>
      <c r="E165" s="35" t="s">
        <v>555</v>
      </c>
      <c r="F165" s="35" t="s">
        <v>74</v>
      </c>
      <c r="G165" s="35">
        <v>1955</v>
      </c>
      <c r="H165" s="35"/>
      <c r="I165" s="35" t="s">
        <v>1287</v>
      </c>
      <c r="J165" s="35" t="s">
        <v>405</v>
      </c>
      <c r="K165" s="35"/>
      <c r="L165" s="35"/>
      <c r="M165" s="35" t="s">
        <v>1287</v>
      </c>
      <c r="N165" s="35" t="s">
        <v>1335</v>
      </c>
      <c r="O165" s="35"/>
      <c r="P165" s="35" t="s">
        <v>73</v>
      </c>
      <c r="Q165" s="35" t="s">
        <v>9</v>
      </c>
      <c r="R165" s="35" t="s">
        <v>74</v>
      </c>
      <c r="S165" s="35" t="s">
        <v>405</v>
      </c>
      <c r="T165" s="35" t="s">
        <v>829</v>
      </c>
      <c r="U165" s="35">
        <v>8</v>
      </c>
      <c r="V165" s="35">
        <v>8</v>
      </c>
      <c r="W165" s="35">
        <v>0</v>
      </c>
      <c r="X165" s="35">
        <v>0</v>
      </c>
      <c r="Y165" s="35">
        <v>8</v>
      </c>
      <c r="Z165" s="35">
        <v>0</v>
      </c>
      <c r="AA165" s="113">
        <v>234</v>
      </c>
    </row>
    <row r="166" spans="1:27" x14ac:dyDescent="0.25">
      <c r="A166" s="25">
        <v>161</v>
      </c>
      <c r="B166" s="35" t="s">
        <v>1160</v>
      </c>
      <c r="C166" s="35" t="s">
        <v>423</v>
      </c>
      <c r="D166" s="35" t="s">
        <v>73</v>
      </c>
      <c r="E166" s="35" t="s">
        <v>553</v>
      </c>
      <c r="F166" s="35" t="s">
        <v>1091</v>
      </c>
      <c r="G166" s="35">
        <v>1955</v>
      </c>
      <c r="H166" s="35"/>
      <c r="I166" s="35" t="s">
        <v>1779</v>
      </c>
      <c r="J166" s="35"/>
      <c r="K166" s="35"/>
      <c r="L166" s="35"/>
      <c r="M166" s="35" t="s">
        <v>1640</v>
      </c>
      <c r="N166" s="35" t="s">
        <v>1641</v>
      </c>
      <c r="O166" s="35"/>
      <c r="P166" s="35" t="s">
        <v>451</v>
      </c>
      <c r="Q166" s="35" t="s">
        <v>9</v>
      </c>
      <c r="R166" s="35" t="s">
        <v>452</v>
      </c>
      <c r="S166" s="35"/>
      <c r="T166" s="35" t="s">
        <v>822</v>
      </c>
      <c r="U166" s="35">
        <v>7</v>
      </c>
      <c r="V166" s="35">
        <v>7</v>
      </c>
      <c r="W166" s="35">
        <v>0</v>
      </c>
      <c r="X166" s="35">
        <v>2</v>
      </c>
      <c r="Y166" s="35">
        <v>5</v>
      </c>
      <c r="Z166" s="35">
        <v>0</v>
      </c>
      <c r="AA166" s="113">
        <v>454</v>
      </c>
    </row>
    <row r="167" spans="1:27" x14ac:dyDescent="0.25">
      <c r="A167" s="25">
        <v>162</v>
      </c>
      <c r="B167" s="35" t="s">
        <v>1161</v>
      </c>
      <c r="C167" s="35" t="s">
        <v>423</v>
      </c>
      <c r="D167" s="35" t="s">
        <v>73</v>
      </c>
      <c r="E167" s="35" t="s">
        <v>552</v>
      </c>
      <c r="F167" s="35" t="s">
        <v>74</v>
      </c>
      <c r="G167" s="35">
        <v>1960</v>
      </c>
      <c r="H167" s="35"/>
      <c r="I167" s="35" t="s">
        <v>1779</v>
      </c>
      <c r="J167" s="35"/>
      <c r="K167" s="35"/>
      <c r="L167" s="35"/>
      <c r="M167" s="35" t="s">
        <v>1640</v>
      </c>
      <c r="N167" s="35" t="s">
        <v>1641</v>
      </c>
      <c r="O167" s="35"/>
      <c r="P167" s="35" t="s">
        <v>451</v>
      </c>
      <c r="Q167" s="35" t="s">
        <v>9</v>
      </c>
      <c r="R167" s="35" t="s">
        <v>452</v>
      </c>
      <c r="S167" s="35"/>
      <c r="T167" s="35" t="s">
        <v>822</v>
      </c>
      <c r="U167" s="35">
        <v>21</v>
      </c>
      <c r="V167" s="35">
        <v>21</v>
      </c>
      <c r="W167" s="35">
        <v>0</v>
      </c>
      <c r="X167" s="35">
        <v>7</v>
      </c>
      <c r="Y167" s="35">
        <v>14</v>
      </c>
      <c r="Z167" s="35">
        <v>0</v>
      </c>
      <c r="AA167" s="113">
        <v>454</v>
      </c>
    </row>
    <row r="168" spans="1:27" x14ac:dyDescent="0.25">
      <c r="A168" s="25">
        <v>131</v>
      </c>
      <c r="B168" s="35" t="s">
        <v>561</v>
      </c>
      <c r="C168" s="35" t="s">
        <v>423</v>
      </c>
      <c r="D168" s="35" t="s">
        <v>442</v>
      </c>
      <c r="E168" s="35" t="s">
        <v>1651</v>
      </c>
      <c r="F168" s="35" t="s">
        <v>74</v>
      </c>
      <c r="G168" s="35">
        <v>1964</v>
      </c>
      <c r="H168" s="35"/>
      <c r="I168" s="35" t="s">
        <v>1652</v>
      </c>
      <c r="J168" s="35" t="s">
        <v>1653</v>
      </c>
      <c r="K168" s="35" t="s">
        <v>1654</v>
      </c>
      <c r="L168" s="35" t="s">
        <v>1655</v>
      </c>
      <c r="M168" s="35"/>
      <c r="N168" s="35" t="s">
        <v>1780</v>
      </c>
      <c r="O168" s="35"/>
      <c r="P168" s="35" t="s">
        <v>73</v>
      </c>
      <c r="Q168" s="35" t="s">
        <v>9</v>
      </c>
      <c r="R168" s="35" t="s">
        <v>74</v>
      </c>
      <c r="S168" s="35" t="s">
        <v>1653</v>
      </c>
      <c r="T168" s="35" t="s">
        <v>822</v>
      </c>
      <c r="U168" s="35">
        <v>4</v>
      </c>
      <c r="V168" s="35">
        <v>4</v>
      </c>
      <c r="W168" s="35">
        <v>0</v>
      </c>
      <c r="X168" s="35">
        <v>4</v>
      </c>
      <c r="Y168" s="35">
        <v>0</v>
      </c>
      <c r="Z168" s="35">
        <v>0</v>
      </c>
      <c r="AA168" s="113">
        <v>0</v>
      </c>
    </row>
    <row r="169" spans="1:27" x14ac:dyDescent="0.25">
      <c r="A169" s="25">
        <v>154</v>
      </c>
      <c r="B169" s="35" t="s">
        <v>1155</v>
      </c>
      <c r="C169" s="35" t="s">
        <v>423</v>
      </c>
      <c r="D169" s="35" t="s">
        <v>442</v>
      </c>
      <c r="E169" s="35" t="s">
        <v>1521</v>
      </c>
      <c r="F169" s="35" t="s">
        <v>74</v>
      </c>
      <c r="G169" s="35">
        <v>1965</v>
      </c>
      <c r="H169" s="35"/>
      <c r="I169" s="35" t="s">
        <v>1299</v>
      </c>
      <c r="J169" s="35" t="s">
        <v>556</v>
      </c>
      <c r="K169" s="35"/>
      <c r="L169" s="35"/>
      <c r="M169" s="35" t="s">
        <v>1299</v>
      </c>
      <c r="N169" s="35" t="s">
        <v>1159</v>
      </c>
      <c r="O169" s="35"/>
      <c r="P169" s="35" t="s">
        <v>442</v>
      </c>
      <c r="Q169" s="35" t="s">
        <v>9</v>
      </c>
      <c r="R169" s="35" t="s">
        <v>101</v>
      </c>
      <c r="S169" s="35" t="s">
        <v>556</v>
      </c>
      <c r="T169" s="35" t="s">
        <v>822</v>
      </c>
      <c r="U169" s="35">
        <v>30</v>
      </c>
      <c r="V169" s="35">
        <v>29</v>
      </c>
      <c r="W169" s="35">
        <v>1</v>
      </c>
      <c r="X169" s="35">
        <v>0</v>
      </c>
      <c r="Y169" s="35">
        <v>29</v>
      </c>
      <c r="Z169" s="35">
        <v>0</v>
      </c>
      <c r="AA169" s="113">
        <v>453</v>
      </c>
    </row>
    <row r="170" spans="1:27" x14ac:dyDescent="0.25">
      <c r="A170" s="25">
        <v>157</v>
      </c>
      <c r="B170" s="35" t="s">
        <v>1158</v>
      </c>
      <c r="C170" s="35" t="s">
        <v>423</v>
      </c>
      <c r="D170" s="35" t="s">
        <v>442</v>
      </c>
      <c r="E170" s="35" t="s">
        <v>562</v>
      </c>
      <c r="F170" s="35" t="s">
        <v>101</v>
      </c>
      <c r="G170" s="35">
        <v>1965</v>
      </c>
      <c r="H170" s="35"/>
      <c r="I170" s="35" t="s">
        <v>1522</v>
      </c>
      <c r="J170" s="35" t="s">
        <v>556</v>
      </c>
      <c r="K170" s="35"/>
      <c r="L170" s="35"/>
      <c r="M170" s="35" t="s">
        <v>1523</v>
      </c>
      <c r="N170" s="35" t="s">
        <v>1159</v>
      </c>
      <c r="O170" s="35"/>
      <c r="P170" s="35" t="s">
        <v>442</v>
      </c>
      <c r="Q170" s="35" t="s">
        <v>9</v>
      </c>
      <c r="R170" s="35" t="s">
        <v>101</v>
      </c>
      <c r="S170" s="35" t="s">
        <v>556</v>
      </c>
      <c r="T170" s="35" t="s">
        <v>822</v>
      </c>
      <c r="U170" s="35">
        <v>5</v>
      </c>
      <c r="V170" s="35">
        <v>5</v>
      </c>
      <c r="W170" s="35">
        <v>0</v>
      </c>
      <c r="X170" s="35">
        <v>0</v>
      </c>
      <c r="Y170" s="35">
        <v>5</v>
      </c>
      <c r="Z170" s="35">
        <v>0</v>
      </c>
      <c r="AA170" s="113">
        <v>494</v>
      </c>
    </row>
    <row r="171" spans="1:27" x14ac:dyDescent="0.25">
      <c r="A171" s="25">
        <v>158</v>
      </c>
      <c r="B171" s="35" t="s">
        <v>1344</v>
      </c>
      <c r="C171" s="35" t="s">
        <v>423</v>
      </c>
      <c r="D171" s="35" t="s">
        <v>442</v>
      </c>
      <c r="E171" s="35" t="s">
        <v>1301</v>
      </c>
      <c r="F171" s="35" t="s">
        <v>101</v>
      </c>
      <c r="G171" s="35">
        <v>1965</v>
      </c>
      <c r="H171" s="35"/>
      <c r="I171" s="35" t="s">
        <v>1299</v>
      </c>
      <c r="J171" s="35" t="s">
        <v>556</v>
      </c>
      <c r="K171" s="35"/>
      <c r="L171" s="35"/>
      <c r="M171" s="35" t="s">
        <v>1299</v>
      </c>
      <c r="N171" s="35" t="s">
        <v>1159</v>
      </c>
      <c r="O171" s="35"/>
      <c r="P171" s="35" t="s">
        <v>442</v>
      </c>
      <c r="Q171" s="35" t="s">
        <v>9</v>
      </c>
      <c r="R171" s="35" t="s">
        <v>101</v>
      </c>
      <c r="S171" s="35" t="s">
        <v>556</v>
      </c>
      <c r="T171" s="35" t="s">
        <v>822</v>
      </c>
      <c r="U171" s="35">
        <v>9</v>
      </c>
      <c r="V171" s="35">
        <v>9</v>
      </c>
      <c r="W171" s="35">
        <v>0</v>
      </c>
      <c r="X171" s="35">
        <v>0</v>
      </c>
      <c r="Y171" s="35">
        <v>9</v>
      </c>
      <c r="Z171" s="35">
        <v>0</v>
      </c>
      <c r="AA171" s="113">
        <v>453</v>
      </c>
    </row>
    <row r="172" spans="1:27" x14ac:dyDescent="0.25">
      <c r="A172" s="25">
        <v>132</v>
      </c>
      <c r="B172" s="35" t="s">
        <v>1062</v>
      </c>
      <c r="C172" s="35" t="s">
        <v>423</v>
      </c>
      <c r="D172" s="35" t="s">
        <v>442</v>
      </c>
      <c r="E172" s="35" t="s">
        <v>1656</v>
      </c>
      <c r="F172" s="35" t="s">
        <v>101</v>
      </c>
      <c r="G172" s="35">
        <v>1967</v>
      </c>
      <c r="H172" s="35" t="s">
        <v>559</v>
      </c>
      <c r="I172" s="35" t="s">
        <v>1657</v>
      </c>
      <c r="J172" s="35" t="s">
        <v>560</v>
      </c>
      <c r="K172" s="35" t="s">
        <v>1781</v>
      </c>
      <c r="L172" s="35" t="s">
        <v>1782</v>
      </c>
      <c r="M172" s="35" t="s">
        <v>1062</v>
      </c>
      <c r="N172" s="35" t="s">
        <v>1783</v>
      </c>
      <c r="O172" s="35"/>
      <c r="P172" s="35" t="s">
        <v>73</v>
      </c>
      <c r="Q172" s="35" t="s">
        <v>9</v>
      </c>
      <c r="R172" s="35" t="s">
        <v>74</v>
      </c>
      <c r="S172" s="35" t="s">
        <v>560</v>
      </c>
      <c r="T172" s="35" t="s">
        <v>822</v>
      </c>
      <c r="U172" s="35">
        <v>28</v>
      </c>
      <c r="V172" s="35">
        <v>28</v>
      </c>
      <c r="W172" s="35">
        <v>0</v>
      </c>
      <c r="X172" s="35">
        <v>0</v>
      </c>
      <c r="Y172" s="35">
        <v>28</v>
      </c>
      <c r="Z172" s="35">
        <v>0</v>
      </c>
      <c r="AA172" s="113">
        <v>541.5</v>
      </c>
    </row>
    <row r="173" spans="1:27" x14ac:dyDescent="0.25">
      <c r="A173" s="25">
        <v>155</v>
      </c>
      <c r="B173" s="35" t="s">
        <v>1156</v>
      </c>
      <c r="C173" s="35" t="s">
        <v>423</v>
      </c>
      <c r="D173" s="35" t="s">
        <v>442</v>
      </c>
      <c r="E173" s="35" t="s">
        <v>1524</v>
      </c>
      <c r="F173" s="35" t="s">
        <v>74</v>
      </c>
      <c r="G173" s="35">
        <v>1965</v>
      </c>
      <c r="H173" s="35"/>
      <c r="I173" s="35" t="s">
        <v>1299</v>
      </c>
      <c r="J173" s="35" t="s">
        <v>556</v>
      </c>
      <c r="K173" s="35"/>
      <c r="L173" s="35"/>
      <c r="M173" s="35" t="s">
        <v>1299</v>
      </c>
      <c r="N173" s="35" t="s">
        <v>1159</v>
      </c>
      <c r="O173" s="35"/>
      <c r="P173" s="35" t="s">
        <v>442</v>
      </c>
      <c r="Q173" s="35" t="s">
        <v>9</v>
      </c>
      <c r="R173" s="35" t="s">
        <v>101</v>
      </c>
      <c r="S173" s="35" t="s">
        <v>556</v>
      </c>
      <c r="T173" s="35" t="s">
        <v>822</v>
      </c>
      <c r="U173" s="35">
        <v>35</v>
      </c>
      <c r="V173" s="35">
        <v>8</v>
      </c>
      <c r="W173" s="35">
        <v>27</v>
      </c>
      <c r="X173" s="35">
        <v>0</v>
      </c>
      <c r="Y173" s="35">
        <v>8</v>
      </c>
      <c r="Z173" s="35">
        <v>0</v>
      </c>
      <c r="AA173" s="113">
        <v>453</v>
      </c>
    </row>
    <row r="174" spans="1:27" x14ac:dyDescent="0.25">
      <c r="A174" s="25">
        <v>156</v>
      </c>
      <c r="B174" s="35" t="s">
        <v>1157</v>
      </c>
      <c r="C174" s="35" t="s">
        <v>423</v>
      </c>
      <c r="D174" s="35" t="s">
        <v>442</v>
      </c>
      <c r="E174" s="35" t="s">
        <v>1300</v>
      </c>
      <c r="F174" s="35" t="s">
        <v>101</v>
      </c>
      <c r="G174" s="35">
        <v>1965</v>
      </c>
      <c r="H174" s="35"/>
      <c r="I174" s="35" t="s">
        <v>1299</v>
      </c>
      <c r="J174" s="35" t="s">
        <v>556</v>
      </c>
      <c r="K174" s="35"/>
      <c r="L174" s="35"/>
      <c r="M174" s="35" t="s">
        <v>1299</v>
      </c>
      <c r="N174" s="35" t="s">
        <v>1159</v>
      </c>
      <c r="O174" s="35"/>
      <c r="P174" s="35" t="s">
        <v>442</v>
      </c>
      <c r="Q174" s="35" t="s">
        <v>9</v>
      </c>
      <c r="R174" s="35" t="s">
        <v>101</v>
      </c>
      <c r="S174" s="35" t="s">
        <v>556</v>
      </c>
      <c r="T174" s="35" t="s">
        <v>822</v>
      </c>
      <c r="U174" s="35">
        <v>23</v>
      </c>
      <c r="V174" s="35">
        <v>22</v>
      </c>
      <c r="W174" s="35">
        <v>1</v>
      </c>
      <c r="X174" s="35">
        <v>0</v>
      </c>
      <c r="Y174" s="35">
        <v>22</v>
      </c>
      <c r="Z174" s="35">
        <v>0</v>
      </c>
      <c r="AA174" s="113">
        <v>453</v>
      </c>
    </row>
    <row r="175" spans="1:27" x14ac:dyDescent="0.25">
      <c r="A175" s="25">
        <v>134</v>
      </c>
      <c r="B175" s="35" t="s">
        <v>1138</v>
      </c>
      <c r="C175" s="35" t="s">
        <v>423</v>
      </c>
      <c r="D175" s="35" t="s">
        <v>442</v>
      </c>
      <c r="E175" s="35" t="s">
        <v>1525</v>
      </c>
      <c r="F175" s="35" t="s">
        <v>101</v>
      </c>
      <c r="G175" s="35">
        <v>1960</v>
      </c>
      <c r="H175" s="35" t="s">
        <v>1495</v>
      </c>
      <c r="I175" s="35" t="s">
        <v>1496</v>
      </c>
      <c r="J175" s="35" t="s">
        <v>1036</v>
      </c>
      <c r="K175" s="35"/>
      <c r="L175" s="35"/>
      <c r="M175" s="35" t="s">
        <v>1442</v>
      </c>
      <c r="N175" s="35"/>
      <c r="O175" s="35" t="s">
        <v>1443</v>
      </c>
      <c r="P175" s="35" t="s">
        <v>442</v>
      </c>
      <c r="Q175" s="35" t="s">
        <v>9</v>
      </c>
      <c r="R175" s="35" t="s">
        <v>101</v>
      </c>
      <c r="S175" s="35" t="s">
        <v>1444</v>
      </c>
      <c r="T175" s="35" t="s">
        <v>855</v>
      </c>
      <c r="U175" s="35">
        <v>83</v>
      </c>
      <c r="V175" s="35">
        <v>83</v>
      </c>
      <c r="W175" s="35">
        <v>0</v>
      </c>
      <c r="X175" s="35">
        <v>0</v>
      </c>
      <c r="Y175" s="35">
        <v>83</v>
      </c>
      <c r="Z175" s="35">
        <v>0</v>
      </c>
      <c r="AA175" s="113">
        <v>360</v>
      </c>
    </row>
    <row r="176" spans="1:27" x14ac:dyDescent="0.25">
      <c r="A176" s="25">
        <v>176</v>
      </c>
      <c r="B176" s="35" t="s">
        <v>563</v>
      </c>
      <c r="C176" s="35" t="s">
        <v>423</v>
      </c>
      <c r="D176" s="35" t="s">
        <v>564</v>
      </c>
      <c r="E176" s="35" t="s">
        <v>565</v>
      </c>
      <c r="F176" s="35" t="s">
        <v>203</v>
      </c>
      <c r="G176" s="35">
        <v>1959</v>
      </c>
      <c r="H176" s="35" t="s">
        <v>331</v>
      </c>
      <c r="I176" s="35" t="s">
        <v>441</v>
      </c>
      <c r="J176" s="35" t="s">
        <v>1053</v>
      </c>
      <c r="K176" s="35" t="s">
        <v>331</v>
      </c>
      <c r="L176" s="35" t="s">
        <v>441</v>
      </c>
      <c r="M176" s="35"/>
      <c r="N176" s="35" t="s">
        <v>1513</v>
      </c>
      <c r="O176" s="35"/>
      <c r="P176" s="35" t="s">
        <v>1090</v>
      </c>
      <c r="Q176" s="35" t="s">
        <v>9</v>
      </c>
      <c r="R176" s="35" t="s">
        <v>1091</v>
      </c>
      <c r="S176" s="35" t="s">
        <v>1053</v>
      </c>
      <c r="T176" s="35" t="s">
        <v>822</v>
      </c>
      <c r="U176" s="35">
        <v>24</v>
      </c>
      <c r="V176" s="35">
        <v>7</v>
      </c>
      <c r="W176" s="35">
        <v>2</v>
      </c>
      <c r="X176" s="35">
        <v>0</v>
      </c>
      <c r="Y176" s="35">
        <v>7</v>
      </c>
      <c r="Z176" s="35">
        <v>0</v>
      </c>
      <c r="AA176" s="113">
        <v>0</v>
      </c>
    </row>
    <row r="177" spans="1:27" x14ac:dyDescent="0.25">
      <c r="A177" s="25">
        <v>142</v>
      </c>
      <c r="B177" s="35" t="s">
        <v>1145</v>
      </c>
      <c r="C177" s="35" t="s">
        <v>423</v>
      </c>
      <c r="D177" s="35" t="s">
        <v>557</v>
      </c>
      <c r="E177" s="35" t="s">
        <v>567</v>
      </c>
      <c r="F177" s="35" t="s">
        <v>558</v>
      </c>
      <c r="G177" s="35">
        <v>1970</v>
      </c>
      <c r="H177" s="35"/>
      <c r="I177" s="35" t="s">
        <v>1684</v>
      </c>
      <c r="J177" s="35" t="s">
        <v>204</v>
      </c>
      <c r="K177" s="35"/>
      <c r="L177" s="35"/>
      <c r="M177" s="35" t="s">
        <v>99</v>
      </c>
      <c r="N177" s="35" t="s">
        <v>1099</v>
      </c>
      <c r="O177" s="35"/>
      <c r="P177" s="35" t="s">
        <v>100</v>
      </c>
      <c r="Q177" s="35" t="s">
        <v>9</v>
      </c>
      <c r="R177" s="35" t="s">
        <v>608</v>
      </c>
      <c r="S177" s="35" t="s">
        <v>1028</v>
      </c>
      <c r="T177" s="35" t="s">
        <v>829</v>
      </c>
      <c r="U177" s="35">
        <v>56</v>
      </c>
      <c r="V177" s="35">
        <v>55</v>
      </c>
      <c r="W177" s="35">
        <v>1</v>
      </c>
      <c r="X177" s="35">
        <v>0</v>
      </c>
      <c r="Y177" s="35">
        <v>55</v>
      </c>
      <c r="Z177" s="35">
        <v>0</v>
      </c>
      <c r="AA177" s="113">
        <v>475</v>
      </c>
    </row>
    <row r="178" spans="1:27" x14ac:dyDescent="0.25">
      <c r="A178" s="25">
        <v>120</v>
      </c>
      <c r="B178" s="35" t="s">
        <v>1131</v>
      </c>
      <c r="C178" s="35" t="s">
        <v>423</v>
      </c>
      <c r="D178" s="35" t="s">
        <v>568</v>
      </c>
      <c r="E178" s="35" t="s">
        <v>1302</v>
      </c>
      <c r="F178" s="35" t="s">
        <v>569</v>
      </c>
      <c r="G178" s="35">
        <v>1958</v>
      </c>
      <c r="H178" s="35"/>
      <c r="I178" s="35" t="s">
        <v>1128</v>
      </c>
      <c r="J178" s="35" t="s">
        <v>1129</v>
      </c>
      <c r="K178" s="35"/>
      <c r="L178" s="35"/>
      <c r="M178" s="35" t="s">
        <v>1130</v>
      </c>
      <c r="N178" s="35" t="s">
        <v>1548</v>
      </c>
      <c r="O178" s="35"/>
      <c r="P178" s="35" t="s">
        <v>205</v>
      </c>
      <c r="Q178" s="35" t="s">
        <v>9</v>
      </c>
      <c r="R178" s="35" t="s">
        <v>207</v>
      </c>
      <c r="S178" s="35"/>
      <c r="T178" s="35" t="s">
        <v>822</v>
      </c>
      <c r="U178" s="35">
        <v>12</v>
      </c>
      <c r="V178" s="35">
        <v>12</v>
      </c>
      <c r="W178" s="35">
        <v>0</v>
      </c>
      <c r="X178" s="35">
        <v>1</v>
      </c>
      <c r="Y178" s="35">
        <v>11</v>
      </c>
      <c r="Z178" s="35">
        <v>0</v>
      </c>
      <c r="AA178" s="113">
        <v>418</v>
      </c>
    </row>
    <row r="179" spans="1:27" x14ac:dyDescent="0.25">
      <c r="A179" s="25">
        <v>171</v>
      </c>
      <c r="B179" s="35" t="s">
        <v>1169</v>
      </c>
      <c r="C179" s="35" t="s">
        <v>423</v>
      </c>
      <c r="D179" s="35" t="s">
        <v>570</v>
      </c>
      <c r="E179" s="35" t="s">
        <v>571</v>
      </c>
      <c r="F179" s="35" t="s">
        <v>572</v>
      </c>
      <c r="G179" s="35">
        <v>1994</v>
      </c>
      <c r="H179" s="35" t="s">
        <v>280</v>
      </c>
      <c r="I179" s="35" t="s">
        <v>574</v>
      </c>
      <c r="J179" s="35"/>
      <c r="K179" s="35" t="s">
        <v>575</v>
      </c>
      <c r="L179" s="35" t="s">
        <v>574</v>
      </c>
      <c r="M179" s="35"/>
      <c r="N179" s="35" t="s">
        <v>1345</v>
      </c>
      <c r="O179" s="35"/>
      <c r="P179" s="35" t="s">
        <v>216</v>
      </c>
      <c r="Q179" s="35" t="s">
        <v>9</v>
      </c>
      <c r="R179" s="35" t="s">
        <v>218</v>
      </c>
      <c r="S179" s="35" t="s">
        <v>1784</v>
      </c>
      <c r="T179" s="35" t="s">
        <v>822</v>
      </c>
      <c r="U179" s="35">
        <v>7</v>
      </c>
      <c r="V179" s="35">
        <v>7</v>
      </c>
      <c r="W179" s="35">
        <v>0</v>
      </c>
      <c r="X179" s="35">
        <v>0</v>
      </c>
      <c r="Y179" s="35">
        <v>7</v>
      </c>
      <c r="Z179" s="35">
        <v>0</v>
      </c>
      <c r="AA179" s="113">
        <v>345</v>
      </c>
    </row>
    <row r="180" spans="1:27" x14ac:dyDescent="0.25">
      <c r="A180" s="25">
        <v>307</v>
      </c>
      <c r="B180" s="35" t="s">
        <v>1205</v>
      </c>
      <c r="C180" s="35" t="s">
        <v>423</v>
      </c>
      <c r="D180" s="35" t="s">
        <v>570</v>
      </c>
      <c r="E180" s="35" t="s">
        <v>1346</v>
      </c>
      <c r="F180" s="35" t="s">
        <v>572</v>
      </c>
      <c r="G180" s="35">
        <v>2000</v>
      </c>
      <c r="H180" s="35" t="s">
        <v>573</v>
      </c>
      <c r="I180" s="35" t="s">
        <v>574</v>
      </c>
      <c r="J180" s="35" t="s">
        <v>1784</v>
      </c>
      <c r="K180" s="35" t="s">
        <v>575</v>
      </c>
      <c r="L180" s="35" t="s">
        <v>574</v>
      </c>
      <c r="M180" s="35"/>
      <c r="N180" s="35" t="s">
        <v>1345</v>
      </c>
      <c r="O180" s="35"/>
      <c r="P180" s="35" t="s">
        <v>216</v>
      </c>
      <c r="Q180" s="35" t="s">
        <v>9</v>
      </c>
      <c r="R180" s="35" t="s">
        <v>218</v>
      </c>
      <c r="S180" s="35" t="s">
        <v>1784</v>
      </c>
      <c r="T180" s="35" t="s">
        <v>822</v>
      </c>
      <c r="U180" s="35">
        <v>7</v>
      </c>
      <c r="V180" s="35">
        <v>7</v>
      </c>
      <c r="W180" s="35">
        <v>0</v>
      </c>
      <c r="X180" s="35">
        <v>0</v>
      </c>
      <c r="Y180" s="35">
        <v>7</v>
      </c>
      <c r="Z180" s="35">
        <v>0</v>
      </c>
      <c r="AA180" s="113">
        <v>345</v>
      </c>
    </row>
    <row r="181" spans="1:27" x14ac:dyDescent="0.25">
      <c r="A181" s="25">
        <v>153</v>
      </c>
      <c r="B181" s="35" t="s">
        <v>1154</v>
      </c>
      <c r="C181" s="35" t="s">
        <v>423</v>
      </c>
      <c r="D181" s="35" t="s">
        <v>570</v>
      </c>
      <c r="E181" s="35" t="s">
        <v>1526</v>
      </c>
      <c r="F181" s="35" t="s">
        <v>594</v>
      </c>
      <c r="G181" s="35">
        <v>1965</v>
      </c>
      <c r="H181" s="35"/>
      <c r="I181" s="35" t="s">
        <v>1299</v>
      </c>
      <c r="J181" s="35" t="s">
        <v>556</v>
      </c>
      <c r="K181" s="35"/>
      <c r="L181" s="35"/>
      <c r="M181" s="35" t="s">
        <v>1299</v>
      </c>
      <c r="N181" s="35" t="s">
        <v>1159</v>
      </c>
      <c r="O181" s="35"/>
      <c r="P181" s="35" t="s">
        <v>442</v>
      </c>
      <c r="Q181" s="35" t="s">
        <v>9</v>
      </c>
      <c r="R181" s="35" t="s">
        <v>101</v>
      </c>
      <c r="S181" s="35" t="s">
        <v>556</v>
      </c>
      <c r="T181" s="35" t="s">
        <v>822</v>
      </c>
      <c r="U181" s="35">
        <v>51</v>
      </c>
      <c r="V181" s="35">
        <v>39</v>
      </c>
      <c r="W181" s="35">
        <v>12</v>
      </c>
      <c r="X181" s="35">
        <v>0</v>
      </c>
      <c r="Y181" s="35">
        <v>39</v>
      </c>
      <c r="Z181" s="35">
        <v>0</v>
      </c>
      <c r="AA181" s="113">
        <v>409</v>
      </c>
    </row>
    <row r="182" spans="1:27" x14ac:dyDescent="0.25">
      <c r="A182" s="25">
        <v>166</v>
      </c>
      <c r="B182" s="35" t="s">
        <v>1167</v>
      </c>
      <c r="C182" s="35" t="s">
        <v>423</v>
      </c>
      <c r="D182" s="35" t="s">
        <v>570</v>
      </c>
      <c r="E182" s="35" t="s">
        <v>578</v>
      </c>
      <c r="F182" s="35" t="s">
        <v>572</v>
      </c>
      <c r="G182" s="35">
        <v>1970</v>
      </c>
      <c r="H182" s="35" t="s">
        <v>579</v>
      </c>
      <c r="I182" s="35" t="s">
        <v>580</v>
      </c>
      <c r="J182" s="35" t="s">
        <v>581</v>
      </c>
      <c r="K182" s="35" t="s">
        <v>582</v>
      </c>
      <c r="L182" s="35" t="s">
        <v>580</v>
      </c>
      <c r="M182" s="35"/>
      <c r="N182" s="35" t="s">
        <v>583</v>
      </c>
      <c r="O182" s="35"/>
      <c r="P182" s="35" t="s">
        <v>584</v>
      </c>
      <c r="Q182" s="35" t="s">
        <v>9</v>
      </c>
      <c r="R182" s="35" t="s">
        <v>585</v>
      </c>
      <c r="S182" s="35" t="s">
        <v>581</v>
      </c>
      <c r="T182" s="35" t="s">
        <v>822</v>
      </c>
      <c r="U182" s="35">
        <v>6</v>
      </c>
      <c r="V182" s="35">
        <v>6</v>
      </c>
      <c r="W182" s="35">
        <v>0</v>
      </c>
      <c r="X182" s="35">
        <v>2</v>
      </c>
      <c r="Y182" s="35">
        <v>4</v>
      </c>
      <c r="Z182" s="35">
        <v>0</v>
      </c>
      <c r="AA182" s="113">
        <v>230</v>
      </c>
    </row>
    <row r="183" spans="1:27" x14ac:dyDescent="0.25">
      <c r="A183" s="25">
        <v>258</v>
      </c>
      <c r="B183" s="35" t="s">
        <v>586</v>
      </c>
      <c r="C183" s="35" t="s">
        <v>423</v>
      </c>
      <c r="D183" s="35" t="s">
        <v>570</v>
      </c>
      <c r="E183" s="35" t="s">
        <v>587</v>
      </c>
      <c r="F183" s="35" t="s">
        <v>572</v>
      </c>
      <c r="G183" s="35">
        <v>1973</v>
      </c>
      <c r="H183" s="35" t="s">
        <v>46</v>
      </c>
      <c r="I183" s="35" t="s">
        <v>588</v>
      </c>
      <c r="J183" s="35" t="s">
        <v>589</v>
      </c>
      <c r="K183" s="35" t="s">
        <v>97</v>
      </c>
      <c r="L183" s="35" t="s">
        <v>588</v>
      </c>
      <c r="M183" s="35"/>
      <c r="N183" s="35" t="s">
        <v>587</v>
      </c>
      <c r="O183" s="35"/>
      <c r="P183" s="35" t="s">
        <v>570</v>
      </c>
      <c r="Q183" s="35" t="s">
        <v>9</v>
      </c>
      <c r="R183" s="35" t="s">
        <v>572</v>
      </c>
      <c r="S183" s="35" t="s">
        <v>589</v>
      </c>
      <c r="T183" s="35" t="s">
        <v>822</v>
      </c>
      <c r="U183" s="35">
        <v>15</v>
      </c>
      <c r="V183" s="35">
        <v>15</v>
      </c>
      <c r="W183" s="35">
        <v>0</v>
      </c>
      <c r="X183" s="35">
        <v>11</v>
      </c>
      <c r="Y183" s="35">
        <v>4</v>
      </c>
      <c r="Z183" s="35">
        <v>0</v>
      </c>
      <c r="AA183" s="113">
        <v>360</v>
      </c>
    </row>
    <row r="184" spans="1:27" x14ac:dyDescent="0.25">
      <c r="A184" s="25">
        <v>172</v>
      </c>
      <c r="B184" s="35" t="s">
        <v>1170</v>
      </c>
      <c r="C184" s="35" t="s">
        <v>423</v>
      </c>
      <c r="D184" s="35" t="s">
        <v>570</v>
      </c>
      <c r="E184" s="35" t="s">
        <v>590</v>
      </c>
      <c r="F184" s="35" t="s">
        <v>572</v>
      </c>
      <c r="G184" s="35">
        <v>1975</v>
      </c>
      <c r="H184" s="35" t="s">
        <v>1658</v>
      </c>
      <c r="I184" s="35" t="s">
        <v>574</v>
      </c>
      <c r="J184" s="35" t="s">
        <v>1659</v>
      </c>
      <c r="K184" s="35" t="s">
        <v>1063</v>
      </c>
      <c r="L184" s="35" t="s">
        <v>574</v>
      </c>
      <c r="M184" s="35"/>
      <c r="N184" s="35" t="s">
        <v>592</v>
      </c>
      <c r="O184" s="35"/>
      <c r="P184" s="35" t="s">
        <v>593</v>
      </c>
      <c r="Q184" s="35" t="s">
        <v>9</v>
      </c>
      <c r="R184" s="35" t="s">
        <v>594</v>
      </c>
      <c r="S184" s="35" t="s">
        <v>591</v>
      </c>
      <c r="T184" s="35" t="s">
        <v>822</v>
      </c>
      <c r="U184" s="35">
        <v>32</v>
      </c>
      <c r="V184" s="35">
        <v>32</v>
      </c>
      <c r="W184" s="35">
        <v>0</v>
      </c>
      <c r="X184" s="35">
        <v>6</v>
      </c>
      <c r="Y184" s="35">
        <v>26</v>
      </c>
      <c r="Z184" s="35">
        <v>0</v>
      </c>
      <c r="AA184" s="113">
        <v>329</v>
      </c>
    </row>
    <row r="185" spans="1:27" x14ac:dyDescent="0.25">
      <c r="A185" s="25">
        <v>170</v>
      </c>
      <c r="B185" s="35" t="s">
        <v>576</v>
      </c>
      <c r="C185" s="35" t="s">
        <v>423</v>
      </c>
      <c r="D185" s="35" t="s">
        <v>570</v>
      </c>
      <c r="E185" s="35" t="s">
        <v>577</v>
      </c>
      <c r="F185" s="35" t="s">
        <v>572</v>
      </c>
      <c r="G185" s="35">
        <v>1966</v>
      </c>
      <c r="H185" s="35" t="s">
        <v>573</v>
      </c>
      <c r="I185" s="35" t="s">
        <v>574</v>
      </c>
      <c r="J185" s="35"/>
      <c r="K185" s="35" t="s">
        <v>575</v>
      </c>
      <c r="L185" s="35" t="s">
        <v>574</v>
      </c>
      <c r="M185" s="35"/>
      <c r="N185" s="35" t="s">
        <v>1345</v>
      </c>
      <c r="O185" s="35"/>
      <c r="P185" s="35" t="s">
        <v>216</v>
      </c>
      <c r="Q185" s="35" t="s">
        <v>9</v>
      </c>
      <c r="R185" s="35" t="s">
        <v>218</v>
      </c>
      <c r="S185" s="35" t="s">
        <v>1784</v>
      </c>
      <c r="T185" s="35" t="s">
        <v>822</v>
      </c>
      <c r="U185" s="35">
        <v>13</v>
      </c>
      <c r="V185" s="35">
        <v>13</v>
      </c>
      <c r="W185" s="35">
        <v>0</v>
      </c>
      <c r="X185" s="35">
        <v>1</v>
      </c>
      <c r="Y185" s="35">
        <v>12</v>
      </c>
      <c r="Z185" s="35">
        <v>0</v>
      </c>
      <c r="AA185" s="113">
        <v>270</v>
      </c>
    </row>
    <row r="186" spans="1:27" x14ac:dyDescent="0.25">
      <c r="A186" s="25">
        <v>72</v>
      </c>
      <c r="B186" s="35" t="s">
        <v>595</v>
      </c>
      <c r="C186" s="35" t="s">
        <v>423</v>
      </c>
      <c r="D186" s="35" t="s">
        <v>596</v>
      </c>
      <c r="E186" s="35" t="s">
        <v>597</v>
      </c>
      <c r="F186" s="35" t="s">
        <v>598</v>
      </c>
      <c r="G186" s="35">
        <v>1968</v>
      </c>
      <c r="H186" s="35"/>
      <c r="I186" s="35" t="s">
        <v>1287</v>
      </c>
      <c r="J186" s="35" t="s">
        <v>405</v>
      </c>
      <c r="K186" s="35"/>
      <c r="L186" s="35"/>
      <c r="M186" s="35" t="s">
        <v>1287</v>
      </c>
      <c r="N186" s="35" t="s">
        <v>1335</v>
      </c>
      <c r="O186" s="35"/>
      <c r="P186" s="35" t="s">
        <v>73</v>
      </c>
      <c r="Q186" s="35" t="s">
        <v>9</v>
      </c>
      <c r="R186" s="35" t="s">
        <v>74</v>
      </c>
      <c r="S186" s="35" t="s">
        <v>405</v>
      </c>
      <c r="T186" s="35" t="s">
        <v>829</v>
      </c>
      <c r="U186" s="35">
        <v>29</v>
      </c>
      <c r="V186" s="35">
        <v>29</v>
      </c>
      <c r="W186" s="35">
        <v>0</v>
      </c>
      <c r="X186" s="35">
        <v>0</v>
      </c>
      <c r="Y186" s="35">
        <v>29</v>
      </c>
      <c r="Z186" s="35">
        <v>0</v>
      </c>
      <c r="AA186" s="113">
        <v>303</v>
      </c>
    </row>
    <row r="187" spans="1:27" x14ac:dyDescent="0.25">
      <c r="A187" s="25">
        <v>119</v>
      </c>
      <c r="B187" s="35" t="s">
        <v>1127</v>
      </c>
      <c r="C187" s="35" t="s">
        <v>423</v>
      </c>
      <c r="D187" s="35" t="s">
        <v>566</v>
      </c>
      <c r="E187" s="35" t="s">
        <v>1303</v>
      </c>
      <c r="F187" s="35" t="s">
        <v>203</v>
      </c>
      <c r="G187" s="35">
        <v>1958</v>
      </c>
      <c r="H187" s="35"/>
      <c r="I187" s="35" t="s">
        <v>1128</v>
      </c>
      <c r="J187" s="35" t="s">
        <v>1129</v>
      </c>
      <c r="K187" s="35"/>
      <c r="L187" s="35"/>
      <c r="M187" s="35" t="s">
        <v>1130</v>
      </c>
      <c r="N187" s="35" t="s">
        <v>1548</v>
      </c>
      <c r="O187" s="35"/>
      <c r="P187" s="35" t="s">
        <v>205</v>
      </c>
      <c r="Q187" s="35" t="s">
        <v>9</v>
      </c>
      <c r="R187" s="35" t="s">
        <v>207</v>
      </c>
      <c r="S187" s="35"/>
      <c r="T187" s="35" t="s">
        <v>822</v>
      </c>
      <c r="U187" s="35">
        <v>28</v>
      </c>
      <c r="V187" s="35">
        <v>27</v>
      </c>
      <c r="W187" s="35">
        <v>1</v>
      </c>
      <c r="X187" s="35">
        <v>0</v>
      </c>
      <c r="Y187" s="35">
        <v>27</v>
      </c>
      <c r="Z187" s="35">
        <v>0</v>
      </c>
      <c r="AA187" s="113">
        <v>420</v>
      </c>
    </row>
    <row r="188" spans="1:27" x14ac:dyDescent="0.25">
      <c r="A188" s="25">
        <v>272</v>
      </c>
      <c r="B188" s="35" t="s">
        <v>1195</v>
      </c>
      <c r="C188" s="35" t="s">
        <v>423</v>
      </c>
      <c r="D188" s="35" t="s">
        <v>566</v>
      </c>
      <c r="E188" s="35" t="s">
        <v>599</v>
      </c>
      <c r="F188" s="35" t="s">
        <v>203</v>
      </c>
      <c r="G188" s="35">
        <v>1967</v>
      </c>
      <c r="H188" s="35" t="s">
        <v>600</v>
      </c>
      <c r="I188" s="35" t="s">
        <v>601</v>
      </c>
      <c r="J188" s="35" t="s">
        <v>1576</v>
      </c>
      <c r="K188" s="35" t="s">
        <v>602</v>
      </c>
      <c r="L188" s="35" t="s">
        <v>601</v>
      </c>
      <c r="M188" s="35"/>
      <c r="N188" s="35" t="s">
        <v>1372</v>
      </c>
      <c r="O188" s="35"/>
      <c r="P188" s="35" t="s">
        <v>603</v>
      </c>
      <c r="Q188" s="35" t="s">
        <v>9</v>
      </c>
      <c r="R188" s="35" t="s">
        <v>604</v>
      </c>
      <c r="S188" s="35" t="s">
        <v>1576</v>
      </c>
      <c r="T188" s="35" t="s">
        <v>822</v>
      </c>
      <c r="U188" s="35">
        <v>67</v>
      </c>
      <c r="V188" s="35">
        <v>67</v>
      </c>
      <c r="W188" s="35">
        <v>0</v>
      </c>
      <c r="X188" s="35">
        <v>0</v>
      </c>
      <c r="Y188" s="35">
        <v>67</v>
      </c>
      <c r="Z188" s="35">
        <v>0</v>
      </c>
      <c r="AA188" s="113">
        <v>384</v>
      </c>
    </row>
    <row r="189" spans="1:27" x14ac:dyDescent="0.25">
      <c r="A189" s="25">
        <v>319</v>
      </c>
      <c r="B189" s="35" t="s">
        <v>617</v>
      </c>
      <c r="C189" s="35" t="s">
        <v>610</v>
      </c>
      <c r="D189" s="35" t="s">
        <v>611</v>
      </c>
      <c r="E189" s="35" t="s">
        <v>617</v>
      </c>
      <c r="F189" s="35" t="s">
        <v>613</v>
      </c>
      <c r="G189" s="35">
        <v>0</v>
      </c>
      <c r="H189" s="35"/>
      <c r="I189" s="35"/>
      <c r="J189" s="35"/>
      <c r="K189" s="35" t="s">
        <v>63</v>
      </c>
      <c r="L189" s="35" t="s">
        <v>618</v>
      </c>
      <c r="M189" s="35"/>
      <c r="N189" s="35" t="s">
        <v>617</v>
      </c>
      <c r="O189" s="35"/>
      <c r="P189" s="35" t="s">
        <v>611</v>
      </c>
      <c r="Q189" s="35" t="s">
        <v>9</v>
      </c>
      <c r="R189" s="35" t="s">
        <v>613</v>
      </c>
      <c r="S189" s="35" t="s">
        <v>619</v>
      </c>
      <c r="T189" s="35" t="s">
        <v>822</v>
      </c>
      <c r="U189" s="35">
        <v>4</v>
      </c>
      <c r="V189" s="35">
        <v>4</v>
      </c>
      <c r="W189" s="35">
        <v>0</v>
      </c>
      <c r="X189" s="35">
        <v>4</v>
      </c>
      <c r="Y189" s="35">
        <v>0</v>
      </c>
      <c r="Z189" s="35">
        <v>0</v>
      </c>
      <c r="AA189" s="113">
        <v>0</v>
      </c>
    </row>
    <row r="190" spans="1:27" x14ac:dyDescent="0.25">
      <c r="A190" s="25">
        <v>35</v>
      </c>
      <c r="B190" s="35" t="s">
        <v>609</v>
      </c>
      <c r="C190" s="35" t="s">
        <v>610</v>
      </c>
      <c r="D190" s="35" t="s">
        <v>611</v>
      </c>
      <c r="E190" s="35" t="s">
        <v>612</v>
      </c>
      <c r="F190" s="35" t="s">
        <v>613</v>
      </c>
      <c r="G190" s="35">
        <v>1960</v>
      </c>
      <c r="H190" s="35" t="s">
        <v>63</v>
      </c>
      <c r="I190" s="35" t="s">
        <v>614</v>
      </c>
      <c r="J190" s="35" t="s">
        <v>615</v>
      </c>
      <c r="K190" s="35" t="s">
        <v>63</v>
      </c>
      <c r="L190" s="35" t="s">
        <v>616</v>
      </c>
      <c r="M190" s="35"/>
      <c r="N190" s="35" t="s">
        <v>1445</v>
      </c>
      <c r="O190" s="35"/>
      <c r="P190" s="35" t="s">
        <v>611</v>
      </c>
      <c r="Q190" s="35" t="s">
        <v>9</v>
      </c>
      <c r="R190" s="35" t="s">
        <v>613</v>
      </c>
      <c r="S190" s="35" t="s">
        <v>615</v>
      </c>
      <c r="T190" s="35" t="s">
        <v>822</v>
      </c>
      <c r="U190" s="35">
        <v>5</v>
      </c>
      <c r="V190" s="35">
        <v>5</v>
      </c>
      <c r="W190" s="35">
        <v>0</v>
      </c>
      <c r="X190" s="35">
        <v>5</v>
      </c>
      <c r="Y190" s="35">
        <v>0</v>
      </c>
      <c r="Z190" s="35">
        <v>0</v>
      </c>
      <c r="AA190" s="113">
        <v>0</v>
      </c>
    </row>
    <row r="191" spans="1:27" x14ac:dyDescent="0.25">
      <c r="A191" s="25">
        <v>60</v>
      </c>
      <c r="B191" s="35" t="s">
        <v>620</v>
      </c>
      <c r="C191" s="35" t="s">
        <v>610</v>
      </c>
      <c r="D191" s="35" t="s">
        <v>621</v>
      </c>
      <c r="E191" s="35" t="s">
        <v>622</v>
      </c>
      <c r="F191" s="35" t="s">
        <v>627</v>
      </c>
      <c r="G191" s="35">
        <v>1956</v>
      </c>
      <c r="H191" s="35" t="s">
        <v>1785</v>
      </c>
      <c r="I191" s="35" t="s">
        <v>1786</v>
      </c>
      <c r="J191" s="35" t="s">
        <v>623</v>
      </c>
      <c r="K191" s="35"/>
      <c r="L191" s="35"/>
      <c r="M191" s="35" t="s">
        <v>1305</v>
      </c>
      <c r="N191" s="35" t="s">
        <v>1373</v>
      </c>
      <c r="O191" s="35" t="s">
        <v>624</v>
      </c>
      <c r="P191" s="35" t="s">
        <v>621</v>
      </c>
      <c r="Q191" s="35" t="s">
        <v>9</v>
      </c>
      <c r="R191" s="35" t="s">
        <v>627</v>
      </c>
      <c r="S191" s="35" t="s">
        <v>623</v>
      </c>
      <c r="T191" s="35" t="s">
        <v>855</v>
      </c>
      <c r="U191" s="35">
        <v>29</v>
      </c>
      <c r="V191" s="35">
        <v>23</v>
      </c>
      <c r="W191" s="35">
        <v>6</v>
      </c>
      <c r="X191" s="35">
        <v>0</v>
      </c>
      <c r="Y191" s="35">
        <v>23</v>
      </c>
      <c r="Z191" s="35">
        <v>0</v>
      </c>
      <c r="AA191" s="113">
        <v>333</v>
      </c>
    </row>
    <row r="192" spans="1:27" x14ac:dyDescent="0.25">
      <c r="A192" s="25">
        <v>137</v>
      </c>
      <c r="B192" s="35" t="s">
        <v>1141</v>
      </c>
      <c r="C192" s="35" t="s">
        <v>610</v>
      </c>
      <c r="D192" s="35" t="s">
        <v>621</v>
      </c>
      <c r="E192" s="35" t="s">
        <v>626</v>
      </c>
      <c r="F192" s="35" t="s">
        <v>627</v>
      </c>
      <c r="G192" s="35">
        <v>1991</v>
      </c>
      <c r="H192" s="35"/>
      <c r="I192" s="35" t="s">
        <v>1684</v>
      </c>
      <c r="J192" s="35" t="s">
        <v>98</v>
      </c>
      <c r="K192" s="35"/>
      <c r="L192" s="35"/>
      <c r="M192" s="35" t="s">
        <v>99</v>
      </c>
      <c r="N192" s="35" t="s">
        <v>1099</v>
      </c>
      <c r="O192" s="35"/>
      <c r="P192" s="35" t="s">
        <v>100</v>
      </c>
      <c r="Q192" s="35" t="s">
        <v>9</v>
      </c>
      <c r="R192" s="35" t="s">
        <v>608</v>
      </c>
      <c r="S192" s="35" t="s">
        <v>1028</v>
      </c>
      <c r="T192" s="35" t="s">
        <v>829</v>
      </c>
      <c r="U192" s="35">
        <v>44</v>
      </c>
      <c r="V192" s="35">
        <v>42</v>
      </c>
      <c r="W192" s="35">
        <v>2</v>
      </c>
      <c r="X192" s="35">
        <v>0</v>
      </c>
      <c r="Y192" s="35">
        <v>42</v>
      </c>
      <c r="Z192" s="35">
        <v>0</v>
      </c>
      <c r="AA192" s="113">
        <v>417</v>
      </c>
    </row>
    <row r="193" spans="1:27" x14ac:dyDescent="0.25">
      <c r="A193" s="25">
        <v>61</v>
      </c>
      <c r="B193" s="35" t="s">
        <v>628</v>
      </c>
      <c r="C193" s="35" t="s">
        <v>610</v>
      </c>
      <c r="D193" s="35" t="s">
        <v>621</v>
      </c>
      <c r="E193" s="35" t="s">
        <v>629</v>
      </c>
      <c r="F193" s="35" t="s">
        <v>627</v>
      </c>
      <c r="G193" s="35">
        <v>1953</v>
      </c>
      <c r="H193" s="35" t="s">
        <v>1785</v>
      </c>
      <c r="I193" s="35" t="s">
        <v>1786</v>
      </c>
      <c r="J193" s="35" t="s">
        <v>623</v>
      </c>
      <c r="K193" s="35"/>
      <c r="L193" s="35"/>
      <c r="M193" s="35" t="s">
        <v>1305</v>
      </c>
      <c r="N193" s="35" t="s">
        <v>1373</v>
      </c>
      <c r="O193" s="35" t="s">
        <v>624</v>
      </c>
      <c r="P193" s="35" t="s">
        <v>621</v>
      </c>
      <c r="Q193" s="35" t="s">
        <v>9</v>
      </c>
      <c r="R193" s="35" t="s">
        <v>627</v>
      </c>
      <c r="S193" s="35" t="s">
        <v>623</v>
      </c>
      <c r="T193" s="35" t="s">
        <v>855</v>
      </c>
      <c r="U193" s="35">
        <v>21</v>
      </c>
      <c r="V193" s="35">
        <v>19</v>
      </c>
      <c r="W193" s="35">
        <v>2</v>
      </c>
      <c r="X193" s="35">
        <v>0</v>
      </c>
      <c r="Y193" s="35">
        <v>19</v>
      </c>
      <c r="Z193" s="35">
        <v>2</v>
      </c>
      <c r="AA193" s="113">
        <v>333</v>
      </c>
    </row>
    <row r="194" spans="1:27" x14ac:dyDescent="0.25">
      <c r="A194" s="25">
        <v>59</v>
      </c>
      <c r="B194" s="35" t="s">
        <v>625</v>
      </c>
      <c r="C194" s="35" t="s">
        <v>610</v>
      </c>
      <c r="D194" s="35" t="s">
        <v>621</v>
      </c>
      <c r="E194" s="35" t="s">
        <v>1304</v>
      </c>
      <c r="F194" s="35" t="s">
        <v>627</v>
      </c>
      <c r="G194" s="35">
        <v>1958</v>
      </c>
      <c r="H194" s="35" t="s">
        <v>1785</v>
      </c>
      <c r="I194" s="35" t="s">
        <v>1786</v>
      </c>
      <c r="J194" s="35" t="s">
        <v>623</v>
      </c>
      <c r="K194" s="35"/>
      <c r="L194" s="35"/>
      <c r="M194" s="35" t="s">
        <v>1305</v>
      </c>
      <c r="N194" s="35" t="s">
        <v>1373</v>
      </c>
      <c r="O194" s="35" t="s">
        <v>624</v>
      </c>
      <c r="P194" s="35" t="s">
        <v>621</v>
      </c>
      <c r="Q194" s="35" t="s">
        <v>9</v>
      </c>
      <c r="R194" s="35" t="s">
        <v>627</v>
      </c>
      <c r="S194" s="35" t="s">
        <v>623</v>
      </c>
      <c r="T194" s="35" t="s">
        <v>855</v>
      </c>
      <c r="U194" s="35">
        <v>262</v>
      </c>
      <c r="V194" s="35">
        <v>257</v>
      </c>
      <c r="W194" s="35">
        <v>5</v>
      </c>
      <c r="X194" s="35">
        <v>1</v>
      </c>
      <c r="Y194" s="35">
        <v>254</v>
      </c>
      <c r="Z194" s="35">
        <v>3</v>
      </c>
      <c r="AA194" s="113">
        <v>290</v>
      </c>
    </row>
    <row r="195" spans="1:27" x14ac:dyDescent="0.25">
      <c r="A195" s="25">
        <v>246</v>
      </c>
      <c r="B195" s="35" t="s">
        <v>630</v>
      </c>
      <c r="C195" s="35" t="s">
        <v>610</v>
      </c>
      <c r="D195" s="35" t="s">
        <v>631</v>
      </c>
      <c r="E195" s="35" t="s">
        <v>632</v>
      </c>
      <c r="F195" s="35" t="s">
        <v>633</v>
      </c>
      <c r="G195" s="35">
        <v>1954</v>
      </c>
      <c r="H195" s="35"/>
      <c r="I195" s="35" t="s">
        <v>1684</v>
      </c>
      <c r="J195" s="35" t="s">
        <v>98</v>
      </c>
      <c r="K195" s="35"/>
      <c r="L195" s="35"/>
      <c r="M195" s="35" t="s">
        <v>99</v>
      </c>
      <c r="N195" s="35" t="s">
        <v>1099</v>
      </c>
      <c r="O195" s="35"/>
      <c r="P195" s="35" t="s">
        <v>100</v>
      </c>
      <c r="Q195" s="35" t="s">
        <v>9</v>
      </c>
      <c r="R195" s="35" t="s">
        <v>608</v>
      </c>
      <c r="S195" s="35" t="s">
        <v>1028</v>
      </c>
      <c r="T195" s="35" t="s">
        <v>829</v>
      </c>
      <c r="U195" s="35">
        <v>14</v>
      </c>
      <c r="V195" s="35">
        <v>14</v>
      </c>
      <c r="W195" s="35">
        <v>0</v>
      </c>
      <c r="X195" s="35">
        <v>0</v>
      </c>
      <c r="Y195" s="35">
        <v>14</v>
      </c>
      <c r="Z195" s="35">
        <v>0</v>
      </c>
      <c r="AA195" s="113">
        <v>374</v>
      </c>
    </row>
    <row r="196" spans="1:27" x14ac:dyDescent="0.25">
      <c r="A196" s="25">
        <v>62</v>
      </c>
      <c r="B196" s="35" t="s">
        <v>1064</v>
      </c>
      <c r="C196" s="35" t="s">
        <v>610</v>
      </c>
      <c r="D196" s="35" t="s">
        <v>634</v>
      </c>
      <c r="E196" s="35" t="s">
        <v>635</v>
      </c>
      <c r="F196" s="35" t="s">
        <v>627</v>
      </c>
      <c r="G196" s="35">
        <v>1960</v>
      </c>
      <c r="H196" s="35" t="s">
        <v>636</v>
      </c>
      <c r="I196" s="35" t="s">
        <v>637</v>
      </c>
      <c r="J196" s="35" t="s">
        <v>1577</v>
      </c>
      <c r="K196" s="35" t="s">
        <v>636</v>
      </c>
      <c r="L196" s="35" t="s">
        <v>637</v>
      </c>
      <c r="M196" s="35"/>
      <c r="N196" s="35" t="s">
        <v>638</v>
      </c>
      <c r="O196" s="35"/>
      <c r="P196" s="35" t="s">
        <v>634</v>
      </c>
      <c r="Q196" s="35" t="s">
        <v>9</v>
      </c>
      <c r="R196" s="35" t="s">
        <v>627</v>
      </c>
      <c r="S196" s="35" t="s">
        <v>1108</v>
      </c>
      <c r="T196" s="35" t="s">
        <v>822</v>
      </c>
      <c r="U196" s="35">
        <v>5</v>
      </c>
      <c r="V196" s="35">
        <v>4</v>
      </c>
      <c r="W196" s="35">
        <v>0</v>
      </c>
      <c r="X196" s="35">
        <v>4</v>
      </c>
      <c r="Y196" s="35">
        <v>1</v>
      </c>
      <c r="Z196" s="35">
        <v>0</v>
      </c>
      <c r="AA196" s="113">
        <v>0</v>
      </c>
    </row>
    <row r="197" spans="1:27" x14ac:dyDescent="0.25">
      <c r="A197" s="25">
        <v>43</v>
      </c>
      <c r="B197" s="35" t="s">
        <v>1787</v>
      </c>
      <c r="C197" s="35" t="s">
        <v>610</v>
      </c>
      <c r="D197" s="35" t="s">
        <v>640</v>
      </c>
      <c r="E197" s="35" t="s">
        <v>1578</v>
      </c>
      <c r="F197" s="35" t="s">
        <v>642</v>
      </c>
      <c r="G197" s="35">
        <v>1980</v>
      </c>
      <c r="H197" s="35" t="s">
        <v>1788</v>
      </c>
      <c r="I197" s="35" t="s">
        <v>1789</v>
      </c>
      <c r="J197" s="35" t="s">
        <v>1790</v>
      </c>
      <c r="K197" s="35" t="s">
        <v>1791</v>
      </c>
      <c r="L197" s="35" t="s">
        <v>1792</v>
      </c>
      <c r="M197" s="35" t="s">
        <v>1793</v>
      </c>
      <c r="N197" s="35" t="s">
        <v>1794</v>
      </c>
      <c r="O197" s="35"/>
      <c r="P197" s="35" t="s">
        <v>1795</v>
      </c>
      <c r="Q197" s="35" t="s">
        <v>9</v>
      </c>
      <c r="R197" s="35" t="s">
        <v>1796</v>
      </c>
      <c r="S197" s="35"/>
      <c r="T197" s="35" t="s">
        <v>822</v>
      </c>
      <c r="U197" s="35">
        <v>10</v>
      </c>
      <c r="V197" s="35">
        <v>8</v>
      </c>
      <c r="W197" s="35">
        <v>0</v>
      </c>
      <c r="X197" s="35">
        <v>6</v>
      </c>
      <c r="Y197" s="35">
        <v>4</v>
      </c>
      <c r="Z197" s="35">
        <v>0</v>
      </c>
      <c r="AA197" s="113">
        <v>400</v>
      </c>
    </row>
    <row r="198" spans="1:27" x14ac:dyDescent="0.25">
      <c r="A198" s="25">
        <v>63</v>
      </c>
      <c r="B198" s="35" t="s">
        <v>1797</v>
      </c>
      <c r="C198" s="35" t="s">
        <v>610</v>
      </c>
      <c r="D198" s="35" t="s">
        <v>640</v>
      </c>
      <c r="E198" s="35" t="s">
        <v>1798</v>
      </c>
      <c r="F198" s="35" t="s">
        <v>642</v>
      </c>
      <c r="G198" s="35">
        <v>1937</v>
      </c>
      <c r="H198" s="35"/>
      <c r="I198" s="35" t="s">
        <v>1753</v>
      </c>
      <c r="J198" s="35"/>
      <c r="K198" s="35" t="s">
        <v>1751</v>
      </c>
      <c r="L198" s="35" t="s">
        <v>1752</v>
      </c>
      <c r="M198" s="35" t="s">
        <v>1753</v>
      </c>
      <c r="N198" s="35" t="s">
        <v>1754</v>
      </c>
      <c r="O198" s="35"/>
      <c r="P198" s="35" t="s">
        <v>1755</v>
      </c>
      <c r="Q198" s="35" t="s">
        <v>107</v>
      </c>
      <c r="R198" s="35" t="s">
        <v>1756</v>
      </c>
      <c r="S198" s="35"/>
      <c r="T198" s="35" t="s">
        <v>822</v>
      </c>
      <c r="U198" s="35">
        <v>22</v>
      </c>
      <c r="V198" s="35">
        <v>20</v>
      </c>
      <c r="W198" s="35">
        <v>2</v>
      </c>
      <c r="X198" s="35">
        <v>0</v>
      </c>
      <c r="Y198" s="35">
        <v>20</v>
      </c>
      <c r="Z198" s="35">
        <v>0</v>
      </c>
      <c r="AA198" s="113">
        <v>250</v>
      </c>
    </row>
    <row r="199" spans="1:27" x14ac:dyDescent="0.25">
      <c r="A199" s="25">
        <v>248</v>
      </c>
      <c r="B199" s="35" t="s">
        <v>639</v>
      </c>
      <c r="C199" s="35" t="s">
        <v>610</v>
      </c>
      <c r="D199" s="35" t="s">
        <v>640</v>
      </c>
      <c r="E199" s="35" t="s">
        <v>641</v>
      </c>
      <c r="F199" s="35" t="s">
        <v>642</v>
      </c>
      <c r="G199" s="35">
        <v>1957</v>
      </c>
      <c r="H199" s="35" t="s">
        <v>1527</v>
      </c>
      <c r="I199" s="35" t="s">
        <v>1528</v>
      </c>
      <c r="J199" s="35" t="s">
        <v>1529</v>
      </c>
      <c r="K199" s="35"/>
      <c r="L199" s="35"/>
      <c r="M199" s="35" t="s">
        <v>1530</v>
      </c>
      <c r="N199" s="35" t="s">
        <v>641</v>
      </c>
      <c r="O199" s="35"/>
      <c r="P199" s="35" t="s">
        <v>640</v>
      </c>
      <c r="Q199" s="35" t="s">
        <v>9</v>
      </c>
      <c r="R199" s="35" t="s">
        <v>642</v>
      </c>
      <c r="S199" s="35" t="s">
        <v>1529</v>
      </c>
      <c r="T199" s="35" t="s">
        <v>822</v>
      </c>
      <c r="U199" s="35">
        <v>7</v>
      </c>
      <c r="V199" s="35">
        <v>7</v>
      </c>
      <c r="W199" s="35">
        <v>0</v>
      </c>
      <c r="X199" s="35">
        <v>0</v>
      </c>
      <c r="Y199" s="35">
        <v>7</v>
      </c>
      <c r="Z199" s="35">
        <v>0</v>
      </c>
      <c r="AA199" s="113">
        <v>250</v>
      </c>
    </row>
    <row r="200" spans="1:27" x14ac:dyDescent="0.25">
      <c r="A200" s="25">
        <v>65</v>
      </c>
      <c r="B200" s="35" t="s">
        <v>644</v>
      </c>
      <c r="C200" s="35" t="s">
        <v>610</v>
      </c>
      <c r="D200" s="35" t="s">
        <v>645</v>
      </c>
      <c r="E200" s="35" t="s">
        <v>646</v>
      </c>
      <c r="F200" s="35" t="s">
        <v>647</v>
      </c>
      <c r="G200" s="35">
        <v>1969</v>
      </c>
      <c r="H200" s="35" t="s">
        <v>1658</v>
      </c>
      <c r="I200" s="35" t="s">
        <v>1799</v>
      </c>
      <c r="J200" s="35" t="s">
        <v>1531</v>
      </c>
      <c r="K200" s="35"/>
      <c r="L200" s="35"/>
      <c r="M200" s="35" t="s">
        <v>649</v>
      </c>
      <c r="N200" s="35" t="s">
        <v>650</v>
      </c>
      <c r="O200" s="35"/>
      <c r="P200" s="35" t="s">
        <v>621</v>
      </c>
      <c r="Q200" s="35" t="s">
        <v>9</v>
      </c>
      <c r="R200" s="35" t="s">
        <v>627</v>
      </c>
      <c r="S200" s="35" t="s">
        <v>1532</v>
      </c>
      <c r="T200" s="35" t="s">
        <v>829</v>
      </c>
      <c r="U200" s="35">
        <v>22</v>
      </c>
      <c r="V200" s="35">
        <v>18</v>
      </c>
      <c r="W200" s="35">
        <v>2</v>
      </c>
      <c r="X200" s="35">
        <v>2</v>
      </c>
      <c r="Y200" s="35">
        <v>17</v>
      </c>
      <c r="Z200" s="35">
        <v>1</v>
      </c>
      <c r="AA200" s="113">
        <v>310</v>
      </c>
    </row>
    <row r="201" spans="1:27" x14ac:dyDescent="0.25">
      <c r="A201" s="25">
        <v>42</v>
      </c>
      <c r="B201" s="35" t="s">
        <v>658</v>
      </c>
      <c r="C201" s="35" t="s">
        <v>610</v>
      </c>
      <c r="D201" s="35" t="s">
        <v>651</v>
      </c>
      <c r="E201" s="35" t="s">
        <v>659</v>
      </c>
      <c r="F201" s="35" t="s">
        <v>660</v>
      </c>
      <c r="G201" s="35">
        <v>1960</v>
      </c>
      <c r="H201" s="35" t="s">
        <v>661</v>
      </c>
      <c r="I201" s="35" t="s">
        <v>662</v>
      </c>
      <c r="J201" s="35" t="s">
        <v>663</v>
      </c>
      <c r="K201" s="35" t="s">
        <v>661</v>
      </c>
      <c r="L201" s="35" t="s">
        <v>662</v>
      </c>
      <c r="M201" s="35"/>
      <c r="N201" s="35" t="s">
        <v>664</v>
      </c>
      <c r="O201" s="35"/>
      <c r="P201" s="35" t="s">
        <v>665</v>
      </c>
      <c r="Q201" s="35" t="s">
        <v>9</v>
      </c>
      <c r="R201" s="35" t="s">
        <v>660</v>
      </c>
      <c r="S201" s="35" t="s">
        <v>663</v>
      </c>
      <c r="T201" s="35" t="s">
        <v>822</v>
      </c>
      <c r="U201" s="35">
        <v>7</v>
      </c>
      <c r="V201" s="35">
        <v>7</v>
      </c>
      <c r="W201" s="35">
        <v>0</v>
      </c>
      <c r="X201" s="35">
        <v>1</v>
      </c>
      <c r="Y201" s="35">
        <v>6</v>
      </c>
      <c r="Z201" s="35">
        <v>0</v>
      </c>
      <c r="AA201" s="113">
        <v>290</v>
      </c>
    </row>
    <row r="202" spans="1:27" x14ac:dyDescent="0.25">
      <c r="A202" s="25">
        <v>252</v>
      </c>
      <c r="B202" s="35" t="s">
        <v>1106</v>
      </c>
      <c r="C202" s="35" t="s">
        <v>610</v>
      </c>
      <c r="D202" s="35" t="s">
        <v>651</v>
      </c>
      <c r="E202" s="35" t="s">
        <v>652</v>
      </c>
      <c r="F202" s="35" t="s">
        <v>653</v>
      </c>
      <c r="G202" s="35">
        <v>1970</v>
      </c>
      <c r="H202" s="35"/>
      <c r="I202" s="35" t="s">
        <v>649</v>
      </c>
      <c r="J202" s="35" t="s">
        <v>648</v>
      </c>
      <c r="K202" s="35"/>
      <c r="L202" s="35"/>
      <c r="M202" s="35" t="s">
        <v>649</v>
      </c>
      <c r="N202" s="35" t="s">
        <v>650</v>
      </c>
      <c r="O202" s="35"/>
      <c r="P202" s="35" t="s">
        <v>621</v>
      </c>
      <c r="Q202" s="35" t="s">
        <v>9</v>
      </c>
      <c r="R202" s="35" t="s">
        <v>627</v>
      </c>
      <c r="S202" s="35" t="s">
        <v>1532</v>
      </c>
      <c r="T202" s="35" t="s">
        <v>829</v>
      </c>
      <c r="U202" s="35">
        <v>11</v>
      </c>
      <c r="V202" s="35">
        <v>10</v>
      </c>
      <c r="W202" s="35">
        <v>0</v>
      </c>
      <c r="X202" s="35">
        <v>1</v>
      </c>
      <c r="Y202" s="35">
        <v>10</v>
      </c>
      <c r="Z202" s="35">
        <v>0</v>
      </c>
      <c r="AA202" s="113">
        <v>275</v>
      </c>
    </row>
    <row r="203" spans="1:27" x14ac:dyDescent="0.25">
      <c r="A203" s="25">
        <v>127</v>
      </c>
      <c r="B203" s="35" t="s">
        <v>655</v>
      </c>
      <c r="C203" s="35" t="s">
        <v>610</v>
      </c>
      <c r="D203" s="35" t="s">
        <v>651</v>
      </c>
      <c r="E203" s="35" t="s">
        <v>656</v>
      </c>
      <c r="F203" s="35" t="s">
        <v>653</v>
      </c>
      <c r="G203" s="35">
        <v>1947</v>
      </c>
      <c r="H203" s="35" t="s">
        <v>464</v>
      </c>
      <c r="I203" s="35" t="s">
        <v>657</v>
      </c>
      <c r="J203" s="35"/>
      <c r="K203" s="35" t="s">
        <v>464</v>
      </c>
      <c r="L203" s="35" t="s">
        <v>657</v>
      </c>
      <c r="M203" s="35" t="s">
        <v>1306</v>
      </c>
      <c r="N203" s="35" t="s">
        <v>1347</v>
      </c>
      <c r="O203" s="35"/>
      <c r="P203" s="35" t="s">
        <v>654</v>
      </c>
      <c r="Q203" s="35" t="s">
        <v>9</v>
      </c>
      <c r="R203" s="35" t="s">
        <v>653</v>
      </c>
      <c r="S203" s="35" t="s">
        <v>1533</v>
      </c>
      <c r="T203" s="35" t="s">
        <v>822</v>
      </c>
      <c r="U203" s="35">
        <v>21</v>
      </c>
      <c r="V203" s="35">
        <v>21</v>
      </c>
      <c r="W203" s="35">
        <v>0</v>
      </c>
      <c r="X203" s="35">
        <v>1</v>
      </c>
      <c r="Y203" s="35">
        <v>20</v>
      </c>
      <c r="Z203" s="35">
        <v>0</v>
      </c>
      <c r="AA203" s="113">
        <v>350</v>
      </c>
    </row>
    <row r="204" spans="1:27" x14ac:dyDescent="0.25">
      <c r="A204" s="25">
        <v>56</v>
      </c>
      <c r="B204" s="35" t="s">
        <v>1446</v>
      </c>
      <c r="C204" s="35" t="s">
        <v>610</v>
      </c>
      <c r="D204" s="35" t="s">
        <v>24</v>
      </c>
      <c r="E204" s="35" t="s">
        <v>666</v>
      </c>
      <c r="F204" s="35" t="s">
        <v>667</v>
      </c>
      <c r="G204" s="35">
        <v>1991</v>
      </c>
      <c r="H204" s="35" t="s">
        <v>1534</v>
      </c>
      <c r="I204" s="35" t="s">
        <v>397</v>
      </c>
      <c r="J204" s="35" t="s">
        <v>1538</v>
      </c>
      <c r="K204" s="35" t="s">
        <v>1534</v>
      </c>
      <c r="L204" s="35" t="s">
        <v>397</v>
      </c>
      <c r="M204" s="35" t="s">
        <v>1660</v>
      </c>
      <c r="N204" s="35" t="s">
        <v>1535</v>
      </c>
      <c r="O204" s="35"/>
      <c r="P204" s="35" t="s">
        <v>1536</v>
      </c>
      <c r="Q204" s="35" t="s">
        <v>1537</v>
      </c>
      <c r="R204" s="35" t="s">
        <v>1544</v>
      </c>
      <c r="S204" s="35" t="s">
        <v>1538</v>
      </c>
      <c r="T204" s="35" t="s">
        <v>822</v>
      </c>
      <c r="U204" s="35">
        <v>10</v>
      </c>
      <c r="V204" s="35">
        <v>10</v>
      </c>
      <c r="W204" s="35">
        <v>0</v>
      </c>
      <c r="X204" s="35">
        <v>0</v>
      </c>
      <c r="Y204" s="35">
        <v>10</v>
      </c>
      <c r="Z204" s="35">
        <v>0</v>
      </c>
      <c r="AA204" s="113">
        <v>312.38</v>
      </c>
    </row>
    <row r="205" spans="1:27" x14ac:dyDescent="0.25">
      <c r="A205" s="25">
        <v>32</v>
      </c>
      <c r="B205" s="35" t="s">
        <v>1098</v>
      </c>
      <c r="C205" s="35" t="s">
        <v>610</v>
      </c>
      <c r="D205" s="35" t="s">
        <v>668</v>
      </c>
      <c r="E205" s="35" t="s">
        <v>669</v>
      </c>
      <c r="F205" s="35" t="s">
        <v>670</v>
      </c>
      <c r="G205" s="35">
        <v>1968</v>
      </c>
      <c r="H205" s="35"/>
      <c r="I205" s="35" t="s">
        <v>1684</v>
      </c>
      <c r="J205" s="35" t="s">
        <v>98</v>
      </c>
      <c r="K205" s="35"/>
      <c r="L205" s="35"/>
      <c r="M205" s="35" t="s">
        <v>99</v>
      </c>
      <c r="N205" s="35" t="s">
        <v>1099</v>
      </c>
      <c r="O205" s="35"/>
      <c r="P205" s="35" t="s">
        <v>100</v>
      </c>
      <c r="Q205" s="35" t="s">
        <v>9</v>
      </c>
      <c r="R205" s="35" t="s">
        <v>608</v>
      </c>
      <c r="S205" s="35" t="s">
        <v>1028</v>
      </c>
      <c r="T205" s="35" t="s">
        <v>829</v>
      </c>
      <c r="U205" s="35">
        <v>28</v>
      </c>
      <c r="V205" s="35">
        <v>24</v>
      </c>
      <c r="W205" s="35">
        <v>4</v>
      </c>
      <c r="X205" s="35">
        <v>0</v>
      </c>
      <c r="Y205" s="35">
        <v>24</v>
      </c>
      <c r="Z205" s="35">
        <v>0</v>
      </c>
      <c r="AA205" s="113">
        <v>345</v>
      </c>
    </row>
    <row r="206" spans="1:27" x14ac:dyDescent="0.25">
      <c r="A206" s="25">
        <v>14</v>
      </c>
      <c r="B206" s="35" t="s">
        <v>1800</v>
      </c>
      <c r="C206" s="35" t="s">
        <v>671</v>
      </c>
      <c r="D206" s="35" t="s">
        <v>672</v>
      </c>
      <c r="E206" s="35" t="s">
        <v>673</v>
      </c>
      <c r="F206" s="35" t="s">
        <v>674</v>
      </c>
      <c r="G206" s="35">
        <v>1965</v>
      </c>
      <c r="H206" s="35"/>
      <c r="I206" s="35" t="s">
        <v>1801</v>
      </c>
      <c r="J206" s="35" t="s">
        <v>1762</v>
      </c>
      <c r="K206" s="35"/>
      <c r="L206" s="35"/>
      <c r="M206" s="35" t="s">
        <v>1802</v>
      </c>
      <c r="N206" s="35" t="s">
        <v>1764</v>
      </c>
      <c r="O206" s="35"/>
      <c r="P206" s="35" t="s">
        <v>1765</v>
      </c>
      <c r="Q206" s="35" t="s">
        <v>1766</v>
      </c>
      <c r="R206" s="35" t="s">
        <v>1767</v>
      </c>
      <c r="S206" s="35"/>
      <c r="T206" s="35" t="s">
        <v>822</v>
      </c>
      <c r="U206" s="35">
        <v>10</v>
      </c>
      <c r="V206" s="35">
        <v>10</v>
      </c>
      <c r="W206" s="35">
        <v>0</v>
      </c>
      <c r="X206" s="35">
        <v>9</v>
      </c>
      <c r="Y206" s="35">
        <v>1</v>
      </c>
      <c r="Z206" s="35">
        <v>0</v>
      </c>
      <c r="AA206" s="113">
        <v>310</v>
      </c>
    </row>
    <row r="207" spans="1:27" x14ac:dyDescent="0.25">
      <c r="A207" s="25">
        <v>13</v>
      </c>
      <c r="B207" s="35" t="s">
        <v>1087</v>
      </c>
      <c r="C207" s="35" t="s">
        <v>671</v>
      </c>
      <c r="D207" s="35" t="s">
        <v>672</v>
      </c>
      <c r="E207" s="35" t="s">
        <v>675</v>
      </c>
      <c r="F207" s="35" t="s">
        <v>674</v>
      </c>
      <c r="G207" s="35">
        <v>1950</v>
      </c>
      <c r="H207" s="35" t="s">
        <v>1414</v>
      </c>
      <c r="I207" s="35" t="s">
        <v>1447</v>
      </c>
      <c r="J207" s="35" t="s">
        <v>1448</v>
      </c>
      <c r="K207" s="35" t="s">
        <v>1803</v>
      </c>
      <c r="L207" s="35" t="s">
        <v>1804</v>
      </c>
      <c r="M207" s="35" t="s">
        <v>1307</v>
      </c>
      <c r="N207" s="35" t="s">
        <v>1805</v>
      </c>
      <c r="O207" s="35"/>
      <c r="P207" s="35" t="s">
        <v>672</v>
      </c>
      <c r="Q207" s="35" t="s">
        <v>9</v>
      </c>
      <c r="R207" s="35" t="s">
        <v>674</v>
      </c>
      <c r="S207" s="35" t="s">
        <v>1806</v>
      </c>
      <c r="T207" s="35" t="s">
        <v>822</v>
      </c>
      <c r="U207" s="35">
        <v>21</v>
      </c>
      <c r="V207" s="35">
        <v>21</v>
      </c>
      <c r="W207" s="35">
        <v>0</v>
      </c>
      <c r="X207" s="35">
        <v>0</v>
      </c>
      <c r="Y207" s="35">
        <v>21</v>
      </c>
      <c r="Z207" s="35">
        <v>0</v>
      </c>
      <c r="AA207" s="113">
        <v>240</v>
      </c>
    </row>
    <row r="208" spans="1:27" x14ac:dyDescent="0.25">
      <c r="A208" s="25">
        <v>41</v>
      </c>
      <c r="B208" s="35" t="s">
        <v>1102</v>
      </c>
      <c r="C208" s="35" t="s">
        <v>671</v>
      </c>
      <c r="D208" s="35" t="s">
        <v>676</v>
      </c>
      <c r="E208" s="35" t="s">
        <v>677</v>
      </c>
      <c r="F208" s="35" t="s">
        <v>679</v>
      </c>
      <c r="G208" s="35">
        <v>1982</v>
      </c>
      <c r="H208" s="35"/>
      <c r="I208" s="35" t="s">
        <v>1807</v>
      </c>
      <c r="J208" s="35"/>
      <c r="K208" s="35" t="s">
        <v>1808</v>
      </c>
      <c r="L208" s="35" t="s">
        <v>1809</v>
      </c>
      <c r="M208" s="35" t="s">
        <v>1807</v>
      </c>
      <c r="N208" s="35" t="s">
        <v>1810</v>
      </c>
      <c r="O208" s="35"/>
      <c r="P208" s="35" t="s">
        <v>678</v>
      </c>
      <c r="Q208" s="35" t="s">
        <v>9</v>
      </c>
      <c r="R208" s="35" t="s">
        <v>679</v>
      </c>
      <c r="S208" s="35"/>
      <c r="T208" s="35" t="s">
        <v>822</v>
      </c>
      <c r="U208" s="35">
        <v>8</v>
      </c>
      <c r="V208" s="35">
        <v>7</v>
      </c>
      <c r="W208" s="35">
        <v>1</v>
      </c>
      <c r="X208" s="35">
        <v>0</v>
      </c>
      <c r="Y208" s="35">
        <v>7</v>
      </c>
      <c r="Z208" s="35">
        <v>0</v>
      </c>
      <c r="AA208" s="113">
        <v>328.89</v>
      </c>
    </row>
    <row r="209" spans="1:27" x14ac:dyDescent="0.25">
      <c r="A209" s="25">
        <v>34</v>
      </c>
      <c r="B209" s="35" t="s">
        <v>1100</v>
      </c>
      <c r="C209" s="35" t="s">
        <v>671</v>
      </c>
      <c r="D209" s="35" t="s">
        <v>680</v>
      </c>
      <c r="E209" s="35" t="s">
        <v>1539</v>
      </c>
      <c r="F209" s="35" t="s">
        <v>613</v>
      </c>
      <c r="G209" s="35">
        <v>1960</v>
      </c>
      <c r="H209" s="35" t="s">
        <v>681</v>
      </c>
      <c r="I209" s="35" t="s">
        <v>682</v>
      </c>
      <c r="J209" s="35" t="s">
        <v>684</v>
      </c>
      <c r="K209" s="35" t="s">
        <v>681</v>
      </c>
      <c r="L209" s="35" t="s">
        <v>682</v>
      </c>
      <c r="M209" s="35"/>
      <c r="N209" s="35" t="s">
        <v>683</v>
      </c>
      <c r="O209" s="35"/>
      <c r="P209" s="35" t="s">
        <v>680</v>
      </c>
      <c r="Q209" s="35" t="s">
        <v>9</v>
      </c>
      <c r="R209" s="35" t="s">
        <v>679</v>
      </c>
      <c r="S209" s="35" t="s">
        <v>684</v>
      </c>
      <c r="T209" s="35" t="s">
        <v>822</v>
      </c>
      <c r="U209" s="35">
        <v>3</v>
      </c>
      <c r="V209" s="35">
        <v>3</v>
      </c>
      <c r="W209" s="35">
        <v>0</v>
      </c>
      <c r="X209" s="35">
        <v>2</v>
      </c>
      <c r="Y209" s="35">
        <v>1</v>
      </c>
      <c r="Z209" s="35">
        <v>0</v>
      </c>
      <c r="AA209" s="113">
        <v>220</v>
      </c>
    </row>
    <row r="210" spans="1:27" x14ac:dyDescent="0.25">
      <c r="A210" s="25">
        <v>36</v>
      </c>
      <c r="B210" s="35" t="s">
        <v>1101</v>
      </c>
      <c r="C210" s="35" t="s">
        <v>671</v>
      </c>
      <c r="D210" s="35" t="s">
        <v>680</v>
      </c>
      <c r="E210" s="35" t="s">
        <v>1374</v>
      </c>
      <c r="F210" s="35" t="s">
        <v>613</v>
      </c>
      <c r="G210" s="35">
        <v>1970</v>
      </c>
      <c r="H210" s="35"/>
      <c r="I210" s="35"/>
      <c r="J210" s="35"/>
      <c r="K210" s="35"/>
      <c r="L210" s="35"/>
      <c r="M210" s="35" t="s">
        <v>1811</v>
      </c>
      <c r="N210" s="35" t="s">
        <v>1812</v>
      </c>
      <c r="O210" s="35"/>
      <c r="P210" s="35" t="s">
        <v>1813</v>
      </c>
      <c r="Q210" s="35" t="s">
        <v>80</v>
      </c>
      <c r="R210" s="35" t="s">
        <v>1814</v>
      </c>
      <c r="S210" s="35"/>
      <c r="T210" s="35" t="s">
        <v>822</v>
      </c>
      <c r="U210" s="35">
        <v>3</v>
      </c>
      <c r="V210" s="35">
        <v>2</v>
      </c>
      <c r="W210" s="35">
        <v>0</v>
      </c>
      <c r="X210" s="35">
        <v>3</v>
      </c>
      <c r="Y210" s="35">
        <v>0</v>
      </c>
      <c r="Z210" s="35">
        <v>0</v>
      </c>
      <c r="AA210" s="113">
        <v>0</v>
      </c>
    </row>
    <row r="211" spans="1:27" x14ac:dyDescent="0.25">
      <c r="A211" s="25">
        <v>7</v>
      </c>
      <c r="B211" s="35" t="s">
        <v>692</v>
      </c>
      <c r="C211" s="35" t="s">
        <v>671</v>
      </c>
      <c r="D211" s="35" t="s">
        <v>685</v>
      </c>
      <c r="E211" s="35" t="s">
        <v>693</v>
      </c>
      <c r="F211" s="35" t="s">
        <v>687</v>
      </c>
      <c r="G211" s="35">
        <v>1960</v>
      </c>
      <c r="H211" s="35" t="s">
        <v>1540</v>
      </c>
      <c r="I211" s="35" t="s">
        <v>1541</v>
      </c>
      <c r="J211" s="35" t="s">
        <v>1449</v>
      </c>
      <c r="K211" s="35" t="s">
        <v>1540</v>
      </c>
      <c r="L211" s="35" t="s">
        <v>1815</v>
      </c>
      <c r="M211" s="35" t="s">
        <v>1816</v>
      </c>
      <c r="N211" s="35" t="s">
        <v>693</v>
      </c>
      <c r="O211" s="35"/>
      <c r="P211" s="35" t="s">
        <v>1450</v>
      </c>
      <c r="Q211" s="35" t="s">
        <v>9</v>
      </c>
      <c r="R211" s="35" t="s">
        <v>687</v>
      </c>
      <c r="S211" s="35" t="s">
        <v>1817</v>
      </c>
      <c r="T211" s="35" t="s">
        <v>822</v>
      </c>
      <c r="U211" s="35">
        <v>85</v>
      </c>
      <c r="V211" s="35">
        <v>65</v>
      </c>
      <c r="W211" s="35">
        <v>10</v>
      </c>
      <c r="X211" s="35">
        <v>9</v>
      </c>
      <c r="Y211" s="35">
        <v>55</v>
      </c>
      <c r="Z211" s="35">
        <v>4</v>
      </c>
      <c r="AA211" s="113">
        <v>435</v>
      </c>
    </row>
    <row r="212" spans="1:27" x14ac:dyDescent="0.25">
      <c r="A212" s="25">
        <v>234</v>
      </c>
      <c r="B212" s="35" t="s">
        <v>1186</v>
      </c>
      <c r="C212" s="35" t="s">
        <v>671</v>
      </c>
      <c r="D212" s="35" t="s">
        <v>685</v>
      </c>
      <c r="E212" s="35" t="s">
        <v>686</v>
      </c>
      <c r="F212" s="35" t="s">
        <v>687</v>
      </c>
      <c r="G212" s="35">
        <v>1968</v>
      </c>
      <c r="H212" s="35" t="s">
        <v>702</v>
      </c>
      <c r="I212" s="35" t="s">
        <v>703</v>
      </c>
      <c r="J212" s="35" t="s">
        <v>691</v>
      </c>
      <c r="K212" s="35"/>
      <c r="L212" s="35"/>
      <c r="M212" s="35" t="s">
        <v>688</v>
      </c>
      <c r="N212" s="35" t="s">
        <v>689</v>
      </c>
      <c r="O212" s="35"/>
      <c r="P212" s="35" t="s">
        <v>690</v>
      </c>
      <c r="Q212" s="35" t="s">
        <v>9</v>
      </c>
      <c r="R212" s="35" t="s">
        <v>687</v>
      </c>
      <c r="S212" s="35" t="s">
        <v>691</v>
      </c>
      <c r="T212" s="35" t="s">
        <v>822</v>
      </c>
      <c r="U212" s="35">
        <v>47</v>
      </c>
      <c r="V212" s="35">
        <v>47</v>
      </c>
      <c r="W212" s="35">
        <v>0</v>
      </c>
      <c r="X212" s="35">
        <v>2</v>
      </c>
      <c r="Y212" s="35">
        <v>45</v>
      </c>
      <c r="Z212" s="35">
        <v>0</v>
      </c>
      <c r="AA212" s="113">
        <v>439</v>
      </c>
    </row>
    <row r="213" spans="1:27" x14ac:dyDescent="0.25">
      <c r="A213" s="25">
        <v>141</v>
      </c>
      <c r="B213" s="35" t="s">
        <v>1144</v>
      </c>
      <c r="C213" s="35" t="s">
        <v>671</v>
      </c>
      <c r="D213" s="35" t="s">
        <v>685</v>
      </c>
      <c r="E213" s="35" t="s">
        <v>698</v>
      </c>
      <c r="F213" s="35" t="s">
        <v>699</v>
      </c>
      <c r="G213" s="35">
        <v>0</v>
      </c>
      <c r="H213" s="35"/>
      <c r="I213" s="35" t="s">
        <v>1684</v>
      </c>
      <c r="J213" s="35" t="s">
        <v>98</v>
      </c>
      <c r="K213" s="35"/>
      <c r="L213" s="35"/>
      <c r="M213" s="35" t="s">
        <v>99</v>
      </c>
      <c r="N213" s="35" t="s">
        <v>1099</v>
      </c>
      <c r="O213" s="35"/>
      <c r="P213" s="35" t="s">
        <v>100</v>
      </c>
      <c r="Q213" s="35" t="s">
        <v>9</v>
      </c>
      <c r="R213" s="35" t="s">
        <v>608</v>
      </c>
      <c r="S213" s="35" t="s">
        <v>1028</v>
      </c>
      <c r="T213" s="35" t="s">
        <v>829</v>
      </c>
      <c r="U213" s="35">
        <v>40</v>
      </c>
      <c r="V213" s="35">
        <v>40</v>
      </c>
      <c r="W213" s="35">
        <v>0</v>
      </c>
      <c r="X213" s="35">
        <v>0</v>
      </c>
      <c r="Y213" s="35">
        <v>40</v>
      </c>
      <c r="Z213" s="35">
        <v>0</v>
      </c>
      <c r="AA213" s="113">
        <v>441</v>
      </c>
    </row>
    <row r="214" spans="1:27" x14ac:dyDescent="0.25">
      <c r="A214" s="25">
        <v>200</v>
      </c>
      <c r="B214" s="35" t="s">
        <v>694</v>
      </c>
      <c r="C214" s="35" t="s">
        <v>671</v>
      </c>
      <c r="D214" s="35" t="s">
        <v>685</v>
      </c>
      <c r="E214" s="35" t="s">
        <v>1308</v>
      </c>
      <c r="F214" s="35" t="s">
        <v>687</v>
      </c>
      <c r="G214" s="35">
        <v>1977</v>
      </c>
      <c r="H214" s="35" t="s">
        <v>643</v>
      </c>
      <c r="I214" s="35" t="s">
        <v>695</v>
      </c>
      <c r="J214" s="35" t="s">
        <v>696</v>
      </c>
      <c r="K214" s="35"/>
      <c r="L214" s="35"/>
      <c r="M214" s="35" t="s">
        <v>1818</v>
      </c>
      <c r="N214" s="35" t="s">
        <v>1819</v>
      </c>
      <c r="O214" s="35"/>
      <c r="P214" s="35" t="s">
        <v>606</v>
      </c>
      <c r="Q214" s="35" t="s">
        <v>298</v>
      </c>
      <c r="R214" s="35" t="s">
        <v>607</v>
      </c>
      <c r="S214" s="35" t="s">
        <v>697</v>
      </c>
      <c r="T214" s="35" t="s">
        <v>822</v>
      </c>
      <c r="U214" s="35">
        <v>105</v>
      </c>
      <c r="V214" s="35">
        <v>105</v>
      </c>
      <c r="W214" s="35">
        <v>0</v>
      </c>
      <c r="X214" s="35">
        <v>1</v>
      </c>
      <c r="Y214" s="35">
        <v>104</v>
      </c>
      <c r="Z214" s="35">
        <v>0</v>
      </c>
      <c r="AA214" s="113">
        <v>430</v>
      </c>
    </row>
    <row r="215" spans="1:27" x14ac:dyDescent="0.25">
      <c r="A215" s="25">
        <v>15</v>
      </c>
      <c r="B215" s="35" t="s">
        <v>1088</v>
      </c>
      <c r="C215" s="35" t="s">
        <v>671</v>
      </c>
      <c r="D215" s="35" t="s">
        <v>1065</v>
      </c>
      <c r="E215" s="35" t="s">
        <v>785</v>
      </c>
      <c r="F215" s="35" t="s">
        <v>1066</v>
      </c>
      <c r="G215" s="35">
        <v>1951</v>
      </c>
      <c r="H215" s="35" t="s">
        <v>1067</v>
      </c>
      <c r="I215" s="35" t="s">
        <v>524</v>
      </c>
      <c r="J215" s="35" t="s">
        <v>1661</v>
      </c>
      <c r="K215" s="35" t="s">
        <v>1067</v>
      </c>
      <c r="L215" s="35" t="s">
        <v>524</v>
      </c>
      <c r="M215" s="35"/>
      <c r="N215" s="35" t="s">
        <v>1820</v>
      </c>
      <c r="O215" s="35"/>
      <c r="P215" s="35" t="s">
        <v>1821</v>
      </c>
      <c r="Q215" s="35" t="s">
        <v>1822</v>
      </c>
      <c r="R215" s="35" t="s">
        <v>1823</v>
      </c>
      <c r="S215" s="35" t="s">
        <v>1068</v>
      </c>
      <c r="T215" s="35" t="s">
        <v>822</v>
      </c>
      <c r="U215" s="35">
        <v>9</v>
      </c>
      <c r="V215" s="35">
        <v>9</v>
      </c>
      <c r="W215" s="35">
        <v>0</v>
      </c>
      <c r="X215" s="35">
        <v>7</v>
      </c>
      <c r="Y215" s="35">
        <v>2</v>
      </c>
      <c r="Z215" s="35">
        <v>0</v>
      </c>
      <c r="AA215" s="113">
        <v>300</v>
      </c>
    </row>
    <row r="216" spans="1:27" x14ac:dyDescent="0.25">
      <c r="A216" s="25">
        <v>235</v>
      </c>
      <c r="B216" s="35" t="s">
        <v>700</v>
      </c>
      <c r="C216" s="35" t="s">
        <v>671</v>
      </c>
      <c r="D216" s="35" t="s">
        <v>1065</v>
      </c>
      <c r="E216" s="35" t="s">
        <v>701</v>
      </c>
      <c r="F216" s="35" t="s">
        <v>687</v>
      </c>
      <c r="G216" s="35">
        <v>1965</v>
      </c>
      <c r="H216" s="35" t="s">
        <v>702</v>
      </c>
      <c r="I216" s="35" t="s">
        <v>703</v>
      </c>
      <c r="J216" s="35" t="s">
        <v>691</v>
      </c>
      <c r="K216" s="35"/>
      <c r="L216" s="35"/>
      <c r="M216" s="35" t="s">
        <v>688</v>
      </c>
      <c r="N216" s="35" t="s">
        <v>689</v>
      </c>
      <c r="O216" s="35"/>
      <c r="P216" s="35" t="s">
        <v>690</v>
      </c>
      <c r="Q216" s="35" t="s">
        <v>9</v>
      </c>
      <c r="R216" s="35" t="s">
        <v>687</v>
      </c>
      <c r="S216" s="35" t="s">
        <v>691</v>
      </c>
      <c r="T216" s="35" t="s">
        <v>822</v>
      </c>
      <c r="U216" s="35">
        <v>87</v>
      </c>
      <c r="V216" s="35">
        <v>87</v>
      </c>
      <c r="W216" s="35">
        <v>0</v>
      </c>
      <c r="X216" s="35">
        <v>3</v>
      </c>
      <c r="Y216" s="35">
        <v>84</v>
      </c>
      <c r="Z216" s="35">
        <v>0</v>
      </c>
      <c r="AA216" s="113">
        <v>461</v>
      </c>
    </row>
    <row r="217" spans="1:27" x14ac:dyDescent="0.25">
      <c r="A217" s="25">
        <v>37</v>
      </c>
      <c r="B217" s="35" t="s">
        <v>708</v>
      </c>
      <c r="C217" s="35" t="s">
        <v>671</v>
      </c>
      <c r="D217" s="35" t="s">
        <v>705</v>
      </c>
      <c r="E217" s="35" t="s">
        <v>709</v>
      </c>
      <c r="F217" s="35" t="s">
        <v>707</v>
      </c>
      <c r="G217" s="35">
        <v>1967</v>
      </c>
      <c r="H217" s="35" t="s">
        <v>125</v>
      </c>
      <c r="I217" s="35" t="s">
        <v>710</v>
      </c>
      <c r="J217" s="35" t="s">
        <v>1071</v>
      </c>
      <c r="K217" s="35" t="s">
        <v>125</v>
      </c>
      <c r="L217" s="35" t="s">
        <v>710</v>
      </c>
      <c r="M217" s="35"/>
      <c r="N217" s="35" t="s">
        <v>711</v>
      </c>
      <c r="O217" s="35"/>
      <c r="P217" s="35" t="s">
        <v>705</v>
      </c>
      <c r="Q217" s="35" t="s">
        <v>9</v>
      </c>
      <c r="R217" s="35" t="s">
        <v>707</v>
      </c>
      <c r="S217" s="35" t="s">
        <v>1072</v>
      </c>
      <c r="T217" s="35" t="s">
        <v>822</v>
      </c>
      <c r="U217" s="35">
        <v>15</v>
      </c>
      <c r="V217" s="35">
        <v>15</v>
      </c>
      <c r="W217" s="35">
        <v>0</v>
      </c>
      <c r="X217" s="35">
        <v>0</v>
      </c>
      <c r="Y217" s="35">
        <v>15</v>
      </c>
      <c r="Z217" s="35">
        <v>0</v>
      </c>
      <c r="AA217" s="113">
        <v>460</v>
      </c>
    </row>
    <row r="218" spans="1:27" x14ac:dyDescent="0.25">
      <c r="A218" s="25">
        <v>320</v>
      </c>
      <c r="B218" s="35" t="s">
        <v>1069</v>
      </c>
      <c r="C218" s="35" t="s">
        <v>671</v>
      </c>
      <c r="D218" s="35" t="s">
        <v>705</v>
      </c>
      <c r="E218" s="35" t="s">
        <v>1070</v>
      </c>
      <c r="F218" s="35" t="s">
        <v>707</v>
      </c>
      <c r="G218" s="35">
        <v>2008</v>
      </c>
      <c r="H218" s="35" t="s">
        <v>1579</v>
      </c>
      <c r="I218" s="35" t="s">
        <v>1375</v>
      </c>
      <c r="J218" s="35" t="s">
        <v>1309</v>
      </c>
      <c r="K218" s="35"/>
      <c r="L218" s="35"/>
      <c r="M218" s="35" t="s">
        <v>1069</v>
      </c>
      <c r="N218" s="35" t="s">
        <v>1451</v>
      </c>
      <c r="O218" s="35" t="s">
        <v>1310</v>
      </c>
      <c r="P218" s="35" t="s">
        <v>1311</v>
      </c>
      <c r="Q218" s="35" t="s">
        <v>80</v>
      </c>
      <c r="R218" s="35" t="s">
        <v>1315</v>
      </c>
      <c r="S218" s="35" t="s">
        <v>1309</v>
      </c>
      <c r="T218" s="35" t="s">
        <v>829</v>
      </c>
      <c r="U218" s="35">
        <v>29</v>
      </c>
      <c r="V218" s="35">
        <v>29</v>
      </c>
      <c r="W218" s="35">
        <v>0</v>
      </c>
      <c r="X218" s="35">
        <v>0</v>
      </c>
      <c r="Y218" s="35">
        <v>29</v>
      </c>
      <c r="Z218" s="35">
        <v>0</v>
      </c>
      <c r="AA218" s="113">
        <v>175</v>
      </c>
    </row>
    <row r="219" spans="1:27" x14ac:dyDescent="0.25">
      <c r="A219" s="25">
        <v>241</v>
      </c>
      <c r="B219" s="35" t="s">
        <v>712</v>
      </c>
      <c r="C219" s="35" t="s">
        <v>671</v>
      </c>
      <c r="D219" s="35" t="s">
        <v>705</v>
      </c>
      <c r="E219" s="35" t="s">
        <v>713</v>
      </c>
      <c r="F219" s="35" t="s">
        <v>707</v>
      </c>
      <c r="G219" s="35">
        <v>1972</v>
      </c>
      <c r="H219" s="35"/>
      <c r="I219" s="35" t="s">
        <v>1824</v>
      </c>
      <c r="J219" s="35" t="s">
        <v>720</v>
      </c>
      <c r="K219" s="35" t="s">
        <v>714</v>
      </c>
      <c r="L219" s="35" t="s">
        <v>715</v>
      </c>
      <c r="M219" s="35"/>
      <c r="N219" s="35" t="s">
        <v>716</v>
      </c>
      <c r="O219" s="35"/>
      <c r="P219" s="35" t="s">
        <v>717</v>
      </c>
      <c r="Q219" s="35" t="s">
        <v>718</v>
      </c>
      <c r="R219" s="35" t="s">
        <v>719</v>
      </c>
      <c r="S219" s="35" t="s">
        <v>720</v>
      </c>
      <c r="T219" s="35" t="s">
        <v>822</v>
      </c>
      <c r="U219" s="35">
        <v>11</v>
      </c>
      <c r="V219" s="35">
        <v>10</v>
      </c>
      <c r="W219" s="35">
        <v>1</v>
      </c>
      <c r="X219" s="35">
        <v>0</v>
      </c>
      <c r="Y219" s="35">
        <v>10</v>
      </c>
      <c r="Z219" s="35">
        <v>0</v>
      </c>
      <c r="AA219" s="113">
        <v>265</v>
      </c>
    </row>
    <row r="220" spans="1:27" x14ac:dyDescent="0.25">
      <c r="A220" s="25">
        <v>38</v>
      </c>
      <c r="B220" s="35" t="s">
        <v>704</v>
      </c>
      <c r="C220" s="35" t="s">
        <v>671</v>
      </c>
      <c r="D220" s="35" t="s">
        <v>705</v>
      </c>
      <c r="E220" s="35" t="s">
        <v>706</v>
      </c>
      <c r="F220" s="35" t="s">
        <v>707</v>
      </c>
      <c r="G220" s="35">
        <v>1983</v>
      </c>
      <c r="H220" s="35" t="s">
        <v>1646</v>
      </c>
      <c r="I220" s="35" t="s">
        <v>1647</v>
      </c>
      <c r="J220" s="35" t="s">
        <v>493</v>
      </c>
      <c r="K220" s="35"/>
      <c r="L220" s="35"/>
      <c r="M220" s="35" t="s">
        <v>492</v>
      </c>
      <c r="N220" s="35" t="s">
        <v>1776</v>
      </c>
      <c r="O220" s="35"/>
      <c r="P220" s="35" t="s">
        <v>461</v>
      </c>
      <c r="Q220" s="35" t="s">
        <v>9</v>
      </c>
      <c r="R220" s="35" t="s">
        <v>494</v>
      </c>
      <c r="S220" s="35" t="s">
        <v>493</v>
      </c>
      <c r="T220" s="35" t="s">
        <v>829</v>
      </c>
      <c r="U220" s="35">
        <v>23</v>
      </c>
      <c r="V220" s="35">
        <v>22</v>
      </c>
      <c r="W220" s="35">
        <v>1</v>
      </c>
      <c r="X220" s="35">
        <v>0</v>
      </c>
      <c r="Y220" s="35">
        <v>22</v>
      </c>
      <c r="Z220" s="35">
        <v>0</v>
      </c>
      <c r="AA220" s="113">
        <v>305</v>
      </c>
    </row>
    <row r="221" spans="1:27" x14ac:dyDescent="0.25">
      <c r="A221" s="25">
        <v>327</v>
      </c>
      <c r="B221" s="35" t="s">
        <v>1580</v>
      </c>
      <c r="C221" s="35" t="s">
        <v>671</v>
      </c>
      <c r="D221" s="35" t="s">
        <v>721</v>
      </c>
      <c r="E221" s="35" t="s">
        <v>1581</v>
      </c>
      <c r="F221" s="35" t="s">
        <v>722</v>
      </c>
      <c r="G221" s="35">
        <v>2000</v>
      </c>
      <c r="H221" s="35"/>
      <c r="I221" s="35"/>
      <c r="J221" s="35"/>
      <c r="K221" s="35" t="s">
        <v>1582</v>
      </c>
      <c r="L221" s="35" t="s">
        <v>1583</v>
      </c>
      <c r="M221" s="35"/>
      <c r="N221" s="35" t="s">
        <v>1585</v>
      </c>
      <c r="O221" s="35"/>
      <c r="P221" s="35" t="s">
        <v>73</v>
      </c>
      <c r="Q221" s="35" t="s">
        <v>9</v>
      </c>
      <c r="R221" s="35" t="s">
        <v>74</v>
      </c>
      <c r="S221" s="35" t="s">
        <v>1584</v>
      </c>
      <c r="T221" s="35" t="s">
        <v>822</v>
      </c>
      <c r="U221" s="35">
        <v>7</v>
      </c>
      <c r="V221" s="35">
        <v>7</v>
      </c>
      <c r="W221" s="35">
        <v>0</v>
      </c>
      <c r="X221" s="35">
        <v>7</v>
      </c>
      <c r="Y221" s="35">
        <v>0</v>
      </c>
      <c r="Z221" s="35">
        <v>0</v>
      </c>
      <c r="AA221" s="113">
        <v>0</v>
      </c>
    </row>
    <row r="222" spans="1:27" x14ac:dyDescent="0.25">
      <c r="A222" s="25">
        <v>26</v>
      </c>
      <c r="B222" s="35" t="s">
        <v>1376</v>
      </c>
      <c r="C222" s="35" t="s">
        <v>671</v>
      </c>
      <c r="D222" s="35" t="s">
        <v>721</v>
      </c>
      <c r="E222" s="35" t="s">
        <v>1662</v>
      </c>
      <c r="F222" s="35" t="s">
        <v>722</v>
      </c>
      <c r="G222" s="35">
        <v>1974</v>
      </c>
      <c r="H222" s="35" t="s">
        <v>1073</v>
      </c>
      <c r="I222" s="35" t="s">
        <v>417</v>
      </c>
      <c r="J222" s="35" t="s">
        <v>728</v>
      </c>
      <c r="K222" s="35" t="s">
        <v>1073</v>
      </c>
      <c r="L222" s="35" t="s">
        <v>417</v>
      </c>
      <c r="M222" s="35" t="s">
        <v>1377</v>
      </c>
      <c r="N222" s="35" t="s">
        <v>1452</v>
      </c>
      <c r="O222" s="35" t="s">
        <v>729</v>
      </c>
      <c r="P222" s="35" t="s">
        <v>723</v>
      </c>
      <c r="Q222" s="35" t="s">
        <v>9</v>
      </c>
      <c r="R222" s="35" t="s">
        <v>722</v>
      </c>
      <c r="S222" s="35" t="s">
        <v>728</v>
      </c>
      <c r="T222" s="35" t="s">
        <v>822</v>
      </c>
      <c r="U222" s="35">
        <v>6</v>
      </c>
      <c r="V222" s="35">
        <v>6</v>
      </c>
      <c r="W222" s="35">
        <v>0</v>
      </c>
      <c r="X222" s="35">
        <v>0</v>
      </c>
      <c r="Y222" s="35">
        <v>6</v>
      </c>
      <c r="Z222" s="35">
        <v>0</v>
      </c>
      <c r="AA222" s="113">
        <v>360</v>
      </c>
    </row>
    <row r="223" spans="1:27" x14ac:dyDescent="0.25">
      <c r="A223" s="25">
        <v>326</v>
      </c>
      <c r="B223" s="35" t="s">
        <v>1586</v>
      </c>
      <c r="C223" s="35" t="s">
        <v>671</v>
      </c>
      <c r="D223" s="35" t="s">
        <v>721</v>
      </c>
      <c r="E223" s="35" t="s">
        <v>1587</v>
      </c>
      <c r="F223" s="35" t="s">
        <v>74</v>
      </c>
      <c r="G223" s="35">
        <v>1996</v>
      </c>
      <c r="H223" s="35"/>
      <c r="I223" s="35"/>
      <c r="J223" s="35"/>
      <c r="K223" s="35" t="s">
        <v>1582</v>
      </c>
      <c r="L223" s="35" t="s">
        <v>1583</v>
      </c>
      <c r="M223" s="35"/>
      <c r="N223" s="35" t="s">
        <v>1585</v>
      </c>
      <c r="O223" s="35"/>
      <c r="P223" s="35" t="s">
        <v>73</v>
      </c>
      <c r="Q223" s="35" t="s">
        <v>9</v>
      </c>
      <c r="R223" s="35" t="s">
        <v>74</v>
      </c>
      <c r="S223" s="35" t="s">
        <v>1584</v>
      </c>
      <c r="T223" s="35" t="s">
        <v>822</v>
      </c>
      <c r="U223" s="35">
        <v>8</v>
      </c>
      <c r="V223" s="35">
        <v>8</v>
      </c>
      <c r="W223" s="35">
        <v>0</v>
      </c>
      <c r="X223" s="35">
        <v>8</v>
      </c>
      <c r="Y223" s="35">
        <v>0</v>
      </c>
      <c r="Z223" s="35">
        <v>0</v>
      </c>
      <c r="AA223" s="113">
        <v>0</v>
      </c>
    </row>
    <row r="224" spans="1:27" x14ac:dyDescent="0.25">
      <c r="A224" s="25">
        <v>8</v>
      </c>
      <c r="B224" s="35" t="s">
        <v>724</v>
      </c>
      <c r="C224" s="35" t="s">
        <v>671</v>
      </c>
      <c r="D224" s="35" t="s">
        <v>721</v>
      </c>
      <c r="E224" s="35" t="s">
        <v>725</v>
      </c>
      <c r="F224" s="35" t="s">
        <v>722</v>
      </c>
      <c r="G224" s="35">
        <v>1975</v>
      </c>
      <c r="H224" s="35"/>
      <c r="I224" s="35" t="s">
        <v>1663</v>
      </c>
      <c r="J224" s="35" t="s">
        <v>726</v>
      </c>
      <c r="K224" s="35"/>
      <c r="L224" s="35"/>
      <c r="M224" s="35" t="s">
        <v>727</v>
      </c>
      <c r="N224" s="35" t="s">
        <v>1378</v>
      </c>
      <c r="O224" s="35"/>
      <c r="P224" s="35" t="s">
        <v>690</v>
      </c>
      <c r="Q224" s="35" t="s">
        <v>9</v>
      </c>
      <c r="R224" s="35" t="s">
        <v>687</v>
      </c>
      <c r="S224" s="35" t="s">
        <v>726</v>
      </c>
      <c r="T224" s="35" t="s">
        <v>829</v>
      </c>
      <c r="U224" s="35">
        <v>9</v>
      </c>
      <c r="V224" s="35">
        <v>9</v>
      </c>
      <c r="W224" s="35">
        <v>0</v>
      </c>
      <c r="X224" s="35">
        <v>0</v>
      </c>
      <c r="Y224" s="35">
        <v>9</v>
      </c>
      <c r="Z224" s="35">
        <v>0</v>
      </c>
      <c r="AA224" s="113">
        <v>250</v>
      </c>
    </row>
    <row r="225" spans="1:27" x14ac:dyDescent="0.25">
      <c r="A225" s="25">
        <v>29</v>
      </c>
      <c r="B225" s="35" t="s">
        <v>1312</v>
      </c>
      <c r="C225" s="35" t="s">
        <v>671</v>
      </c>
      <c r="D225" s="35" t="s">
        <v>721</v>
      </c>
      <c r="E225" s="35" t="s">
        <v>1094</v>
      </c>
      <c r="F225" s="35" t="s">
        <v>722</v>
      </c>
      <c r="G225" s="35">
        <v>1967</v>
      </c>
      <c r="H225" s="35" t="s">
        <v>1095</v>
      </c>
      <c r="I225" s="35" t="s">
        <v>1096</v>
      </c>
      <c r="J225" s="35" t="s">
        <v>1097</v>
      </c>
      <c r="K225" s="35"/>
      <c r="L225" s="35"/>
      <c r="M225" s="35" t="s">
        <v>1825</v>
      </c>
      <c r="N225" s="35" t="s">
        <v>1764</v>
      </c>
      <c r="O225" s="35"/>
      <c r="P225" s="35" t="s">
        <v>1765</v>
      </c>
      <c r="Q225" s="35" t="s">
        <v>1766</v>
      </c>
      <c r="R225" s="35" t="s">
        <v>1767</v>
      </c>
      <c r="S225" s="35"/>
      <c r="T225" s="35" t="s">
        <v>822</v>
      </c>
      <c r="U225" s="35">
        <v>28</v>
      </c>
      <c r="V225" s="35">
        <v>27</v>
      </c>
      <c r="W225" s="35">
        <v>1</v>
      </c>
      <c r="X225" s="35">
        <v>17</v>
      </c>
      <c r="Y225" s="35">
        <v>10</v>
      </c>
      <c r="Z225" s="35">
        <v>0</v>
      </c>
      <c r="AA225" s="113">
        <v>345</v>
      </c>
    </row>
    <row r="226" spans="1:27" x14ac:dyDescent="0.25">
      <c r="A226" s="25">
        <v>325</v>
      </c>
      <c r="B226" s="35" t="s">
        <v>1588</v>
      </c>
      <c r="C226" s="35" t="s">
        <v>671</v>
      </c>
      <c r="D226" s="35" t="s">
        <v>721</v>
      </c>
      <c r="E226" s="35" t="s">
        <v>1589</v>
      </c>
      <c r="F226" s="35" t="s">
        <v>722</v>
      </c>
      <c r="G226" s="35">
        <v>1996</v>
      </c>
      <c r="H226" s="35" t="s">
        <v>1582</v>
      </c>
      <c r="I226" s="35" t="s">
        <v>1583</v>
      </c>
      <c r="J226" s="35" t="s">
        <v>1584</v>
      </c>
      <c r="K226" s="35" t="s">
        <v>1582</v>
      </c>
      <c r="L226" s="35" t="s">
        <v>1583</v>
      </c>
      <c r="M226" s="35"/>
      <c r="N226" s="35" t="s">
        <v>1585</v>
      </c>
      <c r="O226" s="35"/>
      <c r="P226" s="35" t="s">
        <v>73</v>
      </c>
      <c r="Q226" s="35" t="s">
        <v>9</v>
      </c>
      <c r="R226" s="35" t="s">
        <v>74</v>
      </c>
      <c r="S226" s="35" t="s">
        <v>1584</v>
      </c>
      <c r="T226" s="35" t="s">
        <v>822</v>
      </c>
      <c r="U226" s="35">
        <v>3</v>
      </c>
      <c r="V226" s="35">
        <v>3</v>
      </c>
      <c r="W226" s="35">
        <v>0</v>
      </c>
      <c r="X226" s="35">
        <v>3</v>
      </c>
      <c r="Y226" s="35">
        <v>0</v>
      </c>
      <c r="Z226" s="35">
        <v>0</v>
      </c>
      <c r="AA226" s="113">
        <v>0</v>
      </c>
    </row>
    <row r="227" spans="1:27" x14ac:dyDescent="0.25">
      <c r="A227" s="25">
        <v>25</v>
      </c>
      <c r="B227" s="35" t="s">
        <v>1093</v>
      </c>
      <c r="C227" s="35" t="s">
        <v>671</v>
      </c>
      <c r="D227" s="35" t="s">
        <v>730</v>
      </c>
      <c r="E227" s="35" t="s">
        <v>732</v>
      </c>
      <c r="F227" s="35" t="s">
        <v>731</v>
      </c>
      <c r="G227" s="35">
        <v>1970</v>
      </c>
      <c r="H227" s="35"/>
      <c r="I227" s="35" t="s">
        <v>1826</v>
      </c>
      <c r="J227" s="35" t="s">
        <v>1593</v>
      </c>
      <c r="K227" s="35" t="s">
        <v>1325</v>
      </c>
      <c r="L227" s="35" t="s">
        <v>1590</v>
      </c>
      <c r="M227" s="35" t="s">
        <v>1591</v>
      </c>
      <c r="N227" s="35" t="s">
        <v>1592</v>
      </c>
      <c r="O227" s="35"/>
      <c r="P227" s="35" t="s">
        <v>730</v>
      </c>
      <c r="Q227" s="35" t="s">
        <v>9</v>
      </c>
      <c r="R227" s="35" t="s">
        <v>731</v>
      </c>
      <c r="S227" s="35" t="s">
        <v>1593</v>
      </c>
      <c r="T227" s="35" t="s">
        <v>822</v>
      </c>
      <c r="U227" s="35">
        <v>10</v>
      </c>
      <c r="V227" s="35">
        <v>9</v>
      </c>
      <c r="W227" s="35">
        <v>0</v>
      </c>
      <c r="X227" s="35">
        <v>4</v>
      </c>
      <c r="Y227" s="35">
        <v>5</v>
      </c>
      <c r="Z227" s="35">
        <v>0</v>
      </c>
      <c r="AA227" s="113">
        <v>372</v>
      </c>
    </row>
    <row r="228" spans="1:27" x14ac:dyDescent="0.25">
      <c r="A228" s="25">
        <v>45</v>
      </c>
      <c r="B228" s="35" t="s">
        <v>775</v>
      </c>
      <c r="C228" s="35" t="s">
        <v>671</v>
      </c>
      <c r="D228" s="35" t="s">
        <v>733</v>
      </c>
      <c r="E228" s="35" t="s">
        <v>768</v>
      </c>
      <c r="F228" s="35" t="s">
        <v>734</v>
      </c>
      <c r="G228" s="35">
        <v>1961</v>
      </c>
      <c r="H228" s="35" t="s">
        <v>776</v>
      </c>
      <c r="I228" s="35" t="s">
        <v>116</v>
      </c>
      <c r="J228" s="35" t="s">
        <v>777</v>
      </c>
      <c r="K228" s="35" t="s">
        <v>778</v>
      </c>
      <c r="L228" s="35" t="s">
        <v>116</v>
      </c>
      <c r="M228" s="35"/>
      <c r="N228" s="35" t="s">
        <v>779</v>
      </c>
      <c r="O228" s="35"/>
      <c r="P228" s="35" t="s">
        <v>733</v>
      </c>
      <c r="Q228" s="35" t="s">
        <v>9</v>
      </c>
      <c r="R228" s="35" t="s">
        <v>734</v>
      </c>
      <c r="S228" s="35" t="s">
        <v>777</v>
      </c>
      <c r="T228" s="35" t="s">
        <v>822</v>
      </c>
      <c r="U228" s="35">
        <v>4</v>
      </c>
      <c r="V228" s="35">
        <v>4</v>
      </c>
      <c r="W228" s="35">
        <v>0</v>
      </c>
      <c r="X228" s="35">
        <v>1</v>
      </c>
      <c r="Y228" s="35">
        <v>3</v>
      </c>
      <c r="Z228" s="35">
        <v>0</v>
      </c>
      <c r="AA228" s="113">
        <v>408</v>
      </c>
    </row>
    <row r="229" spans="1:27" x14ac:dyDescent="0.25">
      <c r="A229" s="25">
        <v>50</v>
      </c>
      <c r="B229" s="35" t="s">
        <v>1453</v>
      </c>
      <c r="C229" s="35" t="s">
        <v>671</v>
      </c>
      <c r="D229" s="35" t="s">
        <v>733</v>
      </c>
      <c r="E229" s="35" t="s">
        <v>741</v>
      </c>
      <c r="F229" s="35" t="s">
        <v>734</v>
      </c>
      <c r="G229" s="35">
        <v>1958</v>
      </c>
      <c r="H229" s="35" t="s">
        <v>1594</v>
      </c>
      <c r="I229" s="35" t="s">
        <v>742</v>
      </c>
      <c r="J229" s="35" t="s">
        <v>743</v>
      </c>
      <c r="K229" s="35" t="s">
        <v>288</v>
      </c>
      <c r="L229" s="35" t="s">
        <v>742</v>
      </c>
      <c r="M229" s="35"/>
      <c r="N229" s="35" t="s">
        <v>744</v>
      </c>
      <c r="O229" s="35"/>
      <c r="P229" s="35" t="s">
        <v>733</v>
      </c>
      <c r="Q229" s="35" t="s">
        <v>9</v>
      </c>
      <c r="R229" s="35" t="s">
        <v>734</v>
      </c>
      <c r="S229" s="35" t="s">
        <v>743</v>
      </c>
      <c r="T229" s="35" t="s">
        <v>822</v>
      </c>
      <c r="U229" s="35">
        <v>13</v>
      </c>
      <c r="V229" s="35">
        <v>13</v>
      </c>
      <c r="W229" s="35">
        <v>0</v>
      </c>
      <c r="X229" s="35">
        <v>0</v>
      </c>
      <c r="Y229" s="35">
        <v>13</v>
      </c>
      <c r="Z229" s="35">
        <v>0</v>
      </c>
      <c r="AA229" s="113">
        <v>270</v>
      </c>
    </row>
    <row r="230" spans="1:27" x14ac:dyDescent="0.25">
      <c r="A230" s="25">
        <v>285</v>
      </c>
      <c r="B230" s="35" t="s">
        <v>745</v>
      </c>
      <c r="C230" s="35" t="s">
        <v>671</v>
      </c>
      <c r="D230" s="35" t="s">
        <v>733</v>
      </c>
      <c r="E230" s="35" t="s">
        <v>746</v>
      </c>
      <c r="F230" s="35" t="s">
        <v>751</v>
      </c>
      <c r="G230" s="35">
        <v>1975</v>
      </c>
      <c r="H230" s="35" t="s">
        <v>1074</v>
      </c>
      <c r="I230" s="35" t="s">
        <v>747</v>
      </c>
      <c r="J230" s="35" t="s">
        <v>752</v>
      </c>
      <c r="K230" s="35" t="s">
        <v>748</v>
      </c>
      <c r="L230" s="35" t="s">
        <v>747</v>
      </c>
      <c r="M230" s="35"/>
      <c r="N230" s="35" t="s">
        <v>749</v>
      </c>
      <c r="O230" s="35"/>
      <c r="P230" s="35" t="s">
        <v>750</v>
      </c>
      <c r="Q230" s="35" t="s">
        <v>9</v>
      </c>
      <c r="R230" s="35" t="s">
        <v>751</v>
      </c>
      <c r="S230" s="35" t="s">
        <v>752</v>
      </c>
      <c r="T230" s="35" t="s">
        <v>822</v>
      </c>
      <c r="U230" s="35">
        <v>6</v>
      </c>
      <c r="V230" s="35">
        <v>5</v>
      </c>
      <c r="W230" s="35">
        <v>1</v>
      </c>
      <c r="X230" s="35">
        <v>4</v>
      </c>
      <c r="Y230" s="35">
        <v>1</v>
      </c>
      <c r="Z230" s="35">
        <v>1</v>
      </c>
      <c r="AA230" s="113">
        <v>125</v>
      </c>
    </row>
    <row r="231" spans="1:27" x14ac:dyDescent="0.25">
      <c r="A231" s="25">
        <v>242</v>
      </c>
      <c r="B231" s="35" t="s">
        <v>1188</v>
      </c>
      <c r="C231" s="35" t="s">
        <v>671</v>
      </c>
      <c r="D231" s="35" t="s">
        <v>733</v>
      </c>
      <c r="E231" s="35" t="s">
        <v>1827</v>
      </c>
      <c r="F231" s="35" t="s">
        <v>734</v>
      </c>
      <c r="G231" s="35">
        <v>1948</v>
      </c>
      <c r="H231" s="35"/>
      <c r="I231" s="35" t="s">
        <v>1828</v>
      </c>
      <c r="J231" s="35" t="s">
        <v>1664</v>
      </c>
      <c r="K231" s="35" t="s">
        <v>177</v>
      </c>
      <c r="L231" s="35" t="s">
        <v>1829</v>
      </c>
      <c r="M231" s="35" t="s">
        <v>1665</v>
      </c>
      <c r="N231" s="35" t="s">
        <v>1666</v>
      </c>
      <c r="O231" s="35"/>
      <c r="P231" s="35" t="s">
        <v>1667</v>
      </c>
      <c r="Q231" s="35" t="s">
        <v>9</v>
      </c>
      <c r="R231" s="35" t="s">
        <v>647</v>
      </c>
      <c r="S231" s="35"/>
      <c r="T231" s="35" t="s">
        <v>822</v>
      </c>
      <c r="U231" s="35">
        <v>9</v>
      </c>
      <c r="V231" s="35">
        <v>7</v>
      </c>
      <c r="W231" s="35">
        <v>2</v>
      </c>
      <c r="X231" s="35">
        <v>0</v>
      </c>
      <c r="Y231" s="35">
        <v>7</v>
      </c>
      <c r="Z231" s="35">
        <v>0</v>
      </c>
      <c r="AA231" s="113">
        <v>350</v>
      </c>
    </row>
    <row r="232" spans="1:27" x14ac:dyDescent="0.25">
      <c r="A232" s="25">
        <v>273</v>
      </c>
      <c r="B232" s="35" t="s">
        <v>740</v>
      </c>
      <c r="C232" s="35" t="s">
        <v>671</v>
      </c>
      <c r="D232" s="35" t="s">
        <v>733</v>
      </c>
      <c r="E232" s="35" t="s">
        <v>1196</v>
      </c>
      <c r="F232" s="35" t="s">
        <v>734</v>
      </c>
      <c r="G232" s="35">
        <v>1960</v>
      </c>
      <c r="H232" s="35"/>
      <c r="I232" s="35" t="s">
        <v>649</v>
      </c>
      <c r="J232" s="35" t="s">
        <v>1531</v>
      </c>
      <c r="K232" s="35"/>
      <c r="L232" s="35"/>
      <c r="M232" s="35" t="s">
        <v>649</v>
      </c>
      <c r="N232" s="35" t="s">
        <v>650</v>
      </c>
      <c r="O232" s="35"/>
      <c r="P232" s="35" t="s">
        <v>621</v>
      </c>
      <c r="Q232" s="35" t="s">
        <v>9</v>
      </c>
      <c r="R232" s="35" t="s">
        <v>627</v>
      </c>
      <c r="S232" s="35" t="s">
        <v>1532</v>
      </c>
      <c r="T232" s="35" t="s">
        <v>829</v>
      </c>
      <c r="U232" s="35">
        <v>7</v>
      </c>
      <c r="V232" s="35">
        <v>7</v>
      </c>
      <c r="W232" s="35">
        <v>0</v>
      </c>
      <c r="X232" s="35">
        <v>0</v>
      </c>
      <c r="Y232" s="35">
        <v>7</v>
      </c>
      <c r="Z232" s="35">
        <v>0</v>
      </c>
      <c r="AA232" s="113">
        <v>275</v>
      </c>
    </row>
    <row r="233" spans="1:27" x14ac:dyDescent="0.25">
      <c r="A233" s="25">
        <v>274</v>
      </c>
      <c r="B233" s="35" t="s">
        <v>1197</v>
      </c>
      <c r="C233" s="35" t="s">
        <v>671</v>
      </c>
      <c r="D233" s="35" t="s">
        <v>733</v>
      </c>
      <c r="E233" s="35" t="s">
        <v>1830</v>
      </c>
      <c r="F233" s="35" t="s">
        <v>734</v>
      </c>
      <c r="G233" s="35">
        <v>1960</v>
      </c>
      <c r="H233" s="35" t="s">
        <v>192</v>
      </c>
      <c r="I233" s="35" t="s">
        <v>735</v>
      </c>
      <c r="J233" s="35"/>
      <c r="K233" s="35" t="s">
        <v>736</v>
      </c>
      <c r="L233" s="35" t="s">
        <v>737</v>
      </c>
      <c r="M233" s="35"/>
      <c r="N233" s="35" t="s">
        <v>1348</v>
      </c>
      <c r="O233" s="35"/>
      <c r="P233" s="35" t="s">
        <v>1349</v>
      </c>
      <c r="Q233" s="35" t="s">
        <v>80</v>
      </c>
      <c r="R233" s="35" t="s">
        <v>738</v>
      </c>
      <c r="S233" s="35" t="s">
        <v>739</v>
      </c>
      <c r="T233" s="35" t="s">
        <v>822</v>
      </c>
      <c r="U233" s="35">
        <v>9</v>
      </c>
      <c r="V233" s="35">
        <v>7</v>
      </c>
      <c r="W233" s="35">
        <v>1</v>
      </c>
      <c r="X233" s="35">
        <v>1</v>
      </c>
      <c r="Y233" s="35">
        <v>7</v>
      </c>
      <c r="Z233" s="35">
        <v>0</v>
      </c>
      <c r="AA233" s="113">
        <v>220</v>
      </c>
    </row>
    <row r="234" spans="1:27" x14ac:dyDescent="0.25">
      <c r="A234" s="25">
        <v>10</v>
      </c>
      <c r="B234" s="35" t="s">
        <v>1085</v>
      </c>
      <c r="C234" s="35" t="s">
        <v>671</v>
      </c>
      <c r="D234" s="35" t="s">
        <v>753</v>
      </c>
      <c r="E234" s="35" t="s">
        <v>768</v>
      </c>
      <c r="F234" s="35" t="s">
        <v>761</v>
      </c>
      <c r="G234" s="35">
        <v>1965</v>
      </c>
      <c r="H234" s="35" t="s">
        <v>1400</v>
      </c>
      <c r="I234" s="35" t="s">
        <v>116</v>
      </c>
      <c r="J234" s="35" t="s">
        <v>1542</v>
      </c>
      <c r="K234" s="35" t="s">
        <v>769</v>
      </c>
      <c r="L234" s="35" t="s">
        <v>116</v>
      </c>
      <c r="M234" s="35"/>
      <c r="N234" s="35" t="s">
        <v>1454</v>
      </c>
      <c r="O234" s="35"/>
      <c r="P234" s="35" t="s">
        <v>760</v>
      </c>
      <c r="Q234" s="35" t="s">
        <v>9</v>
      </c>
      <c r="R234" s="35" t="s">
        <v>761</v>
      </c>
      <c r="S234" s="35" t="s">
        <v>770</v>
      </c>
      <c r="T234" s="35" t="s">
        <v>822</v>
      </c>
      <c r="U234" s="35">
        <v>92</v>
      </c>
      <c r="V234" s="35">
        <v>92</v>
      </c>
      <c r="W234" s="35">
        <v>0</v>
      </c>
      <c r="X234" s="35">
        <v>1</v>
      </c>
      <c r="Y234" s="35">
        <v>91</v>
      </c>
      <c r="Z234" s="35">
        <v>0</v>
      </c>
      <c r="AA234" s="113">
        <v>370</v>
      </c>
    </row>
    <row r="235" spans="1:27" x14ac:dyDescent="0.25">
      <c r="A235" s="25">
        <v>12</v>
      </c>
      <c r="B235" s="35" t="s">
        <v>1086</v>
      </c>
      <c r="C235" s="35" t="s">
        <v>671</v>
      </c>
      <c r="D235" s="35" t="s">
        <v>753</v>
      </c>
      <c r="E235" s="35" t="s">
        <v>754</v>
      </c>
      <c r="F235" s="35" t="s">
        <v>755</v>
      </c>
      <c r="G235" s="35">
        <v>1969</v>
      </c>
      <c r="H235" s="35" t="s">
        <v>756</v>
      </c>
      <c r="I235" s="35" t="s">
        <v>757</v>
      </c>
      <c r="J235" s="35"/>
      <c r="K235" s="35" t="s">
        <v>756</v>
      </c>
      <c r="L235" s="35" t="s">
        <v>757</v>
      </c>
      <c r="M235" s="35"/>
      <c r="N235" s="35" t="s">
        <v>759</v>
      </c>
      <c r="O235" s="35"/>
      <c r="P235" s="35" t="s">
        <v>760</v>
      </c>
      <c r="Q235" s="35" t="s">
        <v>9</v>
      </c>
      <c r="R235" s="35" t="s">
        <v>761</v>
      </c>
      <c r="S235" s="35" t="s">
        <v>758</v>
      </c>
      <c r="T235" s="35" t="s">
        <v>822</v>
      </c>
      <c r="U235" s="35">
        <v>14</v>
      </c>
      <c r="V235" s="35">
        <v>14</v>
      </c>
      <c r="W235" s="35">
        <v>0</v>
      </c>
      <c r="X235" s="35">
        <v>3</v>
      </c>
      <c r="Y235" s="35">
        <v>11</v>
      </c>
      <c r="Z235" s="35">
        <v>0</v>
      </c>
      <c r="AA235" s="113">
        <v>374.48</v>
      </c>
    </row>
    <row r="236" spans="1:27" x14ac:dyDescent="0.25">
      <c r="A236" s="25">
        <v>23</v>
      </c>
      <c r="B236" s="35" t="s">
        <v>1092</v>
      </c>
      <c r="C236" s="35" t="s">
        <v>671</v>
      </c>
      <c r="D236" s="35" t="s">
        <v>753</v>
      </c>
      <c r="E236" s="35" t="s">
        <v>773</v>
      </c>
      <c r="F236" s="35" t="s">
        <v>755</v>
      </c>
      <c r="G236" s="35">
        <v>1967</v>
      </c>
      <c r="H236" s="35" t="s">
        <v>1668</v>
      </c>
      <c r="I236" s="35" t="s">
        <v>1669</v>
      </c>
      <c r="J236" s="35" t="s">
        <v>1596</v>
      </c>
      <c r="K236" s="35"/>
      <c r="L236" s="35"/>
      <c r="M236" s="35" t="s">
        <v>1595</v>
      </c>
      <c r="N236" s="35" t="s">
        <v>1670</v>
      </c>
      <c r="O236" s="35"/>
      <c r="P236" s="35" t="s">
        <v>1671</v>
      </c>
      <c r="Q236" s="35" t="s">
        <v>9</v>
      </c>
      <c r="R236" s="35" t="s">
        <v>1674</v>
      </c>
      <c r="S236" s="35" t="s">
        <v>774</v>
      </c>
      <c r="T236" s="35" t="s">
        <v>822</v>
      </c>
      <c r="U236" s="35">
        <v>8</v>
      </c>
      <c r="V236" s="35">
        <v>6</v>
      </c>
      <c r="W236" s="35">
        <v>2</v>
      </c>
      <c r="X236" s="35">
        <v>0</v>
      </c>
      <c r="Y236" s="35">
        <v>6</v>
      </c>
      <c r="Z236" s="35">
        <v>0</v>
      </c>
      <c r="AA236" s="113">
        <v>225</v>
      </c>
    </row>
    <row r="237" spans="1:27" x14ac:dyDescent="0.25">
      <c r="A237" s="25">
        <v>11</v>
      </c>
      <c r="B237" s="35" t="s">
        <v>762</v>
      </c>
      <c r="C237" s="35" t="s">
        <v>671</v>
      </c>
      <c r="D237" s="35" t="s">
        <v>753</v>
      </c>
      <c r="E237" s="35" t="s">
        <v>763</v>
      </c>
      <c r="F237" s="35" t="s">
        <v>761</v>
      </c>
      <c r="G237" s="35">
        <v>1972</v>
      </c>
      <c r="H237" s="35" t="s">
        <v>764</v>
      </c>
      <c r="I237" s="35" t="s">
        <v>765</v>
      </c>
      <c r="J237" s="35" t="s">
        <v>767</v>
      </c>
      <c r="K237" s="35" t="s">
        <v>764</v>
      </c>
      <c r="L237" s="35" t="s">
        <v>765</v>
      </c>
      <c r="M237" s="35"/>
      <c r="N237" s="35" t="s">
        <v>766</v>
      </c>
      <c r="O237" s="35"/>
      <c r="P237" s="35" t="s">
        <v>760</v>
      </c>
      <c r="Q237" s="35" t="s">
        <v>9</v>
      </c>
      <c r="R237" s="35" t="s">
        <v>761</v>
      </c>
      <c r="S237" s="35" t="s">
        <v>767</v>
      </c>
      <c r="T237" s="35" t="s">
        <v>822</v>
      </c>
      <c r="U237" s="35">
        <v>8</v>
      </c>
      <c r="V237" s="35">
        <v>8</v>
      </c>
      <c r="W237" s="35">
        <v>0</v>
      </c>
      <c r="X237" s="35">
        <v>5</v>
      </c>
      <c r="Y237" s="35">
        <v>3</v>
      </c>
      <c r="Z237" s="35">
        <v>0</v>
      </c>
      <c r="AA237" s="113">
        <v>300</v>
      </c>
    </row>
    <row r="238" spans="1:27" x14ac:dyDescent="0.25">
      <c r="A238" s="25">
        <v>145</v>
      </c>
      <c r="B238" s="35" t="s">
        <v>771</v>
      </c>
      <c r="C238" s="35" t="s">
        <v>671</v>
      </c>
      <c r="D238" s="35" t="s">
        <v>753</v>
      </c>
      <c r="E238" s="35" t="s">
        <v>772</v>
      </c>
      <c r="F238" s="35" t="s">
        <v>755</v>
      </c>
      <c r="G238" s="35">
        <v>0</v>
      </c>
      <c r="H238" s="35"/>
      <c r="I238" s="35" t="s">
        <v>1684</v>
      </c>
      <c r="J238" s="35" t="s">
        <v>98</v>
      </c>
      <c r="K238" s="35"/>
      <c r="L238" s="35"/>
      <c r="M238" s="35" t="s">
        <v>99</v>
      </c>
      <c r="N238" s="35" t="s">
        <v>1099</v>
      </c>
      <c r="O238" s="35"/>
      <c r="P238" s="35" t="s">
        <v>100</v>
      </c>
      <c r="Q238" s="35" t="s">
        <v>9</v>
      </c>
      <c r="R238" s="35" t="s">
        <v>608</v>
      </c>
      <c r="S238" s="35" t="s">
        <v>1028</v>
      </c>
      <c r="T238" s="35" t="s">
        <v>829</v>
      </c>
      <c r="U238" s="35">
        <v>74</v>
      </c>
      <c r="V238" s="35">
        <v>43</v>
      </c>
      <c r="W238" s="35">
        <v>8</v>
      </c>
      <c r="X238" s="35">
        <v>0</v>
      </c>
      <c r="Y238" s="35">
        <v>43</v>
      </c>
      <c r="Z238" s="35">
        <v>0</v>
      </c>
      <c r="AA238" s="113">
        <v>464</v>
      </c>
    </row>
    <row r="239" spans="1:27" x14ac:dyDescent="0.25">
      <c r="A239" s="25">
        <v>204</v>
      </c>
      <c r="B239" s="35" t="s">
        <v>781</v>
      </c>
      <c r="C239" s="35" t="s">
        <v>671</v>
      </c>
      <c r="D239" s="35" t="s">
        <v>671</v>
      </c>
      <c r="E239" s="35" t="s">
        <v>782</v>
      </c>
      <c r="F239" s="35" t="s">
        <v>780</v>
      </c>
      <c r="G239" s="35">
        <v>1963</v>
      </c>
      <c r="H239" s="35" t="s">
        <v>1597</v>
      </c>
      <c r="I239" s="35" t="s">
        <v>1598</v>
      </c>
      <c r="J239" s="35"/>
      <c r="K239" s="35"/>
      <c r="L239" s="35"/>
      <c r="M239" s="35" t="s">
        <v>783</v>
      </c>
      <c r="N239" s="35" t="s">
        <v>782</v>
      </c>
      <c r="O239" s="35"/>
      <c r="P239" s="35" t="s">
        <v>671</v>
      </c>
      <c r="Q239" s="35" t="s">
        <v>9</v>
      </c>
      <c r="R239" s="35" t="s">
        <v>780</v>
      </c>
      <c r="S239" s="35" t="s">
        <v>1672</v>
      </c>
      <c r="T239" s="35" t="s">
        <v>855</v>
      </c>
      <c r="U239" s="35">
        <v>14</v>
      </c>
      <c r="V239" s="35">
        <v>14</v>
      </c>
      <c r="W239" s="35">
        <v>0</v>
      </c>
      <c r="X239" s="35">
        <v>0</v>
      </c>
      <c r="Y239" s="35">
        <v>14</v>
      </c>
      <c r="Z239" s="35">
        <v>0</v>
      </c>
      <c r="AA239" s="113">
        <v>250</v>
      </c>
    </row>
    <row r="240" spans="1:27" x14ac:dyDescent="0.25">
      <c r="A240" s="25">
        <v>122</v>
      </c>
      <c r="B240" s="35" t="s">
        <v>1133</v>
      </c>
      <c r="C240" s="35" t="s">
        <v>671</v>
      </c>
      <c r="D240" s="35" t="s">
        <v>671</v>
      </c>
      <c r="E240" s="35" t="s">
        <v>1455</v>
      </c>
      <c r="F240" s="162" t="s">
        <v>780</v>
      </c>
      <c r="G240" s="35">
        <v>1957</v>
      </c>
      <c r="H240" s="35"/>
      <c r="I240" s="35" t="s">
        <v>1128</v>
      </c>
      <c r="J240" s="35" t="s">
        <v>1379</v>
      </c>
      <c r="K240" s="35"/>
      <c r="L240" s="35"/>
      <c r="M240" s="35" t="s">
        <v>1130</v>
      </c>
      <c r="N240" s="35" t="s">
        <v>1548</v>
      </c>
      <c r="O240" s="35"/>
      <c r="P240" s="35" t="s">
        <v>205</v>
      </c>
      <c r="Q240" s="35" t="s">
        <v>9</v>
      </c>
      <c r="R240" s="162" t="s">
        <v>207</v>
      </c>
      <c r="S240" s="35"/>
      <c r="T240" s="35" t="s">
        <v>822</v>
      </c>
      <c r="U240" s="35">
        <v>16</v>
      </c>
      <c r="V240" s="35">
        <v>10</v>
      </c>
      <c r="W240" s="35">
        <v>6</v>
      </c>
      <c r="X240" s="35">
        <v>0</v>
      </c>
      <c r="Y240" s="35">
        <v>10</v>
      </c>
      <c r="Z240" s="35">
        <v>0</v>
      </c>
      <c r="AA240" s="113">
        <v>390</v>
      </c>
    </row>
    <row r="241" spans="1:27" x14ac:dyDescent="0.25">
      <c r="A241" s="25">
        <v>143</v>
      </c>
      <c r="B241" s="35" t="s">
        <v>1131</v>
      </c>
      <c r="C241" s="35" t="s">
        <v>671</v>
      </c>
      <c r="D241" s="35" t="s">
        <v>784</v>
      </c>
      <c r="E241" s="35" t="s">
        <v>787</v>
      </c>
      <c r="F241" s="162" t="s">
        <v>786</v>
      </c>
      <c r="G241" s="35">
        <v>0</v>
      </c>
      <c r="H241" s="35"/>
      <c r="I241" s="35" t="s">
        <v>1684</v>
      </c>
      <c r="J241" s="35" t="s">
        <v>98</v>
      </c>
      <c r="K241" s="35"/>
      <c r="L241" s="35"/>
      <c r="M241" s="35" t="s">
        <v>99</v>
      </c>
      <c r="N241" s="35" t="s">
        <v>1099</v>
      </c>
      <c r="O241" s="35"/>
      <c r="P241" s="35" t="s">
        <v>100</v>
      </c>
      <c r="Q241" s="35" t="s">
        <v>9</v>
      </c>
      <c r="R241" s="162" t="s">
        <v>608</v>
      </c>
      <c r="S241" s="35" t="s">
        <v>1028</v>
      </c>
      <c r="T241" s="35" t="s">
        <v>829</v>
      </c>
      <c r="U241" s="35">
        <v>40</v>
      </c>
      <c r="V241" s="35">
        <v>36</v>
      </c>
      <c r="W241" s="35">
        <v>4</v>
      </c>
      <c r="X241" s="35">
        <v>0</v>
      </c>
      <c r="Y241" s="35">
        <v>36</v>
      </c>
      <c r="Z241" s="35">
        <v>0</v>
      </c>
      <c r="AA241" s="113">
        <v>461</v>
      </c>
    </row>
  </sheetData>
  <sortState xmlns:xlrd2="http://schemas.microsoft.com/office/spreadsheetml/2017/richdata2" ref="A4:AA241">
    <sortCondition ref="A4:A241"/>
  </sortState>
  <pageMargins left="0.7" right="0.7" top="0.75" bottom="0.75" header="0.3" footer="0.3"/>
  <pageSetup orientation="portrait" horizontalDpi="4294967292" verticalDpi="4294967292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41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3" sqref="A3"/>
    </sheetView>
  </sheetViews>
  <sheetFormatPr defaultColWidth="8.85546875" defaultRowHeight="15" x14ac:dyDescent="0.25"/>
  <cols>
    <col min="1" max="1" width="9.42578125" style="13" customWidth="1"/>
    <col min="2" max="2" width="34.42578125" style="10" bestFit="1" customWidth="1"/>
    <col min="3" max="3" width="10.140625" style="10" customWidth="1"/>
    <col min="4" max="4" width="16.140625" style="10" customWidth="1"/>
    <col min="5" max="5" width="10.28515625" style="10" customWidth="1"/>
    <col min="6" max="6" width="16.140625" style="10" customWidth="1"/>
    <col min="7" max="7" width="11.140625" style="10" customWidth="1"/>
    <col min="8" max="8" width="29.5703125" style="42" customWidth="1"/>
    <col min="9" max="9" width="8.85546875" style="13" customWidth="1"/>
    <col min="10" max="10" width="26.42578125" style="13" customWidth="1"/>
    <col min="11" max="11" width="14.5703125" style="13" customWidth="1"/>
    <col min="12" max="12" width="13.28515625" style="13" bestFit="1" customWidth="1"/>
    <col min="13" max="13" width="12.5703125" style="13" bestFit="1" customWidth="1"/>
    <col min="14" max="14" width="10.42578125" style="13" customWidth="1"/>
    <col min="15" max="15" width="18.7109375" style="13" bestFit="1" customWidth="1"/>
    <col min="16" max="16" width="12.28515625" style="13" customWidth="1"/>
    <col min="17" max="17" width="15" style="13" customWidth="1"/>
  </cols>
  <sheetData>
    <row r="1" spans="1:17" ht="18.75" x14ac:dyDescent="0.3">
      <c r="A1" s="6" t="s">
        <v>811</v>
      </c>
      <c r="B1" s="39"/>
      <c r="I1" s="23"/>
      <c r="J1" s="23"/>
      <c r="K1" s="23"/>
      <c r="L1" s="23"/>
      <c r="M1" s="23"/>
      <c r="N1" s="23"/>
      <c r="O1" s="23"/>
      <c r="P1" s="23"/>
      <c r="Q1" s="23"/>
    </row>
    <row r="2" spans="1:17" x14ac:dyDescent="0.25">
      <c r="A2" s="7" t="s">
        <v>1852</v>
      </c>
      <c r="I2" s="23"/>
      <c r="J2" s="23"/>
      <c r="K2" s="217" t="s">
        <v>1853</v>
      </c>
      <c r="L2" s="218"/>
      <c r="M2" s="218"/>
      <c r="N2" s="218"/>
      <c r="O2" s="23"/>
      <c r="P2" s="23"/>
      <c r="Q2" s="23"/>
    </row>
    <row r="3" spans="1:17" ht="60" x14ac:dyDescent="0.25">
      <c r="A3" s="8" t="s">
        <v>812</v>
      </c>
      <c r="B3" s="41" t="s">
        <v>813</v>
      </c>
      <c r="C3" s="11" t="s">
        <v>1</v>
      </c>
      <c r="D3" s="11" t="s">
        <v>789</v>
      </c>
      <c r="E3" s="11" t="s">
        <v>949</v>
      </c>
      <c r="F3" s="11" t="s">
        <v>948</v>
      </c>
      <c r="G3" s="11" t="s">
        <v>805</v>
      </c>
      <c r="H3" s="11" t="s">
        <v>815</v>
      </c>
      <c r="I3" s="9" t="s">
        <v>1320</v>
      </c>
      <c r="J3" s="9" t="s">
        <v>816</v>
      </c>
      <c r="K3" s="9" t="s">
        <v>1319</v>
      </c>
      <c r="L3" s="9" t="s">
        <v>1321</v>
      </c>
      <c r="M3" s="9" t="s">
        <v>817</v>
      </c>
      <c r="N3" s="9" t="s">
        <v>818</v>
      </c>
      <c r="O3" s="9" t="s">
        <v>819</v>
      </c>
      <c r="P3" s="9" t="s">
        <v>820</v>
      </c>
      <c r="Q3" s="9" t="s">
        <v>821</v>
      </c>
    </row>
    <row r="4" spans="1:17" x14ac:dyDescent="0.25">
      <c r="A4" s="38">
        <v>97</v>
      </c>
      <c r="B4" s="40" t="str">
        <f>VLOOKUP(A4,Registry!$A$4:$AA$241,2,FALSE)</f>
        <v>Blaises Riverside Rentals, LLC</v>
      </c>
      <c r="C4" s="40" t="str">
        <f>VLOOKUP(A4,Registry!$A$4:$AA$241,3,FALSE)</f>
        <v>Addison</v>
      </c>
      <c r="D4" s="40" t="str">
        <f>VLOOKUP(A4,Registry!$A$4:$AA$241,4,FALSE)</f>
        <v>Bristol</v>
      </c>
      <c r="E4" s="40">
        <f>VLOOKUP(A4,Registry!$A$4:$AA$241,7,FALSE)</f>
        <v>1968</v>
      </c>
      <c r="F4" s="80" t="str">
        <f>IF(VLOOKUP(A4,Registry!$A$4:$AA$241,20,FALSE)=0,"",VLOOKUP(A4,Registry!$A$4:$AA$241,20,FALSE))</f>
        <v>For profit</v>
      </c>
      <c r="G4" s="40">
        <f>VLOOKUP(A4,Registry!$A$4:$AA$241,21,FALSE)</f>
        <v>9</v>
      </c>
      <c r="H4" s="43" t="s">
        <v>824</v>
      </c>
      <c r="I4" s="37"/>
      <c r="J4" s="37" t="s">
        <v>872</v>
      </c>
      <c r="K4" s="37"/>
      <c r="L4" s="37"/>
      <c r="M4" s="37"/>
      <c r="N4" s="37">
        <f>SUM(Table2[[#This Row],[Maximum Contamination Violations]:[Treatment Violations]])</f>
        <v>0</v>
      </c>
      <c r="O4" s="37" t="s">
        <v>836</v>
      </c>
      <c r="P4" s="37"/>
      <c r="Q4" s="37"/>
    </row>
    <row r="5" spans="1:17" x14ac:dyDescent="0.25">
      <c r="A5" s="38">
        <v>86</v>
      </c>
      <c r="B5" s="40" t="str">
        <f>VLOOKUP(A5,Registry!$A$4:$AA$241,2,FALSE)</f>
        <v>KTP or Kountry Trailer Park</v>
      </c>
      <c r="C5" s="40" t="str">
        <f>VLOOKUP(A5,Registry!$A$4:$AA$241,3,FALSE)</f>
        <v>Addison</v>
      </c>
      <c r="D5" s="40" t="str">
        <f>VLOOKUP(A5,Registry!$A$4:$AA$241,4,FALSE)</f>
        <v>Bristol</v>
      </c>
      <c r="E5" s="40">
        <f>VLOOKUP(A5,Registry!$A$4:$AA$241,7,FALSE)</f>
        <v>1959</v>
      </c>
      <c r="F5" s="80" t="str">
        <f>IF(VLOOKUP(A5,Registry!$A$4:$AA$241,20,FALSE)=0,"",VLOOKUP(A5,Registry!$A$4:$AA$241,20,FALSE))</f>
        <v>Non-profit</v>
      </c>
      <c r="G5" s="40">
        <f>VLOOKUP(A5,Registry!$A$4:$AA$241,21,FALSE)</f>
        <v>45</v>
      </c>
      <c r="H5" s="43" t="s">
        <v>824</v>
      </c>
      <c r="I5" s="37">
        <v>20612</v>
      </c>
      <c r="J5" s="37" t="s">
        <v>872</v>
      </c>
      <c r="K5" s="37"/>
      <c r="L5" s="37"/>
      <c r="M5" s="37"/>
      <c r="N5" s="37">
        <f>SUM(Table2[[#This Row],[Maximum Contamination Violations]:[Treatment Violations]])</f>
        <v>0</v>
      </c>
      <c r="O5" s="37" t="s">
        <v>836</v>
      </c>
      <c r="P5" s="37" t="s">
        <v>1235</v>
      </c>
      <c r="Q5" s="37"/>
    </row>
    <row r="6" spans="1:17" x14ac:dyDescent="0.25">
      <c r="A6" s="38">
        <v>87</v>
      </c>
      <c r="B6" s="40" t="str">
        <f>VLOOKUP(A6,Registry!$A$4:$AA$241,2,FALSE)</f>
        <v>Lauritsen MHP</v>
      </c>
      <c r="C6" s="40" t="str">
        <f>VLOOKUP(A6,Registry!$A$4:$AA$241,3,FALSE)</f>
        <v>Addison</v>
      </c>
      <c r="D6" s="40" t="str">
        <f>VLOOKUP(A6,Registry!$A$4:$AA$241,4,FALSE)</f>
        <v>Bristol</v>
      </c>
      <c r="E6" s="40">
        <f>VLOOKUP(A6,Registry!$A$4:$AA$241,7,FALSE)</f>
        <v>1960</v>
      </c>
      <c r="F6" s="80" t="str">
        <f>IF(VLOOKUP(A6,Registry!$A$4:$AA$241,20,FALSE)=0,"",VLOOKUP(A6,Registry!$A$4:$AA$241,20,FALSE))</f>
        <v>Non-profit</v>
      </c>
      <c r="G6" s="40">
        <f>VLOOKUP(A6,Registry!$A$4:$AA$241,21,FALSE)</f>
        <v>9</v>
      </c>
      <c r="H6" s="43" t="s">
        <v>824</v>
      </c>
      <c r="I6" s="37"/>
      <c r="J6" s="37" t="s">
        <v>872</v>
      </c>
      <c r="K6" s="37"/>
      <c r="L6" s="37"/>
      <c r="M6" s="37"/>
      <c r="N6" s="37">
        <f>SUM(Table2[[#This Row],[Maximum Contamination Violations]:[Treatment Violations]])</f>
        <v>0</v>
      </c>
      <c r="O6" s="37" t="s">
        <v>836</v>
      </c>
      <c r="P6" s="37"/>
      <c r="Q6" s="37"/>
    </row>
    <row r="7" spans="1:17" x14ac:dyDescent="0.25">
      <c r="A7" s="38">
        <v>263</v>
      </c>
      <c r="B7" s="40" t="str">
        <f>VLOOKUP(A7,Registry!$A$4:$AA$241,2,FALSE)</f>
        <v>Maple Ridge Mobile Home Park</v>
      </c>
      <c r="C7" s="40" t="str">
        <f>VLOOKUP(A7,Registry!$A$4:$AA$241,3,FALSE)</f>
        <v>Addison</v>
      </c>
      <c r="D7" s="40" t="str">
        <f>VLOOKUP(A7,Registry!$A$4:$AA$241,4,FALSE)</f>
        <v>Bristol</v>
      </c>
      <c r="E7" s="40">
        <f>VLOOKUP(A7,Registry!$A$4:$AA$241,7,FALSE)</f>
        <v>1985</v>
      </c>
      <c r="F7" s="80" t="str">
        <f>IF(VLOOKUP(A7,Registry!$A$4:$AA$241,20,FALSE)=0,"",VLOOKUP(A7,Registry!$A$4:$AA$241,20,FALSE))</f>
        <v>Non-profit</v>
      </c>
      <c r="G7" s="40">
        <f>VLOOKUP(A7,Registry!$A$4:$AA$241,21,FALSE)</f>
        <v>9</v>
      </c>
      <c r="H7" s="112" t="s">
        <v>1256</v>
      </c>
      <c r="I7" s="37"/>
      <c r="J7" s="37" t="s">
        <v>842</v>
      </c>
      <c r="K7" s="37"/>
      <c r="L7" s="37"/>
      <c r="M7" s="37"/>
      <c r="N7" s="37">
        <f>SUM(Table2[[#This Row],[Maximum Contamination Violations]:[Treatment Violations]])</f>
        <v>0</v>
      </c>
      <c r="O7" s="37" t="s">
        <v>823</v>
      </c>
      <c r="P7" s="37" t="s">
        <v>1215</v>
      </c>
      <c r="Q7" s="37"/>
    </row>
    <row r="8" spans="1:17" x14ac:dyDescent="0.25">
      <c r="A8" s="38">
        <v>293</v>
      </c>
      <c r="B8" s="40" t="str">
        <f>VLOOKUP(A8,Registry!$A$4:$AA$241,2,FALSE)</f>
        <v>J. Earl Perkins Mobile Home Park</v>
      </c>
      <c r="C8" s="40" t="str">
        <f>VLOOKUP(A8,Registry!$A$4:$AA$241,3,FALSE)</f>
        <v>Addison</v>
      </c>
      <c r="D8" s="40" t="str">
        <f>VLOOKUP(A8,Registry!$A$4:$AA$241,4,FALSE)</f>
        <v>Middlebury</v>
      </c>
      <c r="E8" s="40">
        <f>VLOOKUP(A8,Registry!$A$4:$AA$241,7,FALSE)</f>
        <v>1965</v>
      </c>
      <c r="F8" s="80" t="str">
        <f>IF(VLOOKUP(A8,Registry!$A$4:$AA$241,20,FALSE)=0,"",VLOOKUP(A8,Registry!$A$4:$AA$241,20,FALSE))</f>
        <v>For profit</v>
      </c>
      <c r="G8" s="40">
        <f>VLOOKUP(A8,Registry!$A$4:$AA$241,21,FALSE)</f>
        <v>2</v>
      </c>
      <c r="H8" s="43" t="s">
        <v>824</v>
      </c>
      <c r="I8" s="37"/>
      <c r="J8" s="37" t="s">
        <v>867</v>
      </c>
      <c r="K8" s="37"/>
      <c r="L8" s="37"/>
      <c r="M8" s="37"/>
      <c r="N8" s="37">
        <f>SUM(Table2[[#This Row],[Maximum Contamination Violations]:[Treatment Violations]])</f>
        <v>0</v>
      </c>
      <c r="O8" s="37" t="s">
        <v>836</v>
      </c>
      <c r="P8" s="37"/>
      <c r="Q8" s="37"/>
    </row>
    <row r="9" spans="1:17" x14ac:dyDescent="0.25">
      <c r="A9" s="38">
        <v>80</v>
      </c>
      <c r="B9" s="40" t="str">
        <f>VLOOKUP(A9,Registry!$A$4:$AA$241,2,FALSE)</f>
        <v>Lindale Mobile Home Park</v>
      </c>
      <c r="C9" s="40" t="str">
        <f>VLOOKUP(A9,Registry!$A$4:$AA$241,3,FALSE)</f>
        <v>Addison</v>
      </c>
      <c r="D9" s="40" t="str">
        <f>VLOOKUP(A9,Registry!$A$4:$AA$241,4,FALSE)</f>
        <v>Middlebury</v>
      </c>
      <c r="E9" s="40">
        <f>VLOOKUP(A9,Registry!$A$4:$AA$241,7,FALSE)</f>
        <v>1968</v>
      </c>
      <c r="F9" s="80" t="str">
        <f>IF(VLOOKUP(A9,Registry!$A$4:$AA$241,20,FALSE)=0,"",VLOOKUP(A9,Registry!$A$4:$AA$241,20,FALSE))</f>
        <v>Non-profit</v>
      </c>
      <c r="G9" s="40">
        <f>VLOOKUP(A9,Registry!$A$4:$AA$241,21,FALSE)</f>
        <v>67</v>
      </c>
      <c r="H9" s="43" t="s">
        <v>827</v>
      </c>
      <c r="I9" s="37">
        <v>20958</v>
      </c>
      <c r="J9" s="37" t="s">
        <v>867</v>
      </c>
      <c r="K9" s="37"/>
      <c r="L9" s="37"/>
      <c r="M9" s="37"/>
      <c r="N9" s="37">
        <f>SUM(Table2[[#This Row],[Maximum Contamination Violations]:[Treatment Violations]])</f>
        <v>0</v>
      </c>
      <c r="O9" s="37" t="s">
        <v>836</v>
      </c>
      <c r="P9" s="37" t="s">
        <v>1237</v>
      </c>
      <c r="Q9" s="37"/>
    </row>
    <row r="10" spans="1:17" x14ac:dyDescent="0.25">
      <c r="A10" s="38">
        <v>315</v>
      </c>
      <c r="B10" s="40" t="str">
        <f>VLOOKUP(A10,Registry!$A$4:$AA$241,2,FALSE)</f>
        <v>Quesnel MHP</v>
      </c>
      <c r="C10" s="40" t="str">
        <f>VLOOKUP(A10,Registry!$A$4:$AA$241,3,FALSE)</f>
        <v>Addison</v>
      </c>
      <c r="D10" s="40" t="str">
        <f>VLOOKUP(A10,Registry!$A$4:$AA$241,4,FALSE)</f>
        <v>Middlebury</v>
      </c>
      <c r="E10" s="40">
        <f>VLOOKUP(A10,Registry!$A$4:$AA$241,7,FALSE)</f>
        <v>1978</v>
      </c>
      <c r="F10" s="80" t="str">
        <f>IF(VLOOKUP(A10,Registry!$A$4:$AA$241,20,FALSE)=0,"",VLOOKUP(A10,Registry!$A$4:$AA$241,20,FALSE))</f>
        <v>For profit</v>
      </c>
      <c r="G10" s="40">
        <f>VLOOKUP(A10,Registry!$A$4:$AA$241,21,FALSE)</f>
        <v>4</v>
      </c>
      <c r="H10" s="43" t="s">
        <v>824</v>
      </c>
      <c r="I10" s="37"/>
      <c r="J10" s="37" t="s">
        <v>867</v>
      </c>
      <c r="K10" s="37"/>
      <c r="L10" s="37"/>
      <c r="M10" s="37"/>
      <c r="N10" s="37">
        <f>SUM(Table2[[#This Row],[Maximum Contamination Violations]:[Treatment Violations]])</f>
        <v>0</v>
      </c>
      <c r="O10" s="37" t="s">
        <v>836</v>
      </c>
      <c r="P10" s="37"/>
      <c r="Q10" s="37"/>
    </row>
    <row r="11" spans="1:17" x14ac:dyDescent="0.25">
      <c r="A11" s="38">
        <v>90</v>
      </c>
      <c r="B11" s="40" t="str">
        <f>VLOOKUP(A11,Registry!$A$4:$AA$241,2,FALSE)</f>
        <v>Vaughn MHP</v>
      </c>
      <c r="C11" s="40" t="str">
        <f>VLOOKUP(A11,Registry!$A$4:$AA$241,3,FALSE)</f>
        <v>Addison</v>
      </c>
      <c r="D11" s="40" t="str">
        <f>VLOOKUP(A11,Registry!$A$4:$AA$241,4,FALSE)</f>
        <v>Monkton</v>
      </c>
      <c r="E11" s="40">
        <f>VLOOKUP(A11,Registry!$A$4:$AA$241,7,FALSE)</f>
        <v>1970</v>
      </c>
      <c r="F11" s="80" t="str">
        <f>IF(VLOOKUP(A11,Registry!$A$4:$AA$241,20,FALSE)=0,"",VLOOKUP(A11,Registry!$A$4:$AA$241,20,FALSE))</f>
        <v>Non-profit</v>
      </c>
      <c r="G11" s="40">
        <f>VLOOKUP(A11,Registry!$A$4:$AA$241,21,FALSE)</f>
        <v>9</v>
      </c>
      <c r="H11" s="112" t="s">
        <v>1256</v>
      </c>
      <c r="I11" s="37"/>
      <c r="J11" s="37" t="s">
        <v>875</v>
      </c>
      <c r="K11" s="37"/>
      <c r="L11" s="37"/>
      <c r="M11" s="37"/>
      <c r="N11" s="37">
        <f>SUM(Table2[[#This Row],[Maximum Contamination Violations]:[Treatment Violations]])</f>
        <v>0</v>
      </c>
      <c r="O11" s="37" t="s">
        <v>823</v>
      </c>
      <c r="P11" s="37" t="s">
        <v>1236</v>
      </c>
      <c r="Q11" s="37"/>
    </row>
    <row r="12" spans="1:17" x14ac:dyDescent="0.25">
      <c r="A12" s="38">
        <v>185</v>
      </c>
      <c r="B12" s="40" t="str">
        <f>VLOOKUP(A12,Registry!$A$4:$AA$241,2,FALSE)</f>
        <v>Skip's Mobile Home Park</v>
      </c>
      <c r="C12" s="40" t="str">
        <f>VLOOKUP(A12,Registry!$A$4:$AA$241,3,FALSE)</f>
        <v>Addison</v>
      </c>
      <c r="D12" s="40" t="str">
        <f>VLOOKUP(A12,Registry!$A$4:$AA$241,4,FALSE)</f>
        <v>Salisbury</v>
      </c>
      <c r="E12" s="40">
        <f>VLOOKUP(A12,Registry!$A$4:$AA$241,7,FALSE)</f>
        <v>1983</v>
      </c>
      <c r="F12" s="80" t="str">
        <f>IF(VLOOKUP(A12,Registry!$A$4:$AA$241,20,FALSE)=0,"",VLOOKUP(A12,Registry!$A$4:$AA$241,20,FALSE))</f>
        <v>For profit</v>
      </c>
      <c r="G12" s="40">
        <f>VLOOKUP(A12,Registry!$A$4:$AA$241,21,FALSE)</f>
        <v>4</v>
      </c>
      <c r="H12" s="112" t="s">
        <v>1256</v>
      </c>
      <c r="I12" s="37"/>
      <c r="J12" s="37"/>
      <c r="K12" s="37"/>
      <c r="L12" s="37"/>
      <c r="M12" s="37"/>
      <c r="N12" s="37">
        <f>SUM(Table2[[#This Row],[Maximum Contamination Violations]:[Treatment Violations]])</f>
        <v>0</v>
      </c>
      <c r="O12" s="37" t="s">
        <v>836</v>
      </c>
      <c r="P12" s="37"/>
      <c r="Q12" s="37"/>
    </row>
    <row r="13" spans="1:17" ht="12.95" customHeight="1" x14ac:dyDescent="0.25">
      <c r="A13" s="38">
        <v>114</v>
      </c>
      <c r="B13" s="40" t="str">
        <f>VLOOKUP(A13,Registry!$A$4:$AA$241,2,FALSE)</f>
        <v>Brookside Mobile Home Park</v>
      </c>
      <c r="C13" s="40" t="str">
        <f>VLOOKUP(A13,Registry!$A$4:$AA$241,3,FALSE)</f>
        <v>Addison</v>
      </c>
      <c r="D13" s="40" t="str">
        <f>VLOOKUP(A13,Registry!$A$4:$AA$241,4,FALSE)</f>
        <v>Starksboro</v>
      </c>
      <c r="E13" s="40">
        <f>VLOOKUP(A13,Registry!$A$4:$AA$241,7,FALSE)</f>
        <v>1969</v>
      </c>
      <c r="F13" s="80" t="str">
        <f>IF(VLOOKUP(A13,Registry!$A$4:$AA$241,20,FALSE)=0,"",VLOOKUP(A13,Registry!$A$4:$AA$241,20,FALSE))</f>
        <v>Non-profit</v>
      </c>
      <c r="G13" s="40">
        <f>VLOOKUP(A13,Registry!$A$4:$AA$241,21,FALSE)</f>
        <v>48</v>
      </c>
      <c r="H13" s="43" t="s">
        <v>830</v>
      </c>
      <c r="I13" s="37">
        <v>5006</v>
      </c>
      <c r="J13" s="37" t="s">
        <v>832</v>
      </c>
      <c r="K13" s="37"/>
      <c r="L13" s="37"/>
      <c r="M13" s="37"/>
      <c r="N13" s="37">
        <f>SUM(Table2[[#This Row],[Maximum Contamination Violations]:[Treatment Violations]])</f>
        <v>0</v>
      </c>
      <c r="O13" s="37" t="s">
        <v>823</v>
      </c>
      <c r="P13" s="37"/>
      <c r="Q13" s="37"/>
    </row>
    <row r="14" spans="1:17" x14ac:dyDescent="0.25">
      <c r="A14" s="38">
        <v>217</v>
      </c>
      <c r="B14" s="40" t="str">
        <f>VLOOKUP(A14,Registry!$A$4:$AA$241,2,FALSE)</f>
        <v>Hillside Manor Park</v>
      </c>
      <c r="C14" s="40" t="str">
        <f>VLOOKUP(A14,Registry!$A$4:$AA$241,3,FALSE)</f>
        <v>Addison</v>
      </c>
      <c r="D14" s="40" t="str">
        <f>VLOOKUP(A14,Registry!$A$4:$AA$241,4,FALSE)</f>
        <v>Starksboro</v>
      </c>
      <c r="E14" s="40">
        <f>VLOOKUP(A14,Registry!$A$4:$AA$241,7,FALSE)</f>
        <v>1960</v>
      </c>
      <c r="F14" s="80" t="str">
        <f>IF(VLOOKUP(A14,Registry!$A$4:$AA$241,20,FALSE)=0,"",VLOOKUP(A14,Registry!$A$4:$AA$241,20,FALSE))</f>
        <v>Non-profit</v>
      </c>
      <c r="G14" s="40">
        <f>VLOOKUP(A14,Registry!$A$4:$AA$241,21,FALSE)</f>
        <v>29</v>
      </c>
      <c r="H14" s="43" t="s">
        <v>830</v>
      </c>
      <c r="I14" s="37">
        <v>5007</v>
      </c>
      <c r="J14" s="37" t="s">
        <v>928</v>
      </c>
      <c r="K14" s="37"/>
      <c r="L14" s="37"/>
      <c r="M14" s="37"/>
      <c r="N14" s="37">
        <f>SUM(Table2[[#This Row],[Maximum Contamination Violations]:[Treatment Violations]])</f>
        <v>0</v>
      </c>
      <c r="O14" s="37" t="s">
        <v>836</v>
      </c>
      <c r="P14" s="37" t="s">
        <v>1474</v>
      </c>
      <c r="Q14" s="37"/>
    </row>
    <row r="15" spans="1:17" x14ac:dyDescent="0.25">
      <c r="A15" s="38">
        <v>218</v>
      </c>
      <c r="B15" s="40" t="str">
        <f>VLOOKUP(A15,Registry!$A$4:$AA$241,2,FALSE)</f>
        <v>Lazy Brook Park</v>
      </c>
      <c r="C15" s="40" t="str">
        <f>VLOOKUP(A15,Registry!$A$4:$AA$241,3,FALSE)</f>
        <v>Addison</v>
      </c>
      <c r="D15" s="40" t="str">
        <f>VLOOKUP(A15,Registry!$A$4:$AA$241,4,FALSE)</f>
        <v>Starksboro</v>
      </c>
      <c r="E15" s="40">
        <f>VLOOKUP(A15,Registry!$A$4:$AA$241,7,FALSE)</f>
        <v>1960</v>
      </c>
      <c r="F15" s="80" t="str">
        <f>IF(VLOOKUP(A15,Registry!$A$4:$AA$241,20,FALSE)=0,"",VLOOKUP(A15,Registry!$A$4:$AA$241,20,FALSE))</f>
        <v>Non-profit</v>
      </c>
      <c r="G15" s="40">
        <f>VLOOKUP(A15,Registry!$A$4:$AA$241,21,FALSE)</f>
        <v>51</v>
      </c>
      <c r="H15" s="43" t="s">
        <v>830</v>
      </c>
      <c r="I15" s="37">
        <v>5007</v>
      </c>
      <c r="J15" s="37" t="s">
        <v>928</v>
      </c>
      <c r="K15" s="37">
        <v>0</v>
      </c>
      <c r="L15" s="37">
        <v>2</v>
      </c>
      <c r="M15" s="37">
        <v>0</v>
      </c>
      <c r="N15" s="37">
        <f>SUM(Table2[[#This Row],[Maximum Contamination Violations]:[Treatment Violations]])</f>
        <v>2</v>
      </c>
      <c r="O15" s="37" t="s">
        <v>834</v>
      </c>
      <c r="P15" s="37" t="s">
        <v>1473</v>
      </c>
      <c r="Q15" s="37"/>
    </row>
    <row r="16" spans="1:17" x14ac:dyDescent="0.25">
      <c r="A16" s="38">
        <v>219</v>
      </c>
      <c r="B16" s="40" t="str">
        <f>VLOOKUP(A16,Registry!$A$4:$AA$241,2,FALSE)</f>
        <v>Otter Creek Park</v>
      </c>
      <c r="C16" s="40" t="str">
        <f>VLOOKUP(A16,Registry!$A$4:$AA$241,3,FALSE)</f>
        <v>Addison</v>
      </c>
      <c r="D16" s="40" t="str">
        <f>VLOOKUP(A16,Registry!$A$4:$AA$241,4,FALSE)</f>
        <v>Vergennes</v>
      </c>
      <c r="E16" s="40">
        <f>VLOOKUP(A16,Registry!$A$4:$AA$241,7,FALSE)</f>
        <v>1960</v>
      </c>
      <c r="F16" s="80" t="str">
        <f>IF(VLOOKUP(A16,Registry!$A$4:$AA$241,20,FALSE)=0,"",VLOOKUP(A16,Registry!$A$4:$AA$241,20,FALSE))</f>
        <v>Non-profit</v>
      </c>
      <c r="G16" s="40">
        <f>VLOOKUP(A16,Registry!$A$4:$AA$241,21,FALSE)</f>
        <v>73</v>
      </c>
      <c r="H16" s="43" t="s">
        <v>827</v>
      </c>
      <c r="I16" s="37">
        <v>20613</v>
      </c>
      <c r="J16" s="37" t="s">
        <v>883</v>
      </c>
      <c r="K16" s="37"/>
      <c r="L16" s="37"/>
      <c r="M16" s="37"/>
      <c r="N16" s="37">
        <f>SUM(Table2[[#This Row],[Maximum Contamination Violations]:[Treatment Violations]])</f>
        <v>0</v>
      </c>
      <c r="O16" s="37" t="s">
        <v>824</v>
      </c>
      <c r="P16" s="37"/>
      <c r="Q16" s="37"/>
    </row>
    <row r="17" spans="1:17" x14ac:dyDescent="0.25">
      <c r="A17" s="38">
        <v>116</v>
      </c>
      <c r="B17" s="40" t="str">
        <f>VLOOKUP(A17,Registry!$A$4:$AA$241,2,FALSE)</f>
        <v>High Manor Park</v>
      </c>
      <c r="C17" s="40" t="str">
        <f>VLOOKUP(A17,Registry!$A$4:$AA$241,3,FALSE)</f>
        <v>Addison</v>
      </c>
      <c r="D17" s="40" t="str">
        <f>VLOOKUP(A17,Registry!$A$4:$AA$241,4,FALSE)</f>
        <v>Waltham</v>
      </c>
      <c r="E17" s="40">
        <f>VLOOKUP(A17,Registry!$A$4:$AA$241,7,FALSE)</f>
        <v>1966</v>
      </c>
      <c r="F17" s="80" t="str">
        <f>IF(VLOOKUP(A17,Registry!$A$4:$AA$241,20,FALSE)=0,"",VLOOKUP(A17,Registry!$A$4:$AA$241,20,FALSE))</f>
        <v>For profit</v>
      </c>
      <c r="G17" s="40">
        <f>VLOOKUP(A17,Registry!$A$4:$AA$241,21,FALSE)</f>
        <v>23</v>
      </c>
      <c r="H17" s="43" t="s">
        <v>824</v>
      </c>
      <c r="I17" s="37"/>
      <c r="J17" s="37" t="s">
        <v>883</v>
      </c>
      <c r="K17" s="37"/>
      <c r="L17" s="37"/>
      <c r="M17" s="37"/>
      <c r="N17" s="37">
        <f>SUM(Table2[[#This Row],[Maximum Contamination Violations]:[Treatment Violations]])</f>
        <v>0</v>
      </c>
      <c r="O17" s="37" t="s">
        <v>824</v>
      </c>
      <c r="P17" s="37"/>
      <c r="Q17" s="37"/>
    </row>
    <row r="18" spans="1:17" x14ac:dyDescent="0.25">
      <c r="A18" s="38">
        <v>206</v>
      </c>
      <c r="B18" s="40" t="str">
        <f>VLOOKUP(A18,Registry!$A$4:$AA$241,2,FALSE)</f>
        <v>Mears Mobile Home Park</v>
      </c>
      <c r="C18" s="40" t="str">
        <f>VLOOKUP(A18,Registry!$A$4:$AA$241,3,FALSE)</f>
        <v>Bennington</v>
      </c>
      <c r="D18" s="40" t="str">
        <f>VLOOKUP(A18,Registry!$A$4:$AA$241,4,FALSE)</f>
        <v>Arlington</v>
      </c>
      <c r="E18" s="40">
        <f>VLOOKUP(A18,Registry!$A$4:$AA$241,7,FALSE)</f>
        <v>1970</v>
      </c>
      <c r="F18" s="80" t="str">
        <f>IF(VLOOKUP(A18,Registry!$A$4:$AA$241,20,FALSE)=0,"",VLOOKUP(A18,Registry!$A$4:$AA$241,20,FALSE))</f>
        <v>For profit</v>
      </c>
      <c r="G18" s="40">
        <f>VLOOKUP(A18,Registry!$A$4:$AA$241,21,FALSE)</f>
        <v>5</v>
      </c>
      <c r="H18" s="112" t="s">
        <v>1256</v>
      </c>
      <c r="I18" s="37"/>
      <c r="J18" s="37"/>
      <c r="K18" s="37"/>
      <c r="L18" s="37"/>
      <c r="M18" s="37"/>
      <c r="N18" s="37">
        <f>SUM(Table2[[#This Row],[Maximum Contamination Violations]:[Treatment Violations]])</f>
        <v>0</v>
      </c>
      <c r="O18" s="37" t="s">
        <v>836</v>
      </c>
      <c r="P18" s="37"/>
      <c r="Q18" s="37"/>
    </row>
    <row r="19" spans="1:17" x14ac:dyDescent="0.25">
      <c r="A19" s="38">
        <v>203</v>
      </c>
      <c r="B19" s="40" t="str">
        <f>VLOOKUP(A19,Registry!$A$4:$AA$241,2,FALSE)</f>
        <v>100 Mountain View Road</v>
      </c>
      <c r="C19" s="40" t="str">
        <f>VLOOKUP(A19,Registry!$A$4:$AA$241,3,FALSE)</f>
        <v>Bennington</v>
      </c>
      <c r="D19" s="40" t="str">
        <f>VLOOKUP(A19,Registry!$A$4:$AA$241,4,FALSE)</f>
        <v>Bennington</v>
      </c>
      <c r="E19" s="40">
        <f>VLOOKUP(A19,Registry!$A$4:$AA$241,7,FALSE)</f>
        <v>1965</v>
      </c>
      <c r="F19" s="80" t="str">
        <f>IF(VLOOKUP(A19,Registry!$A$4:$AA$241,20,FALSE)=0,"",VLOOKUP(A19,Registry!$A$4:$AA$241,20,FALSE))</f>
        <v>For profit</v>
      </c>
      <c r="G19" s="40">
        <f>VLOOKUP(A19,Registry!$A$4:$AA$241,21,FALSE)</f>
        <v>115</v>
      </c>
      <c r="H19" s="43" t="s">
        <v>827</v>
      </c>
      <c r="I19" s="37">
        <v>20800</v>
      </c>
      <c r="J19" s="37" t="s">
        <v>825</v>
      </c>
      <c r="K19" s="37"/>
      <c r="L19" s="37"/>
      <c r="M19" s="37"/>
      <c r="N19" s="37">
        <f>SUM(Table2[[#This Row],[Maximum Contamination Violations]:[Treatment Violations]])</f>
        <v>0</v>
      </c>
      <c r="O19" s="37" t="s">
        <v>824</v>
      </c>
      <c r="P19" s="37" t="s">
        <v>1233</v>
      </c>
      <c r="Q19" s="37"/>
    </row>
    <row r="20" spans="1:17" x14ac:dyDescent="0.25">
      <c r="A20" s="38">
        <v>3</v>
      </c>
      <c r="B20" s="40" t="str">
        <f>VLOOKUP(A20,Registry!$A$4:$AA$241,2,FALSE)</f>
        <v>Catamount Mobile Home Park</v>
      </c>
      <c r="C20" s="40" t="str">
        <f>VLOOKUP(A20,Registry!$A$4:$AA$241,3,FALSE)</f>
        <v>Bennington</v>
      </c>
      <c r="D20" s="40" t="str">
        <f>VLOOKUP(A20,Registry!$A$4:$AA$241,4,FALSE)</f>
        <v>Bennington</v>
      </c>
      <c r="E20" s="40">
        <f>VLOOKUP(A20,Registry!$A$4:$AA$241,7,FALSE)</f>
        <v>1950</v>
      </c>
      <c r="F20" s="80" t="str">
        <f>IF(VLOOKUP(A20,Registry!$A$4:$AA$241,20,FALSE)=0,"",VLOOKUP(A20,Registry!$A$4:$AA$241,20,FALSE))</f>
        <v>For profit</v>
      </c>
      <c r="G20" s="40">
        <f>VLOOKUP(A20,Registry!$A$4:$AA$241,21,FALSE)</f>
        <v>36</v>
      </c>
      <c r="H20" s="43" t="s">
        <v>824</v>
      </c>
      <c r="I20" s="37"/>
      <c r="J20" s="37" t="s">
        <v>825</v>
      </c>
      <c r="K20" s="37"/>
      <c r="L20" s="37"/>
      <c r="M20" s="37"/>
      <c r="N20" s="37">
        <f>SUM(Table2[[#This Row],[Maximum Contamination Violations]:[Treatment Violations]])</f>
        <v>0</v>
      </c>
      <c r="O20" s="37" t="s">
        <v>824</v>
      </c>
      <c r="P20" s="37" t="s">
        <v>826</v>
      </c>
      <c r="Q20" s="37"/>
    </row>
    <row r="21" spans="1:17" x14ac:dyDescent="0.25">
      <c r="A21" s="38">
        <v>47</v>
      </c>
      <c r="B21" s="40" t="str">
        <f>VLOOKUP(A21,Registry!$A$4:$AA$241,2,FALSE)</f>
        <v>East Mountain Mobile Home Park</v>
      </c>
      <c r="C21" s="40" t="str">
        <f>VLOOKUP(A21,Registry!$A$4:$AA$241,3,FALSE)</f>
        <v>Bennington</v>
      </c>
      <c r="D21" s="40" t="str">
        <f>VLOOKUP(A21,Registry!$A$4:$AA$241,4,FALSE)</f>
        <v>Bennington</v>
      </c>
      <c r="E21" s="40">
        <f>VLOOKUP(A21,Registry!$A$4:$AA$241,7,FALSE)</f>
        <v>1968</v>
      </c>
      <c r="F21" s="80" t="str">
        <f>IF(VLOOKUP(A21,Registry!$A$4:$AA$241,20,FALSE)=0,"",VLOOKUP(A21,Registry!$A$4:$AA$241,20,FALSE))</f>
        <v>For profit</v>
      </c>
      <c r="G21" s="40">
        <f>VLOOKUP(A21,Registry!$A$4:$AA$241,21,FALSE)</f>
        <v>22</v>
      </c>
      <c r="H21" s="43" t="s">
        <v>827</v>
      </c>
      <c r="I21" s="37">
        <v>20760</v>
      </c>
      <c r="J21" s="37" t="s">
        <v>825</v>
      </c>
      <c r="K21" s="37">
        <v>0</v>
      </c>
      <c r="L21" s="37">
        <v>16</v>
      </c>
      <c r="M21" s="37">
        <v>0</v>
      </c>
      <c r="N21" s="37">
        <f>SUM(Table2[[#This Row],[Maximum Contamination Violations]:[Treatment Violations]])</f>
        <v>16</v>
      </c>
      <c r="O21" s="37" t="s">
        <v>849</v>
      </c>
      <c r="P21" s="37"/>
      <c r="Q21" s="37"/>
    </row>
    <row r="22" spans="1:17" x14ac:dyDescent="0.25">
      <c r="A22" s="38">
        <v>202</v>
      </c>
      <c r="B22" s="40" t="str">
        <f>VLOOKUP(A22,Registry!$A$4:$AA$241,2,FALSE)</f>
        <v>Gore Road Mobile Home Park</v>
      </c>
      <c r="C22" s="40" t="str">
        <f>VLOOKUP(A22,Registry!$A$4:$AA$241,3,FALSE)</f>
        <v>Bennington</v>
      </c>
      <c r="D22" s="40" t="str">
        <f>VLOOKUP(A22,Registry!$A$4:$AA$241,4,FALSE)</f>
        <v>Bennington</v>
      </c>
      <c r="E22" s="40">
        <f>VLOOKUP(A22,Registry!$A$4:$AA$241,7,FALSE)</f>
        <v>1960</v>
      </c>
      <c r="F22" s="80" t="str">
        <f>IF(VLOOKUP(A22,Registry!$A$4:$AA$241,20,FALSE)=0,"",VLOOKUP(A22,Registry!$A$4:$AA$241,20,FALSE))</f>
        <v>For profit</v>
      </c>
      <c r="G22" s="40">
        <f>VLOOKUP(A22,Registry!$A$4:$AA$241,21,FALSE)</f>
        <v>38</v>
      </c>
      <c r="H22" s="43" t="s">
        <v>827</v>
      </c>
      <c r="I22" s="37">
        <v>5471</v>
      </c>
      <c r="J22" s="37" t="s">
        <v>825</v>
      </c>
      <c r="K22" s="37"/>
      <c r="L22" s="37"/>
      <c r="M22" s="37"/>
      <c r="N22" s="37">
        <f>SUM(Table2[[#This Row],[Maximum Contamination Violations]:[Treatment Violations]])</f>
        <v>0</v>
      </c>
      <c r="O22" s="37"/>
      <c r="P22" s="37" t="s">
        <v>1234</v>
      </c>
      <c r="Q22" s="37"/>
    </row>
    <row r="23" spans="1:17" x14ac:dyDescent="0.25">
      <c r="A23" s="38">
        <v>46</v>
      </c>
      <c r="B23" s="40" t="str">
        <f>VLOOKUP(A23,Registry!$A$4:$AA$241,2,FALSE)</f>
        <v>Mountain View Court Mobile Home</v>
      </c>
      <c r="C23" s="40" t="str">
        <f>VLOOKUP(A23,Registry!$A$4:$AA$241,3,FALSE)</f>
        <v>Bennington</v>
      </c>
      <c r="D23" s="40" t="str">
        <f>VLOOKUP(A23,Registry!$A$4:$AA$241,4,FALSE)</f>
        <v>Bennington</v>
      </c>
      <c r="E23" s="40">
        <f>VLOOKUP(A23,Registry!$A$4:$AA$241,7,FALSE)</f>
        <v>1962</v>
      </c>
      <c r="F23" s="80" t="str">
        <f>IF(VLOOKUP(A23,Registry!$A$4:$AA$241,20,FALSE)=0,"",VLOOKUP(A23,Registry!$A$4:$AA$241,20,FALSE))</f>
        <v>Non-profit</v>
      </c>
      <c r="G23" s="40">
        <f>VLOOKUP(A23,Registry!$A$4:$AA$241,21,FALSE)</f>
        <v>20</v>
      </c>
      <c r="H23" s="43" t="s">
        <v>827</v>
      </c>
      <c r="I23" s="37">
        <v>20722</v>
      </c>
      <c r="J23" s="37" t="s">
        <v>825</v>
      </c>
      <c r="K23" s="37"/>
      <c r="L23" s="37"/>
      <c r="M23" s="37"/>
      <c r="N23" s="37">
        <f>SUM(Table2[[#This Row],[Maximum Contamination Violations]:[Treatment Violations]])</f>
        <v>0</v>
      </c>
      <c r="O23" s="37" t="s">
        <v>824</v>
      </c>
      <c r="P23" s="37"/>
      <c r="Q23" s="37"/>
    </row>
    <row r="24" spans="1:17" x14ac:dyDescent="0.25">
      <c r="A24" s="38">
        <v>311</v>
      </c>
      <c r="B24" s="40" t="str">
        <f>VLOOKUP(A24,Registry!$A$4:$AA$241,2,FALSE)</f>
        <v>Smith's Way</v>
      </c>
      <c r="C24" s="40" t="str">
        <f>VLOOKUP(A24,Registry!$A$4:$AA$241,3,FALSE)</f>
        <v>Bennington</v>
      </c>
      <c r="D24" s="40" t="str">
        <f>VLOOKUP(A24,Registry!$A$4:$AA$241,4,FALSE)</f>
        <v>Bennington</v>
      </c>
      <c r="E24" s="40">
        <f>VLOOKUP(A24,Registry!$A$4:$AA$241,7,FALSE)</f>
        <v>1996</v>
      </c>
      <c r="F24" s="80" t="str">
        <f>IF(VLOOKUP(A24,Registry!$A$4:$AA$241,20,FALSE)=0,"",VLOOKUP(A24,Registry!$A$4:$AA$241,20,FALSE))</f>
        <v>For profit</v>
      </c>
      <c r="G24" s="40">
        <f>VLOOKUP(A24,Registry!$A$4:$AA$241,21,FALSE)</f>
        <v>3</v>
      </c>
      <c r="H24" s="43" t="s">
        <v>824</v>
      </c>
      <c r="I24" s="37"/>
      <c r="J24" s="37" t="s">
        <v>825</v>
      </c>
      <c r="K24" s="37"/>
      <c r="L24" s="37"/>
      <c r="M24" s="37"/>
      <c r="N24" s="37">
        <f>SUM(Table2[[#This Row],[Maximum Contamination Violations]:[Treatment Violations]])</f>
        <v>0</v>
      </c>
      <c r="O24" s="37"/>
      <c r="P24" s="37"/>
      <c r="Q24" s="37"/>
    </row>
    <row r="25" spans="1:17" x14ac:dyDescent="0.25">
      <c r="A25" s="38">
        <v>243</v>
      </c>
      <c r="B25" s="40" t="str">
        <f>VLOOKUP(A25,Registry!$A$4:$AA$241,2,FALSE)</f>
        <v>Sunset Farm MHP</v>
      </c>
      <c r="C25" s="40" t="str">
        <f>VLOOKUP(A25,Registry!$A$4:$AA$241,3,FALSE)</f>
        <v>Bennington</v>
      </c>
      <c r="D25" s="40" t="str">
        <f>VLOOKUP(A25,Registry!$A$4:$AA$241,4,FALSE)</f>
        <v>Bennington</v>
      </c>
      <c r="E25" s="40">
        <f>VLOOKUP(A25,Registry!$A$4:$AA$241,7,FALSE)</f>
        <v>1969</v>
      </c>
      <c r="F25" s="80" t="str">
        <f>IF(VLOOKUP(A25,Registry!$A$4:$AA$241,20,FALSE)=0,"",VLOOKUP(A25,Registry!$A$4:$AA$241,20,FALSE))</f>
        <v>For profit</v>
      </c>
      <c r="G25" s="40">
        <f>VLOOKUP(A25,Registry!$A$4:$AA$241,21,FALSE)</f>
        <v>12</v>
      </c>
      <c r="H25" s="112" t="s">
        <v>1256</v>
      </c>
      <c r="I25" s="37"/>
      <c r="J25" s="37" t="s">
        <v>926</v>
      </c>
      <c r="K25" s="37"/>
      <c r="L25" s="37"/>
      <c r="M25" s="37"/>
      <c r="N25" s="37">
        <f>SUM(Table2[[#This Row],[Maximum Contamination Violations]:[Treatment Violations]])</f>
        <v>0</v>
      </c>
      <c r="O25" s="37" t="s">
        <v>823</v>
      </c>
      <c r="P25" s="37" t="s">
        <v>1600</v>
      </c>
      <c r="Q25" s="37"/>
    </row>
    <row r="26" spans="1:17" x14ac:dyDescent="0.25">
      <c r="A26" s="38">
        <v>237</v>
      </c>
      <c r="B26" s="40" t="str">
        <f>VLOOKUP(A26,Registry!$A$4:$AA$241,2,FALSE)</f>
        <v>Sweet's Mobile Home Park</v>
      </c>
      <c r="C26" s="40" t="str">
        <f>VLOOKUP(A26,Registry!$A$4:$AA$241,3,FALSE)</f>
        <v>Bennington</v>
      </c>
      <c r="D26" s="40" t="str">
        <f>VLOOKUP(A26,Registry!$A$4:$AA$241,4,FALSE)</f>
        <v>Bennington</v>
      </c>
      <c r="E26" s="40">
        <f>VLOOKUP(A26,Registry!$A$4:$AA$241,7,FALSE)</f>
        <v>1977</v>
      </c>
      <c r="F26" s="80" t="str">
        <f>IF(VLOOKUP(A26,Registry!$A$4:$AA$241,20,FALSE)=0,"",VLOOKUP(A26,Registry!$A$4:$AA$241,20,FALSE))</f>
        <v>For profit</v>
      </c>
      <c r="G26" s="40">
        <f>VLOOKUP(A26,Registry!$A$4:$AA$241,21,FALSE)</f>
        <v>16</v>
      </c>
      <c r="H26" s="43" t="s">
        <v>824</v>
      </c>
      <c r="I26" s="37"/>
      <c r="J26" s="37" t="s">
        <v>825</v>
      </c>
      <c r="K26" s="37"/>
      <c r="L26" s="37"/>
      <c r="M26" s="37"/>
      <c r="N26" s="37">
        <f>SUM(Table2[[#This Row],[Maximum Contamination Violations]:[Treatment Violations]])</f>
        <v>0</v>
      </c>
      <c r="O26" s="37" t="s">
        <v>824</v>
      </c>
      <c r="P26" s="37"/>
      <c r="Q26" s="37"/>
    </row>
    <row r="27" spans="1:17" x14ac:dyDescent="0.25">
      <c r="A27" s="38">
        <v>201</v>
      </c>
      <c r="B27" s="40" t="str">
        <f>VLOOKUP(A27,Registry!$A$4:$AA$241,2,FALSE)</f>
        <v>West Road Mobile Home Park</v>
      </c>
      <c r="C27" s="40" t="str">
        <f>VLOOKUP(A27,Registry!$A$4:$AA$241,3,FALSE)</f>
        <v>Bennington</v>
      </c>
      <c r="D27" s="40" t="str">
        <f>VLOOKUP(A27,Registry!$A$4:$AA$241,4,FALSE)</f>
        <v>Bennington</v>
      </c>
      <c r="E27" s="40">
        <f>VLOOKUP(A27,Registry!$A$4:$AA$241,7,FALSE)</f>
        <v>1965</v>
      </c>
      <c r="F27" s="80" t="str">
        <f>IF(VLOOKUP(A27,Registry!$A$4:$AA$241,20,FALSE)=0,"",VLOOKUP(A27,Registry!$A$4:$AA$241,20,FALSE))</f>
        <v>For profit</v>
      </c>
      <c r="G27" s="40">
        <f>VLOOKUP(A27,Registry!$A$4:$AA$241,21,FALSE)</f>
        <v>40</v>
      </c>
      <c r="H27" s="43" t="s">
        <v>827</v>
      </c>
      <c r="I27" s="37">
        <v>5018</v>
      </c>
      <c r="J27" s="37" t="s">
        <v>825</v>
      </c>
      <c r="K27" s="37"/>
      <c r="L27" s="37"/>
      <c r="M27" s="37"/>
      <c r="N27" s="37">
        <f>SUM(Table2[[#This Row],[Maximum Contamination Violations]:[Treatment Violations]])</f>
        <v>0</v>
      </c>
      <c r="O27" s="37" t="s">
        <v>824</v>
      </c>
      <c r="P27" s="37"/>
      <c r="Q27" s="37"/>
    </row>
    <row r="28" spans="1:17" x14ac:dyDescent="0.25">
      <c r="A28" s="38">
        <v>151</v>
      </c>
      <c r="B28" s="40" t="str">
        <f>VLOOKUP(A28,Registry!$A$4:$AA$241,2,FALSE)</f>
        <v>White Birches Mobile Home Park</v>
      </c>
      <c r="C28" s="40" t="str">
        <f>VLOOKUP(A28,Registry!$A$4:$AA$241,3,FALSE)</f>
        <v>Bennington</v>
      </c>
      <c r="D28" s="40" t="str">
        <f>VLOOKUP(A28,Registry!$A$4:$AA$241,4,FALSE)</f>
        <v>Bennington</v>
      </c>
      <c r="E28" s="40">
        <f>VLOOKUP(A28,Registry!$A$4:$AA$241,7,FALSE)</f>
        <v>1970</v>
      </c>
      <c r="F28" s="80" t="str">
        <f>IF(VLOOKUP(A28,Registry!$A$4:$AA$241,20,FALSE)=0,"",VLOOKUP(A28,Registry!$A$4:$AA$241,20,FALSE))</f>
        <v>For profit</v>
      </c>
      <c r="G28" s="40">
        <f>VLOOKUP(A28,Registry!$A$4:$AA$241,21,FALSE)</f>
        <v>52</v>
      </c>
      <c r="H28" s="43" t="s">
        <v>827</v>
      </c>
      <c r="I28" s="37">
        <v>20801</v>
      </c>
      <c r="J28" s="37" t="s">
        <v>825</v>
      </c>
      <c r="K28" s="37">
        <v>0</v>
      </c>
      <c r="L28" s="37">
        <v>3</v>
      </c>
      <c r="M28" s="37">
        <v>0</v>
      </c>
      <c r="N28" s="37">
        <f>SUM(Table2[[#This Row],[Maximum Contamination Violations]:[Treatment Violations]])</f>
        <v>3</v>
      </c>
      <c r="O28" s="37" t="s">
        <v>824</v>
      </c>
      <c r="P28" s="37"/>
      <c r="Q28" s="37"/>
    </row>
    <row r="29" spans="1:17" x14ac:dyDescent="0.25">
      <c r="A29" s="38">
        <v>233</v>
      </c>
      <c r="B29" s="40" t="str">
        <f>VLOOKUP(A29,Registry!$A$4:$AA$241,2,FALSE)</f>
        <v>Willows Mobile Home Park</v>
      </c>
      <c r="C29" s="40" t="str">
        <f>VLOOKUP(A29,Registry!$A$4:$AA$241,3,FALSE)</f>
        <v>Bennington</v>
      </c>
      <c r="D29" s="40" t="str">
        <f>VLOOKUP(A29,Registry!$A$4:$AA$241,4,FALSE)</f>
        <v>Bennington</v>
      </c>
      <c r="E29" s="40">
        <f>VLOOKUP(A29,Registry!$A$4:$AA$241,7,FALSE)</f>
        <v>1945</v>
      </c>
      <c r="F29" s="80" t="str">
        <f>IF(VLOOKUP(A29,Registry!$A$4:$AA$241,20,FALSE)=0,"",VLOOKUP(A29,Registry!$A$4:$AA$241,20,FALSE))</f>
        <v>Non-profit</v>
      </c>
      <c r="G29" s="40">
        <f>VLOOKUP(A29,Registry!$A$4:$AA$241,21,FALSE)</f>
        <v>24</v>
      </c>
      <c r="H29" s="43" t="s">
        <v>827</v>
      </c>
      <c r="I29" s="37">
        <v>20775</v>
      </c>
      <c r="J29" s="37" t="s">
        <v>825</v>
      </c>
      <c r="K29" s="37"/>
      <c r="L29" s="37"/>
      <c r="M29" s="37"/>
      <c r="N29" s="37">
        <f>SUM(Table2[[#This Row],[Maximum Contamination Violations]:[Treatment Violations]])</f>
        <v>0</v>
      </c>
      <c r="O29" s="37" t="s">
        <v>824</v>
      </c>
      <c r="P29" s="37" t="s">
        <v>930</v>
      </c>
      <c r="Q29" s="37"/>
    </row>
    <row r="30" spans="1:17" x14ac:dyDescent="0.25">
      <c r="A30" s="38">
        <v>225</v>
      </c>
      <c r="B30" s="40" t="str">
        <f>VLOOKUP(A30,Registry!$A$4:$AA$241,2,FALSE)</f>
        <v>Dorr Mobile Home Park 1</v>
      </c>
      <c r="C30" s="40" t="str">
        <f>VLOOKUP(A30,Registry!$A$4:$AA$241,3,FALSE)</f>
        <v>Bennington</v>
      </c>
      <c r="D30" s="40" t="str">
        <f>VLOOKUP(A30,Registry!$A$4:$AA$241,4,FALSE)</f>
        <v>Manchester</v>
      </c>
      <c r="E30" s="40">
        <f>VLOOKUP(A30,Registry!$A$4:$AA$241,7,FALSE)</f>
        <v>1965</v>
      </c>
      <c r="F30" s="80" t="str">
        <f>IF(VLOOKUP(A30,Registry!$A$4:$AA$241,20,FALSE)=0,"",VLOOKUP(A30,Registry!$A$4:$AA$241,20,FALSE))</f>
        <v>For profit</v>
      </c>
      <c r="G30" s="40">
        <f>VLOOKUP(A30,Registry!$A$4:$AA$241,21,FALSE)</f>
        <v>6</v>
      </c>
      <c r="H30" s="43" t="s">
        <v>824</v>
      </c>
      <c r="I30" s="37"/>
      <c r="J30" s="37" t="s">
        <v>929</v>
      </c>
      <c r="K30" s="37"/>
      <c r="L30" s="37"/>
      <c r="M30" s="37"/>
      <c r="N30" s="37">
        <f>SUM(Table2[[#This Row],[Maximum Contamination Violations]:[Treatment Violations]])</f>
        <v>0</v>
      </c>
      <c r="O30" s="37" t="s">
        <v>824</v>
      </c>
      <c r="P30" s="37"/>
      <c r="Q30" s="37"/>
    </row>
    <row r="31" spans="1:17" x14ac:dyDescent="0.25">
      <c r="A31" s="171">
        <v>328</v>
      </c>
      <c r="B31" s="172" t="str">
        <f>VLOOKUP(A31,Registry!$A$4:$AA$241,2,FALSE)</f>
        <v>Dorr Mobile Home Park 2</v>
      </c>
      <c r="C31" s="172" t="str">
        <f>VLOOKUP(A31,Registry!$A$4:$AA$241,3,FALSE)</f>
        <v>Bennington</v>
      </c>
      <c r="D31" s="172" t="str">
        <f>VLOOKUP(A31,Registry!$A$4:$AA$241,4,FALSE)</f>
        <v>Manchester</v>
      </c>
      <c r="E31" s="172">
        <f>VLOOKUP(A31,Registry!$A$4:$AA$241,7,FALSE)</f>
        <v>0</v>
      </c>
      <c r="F31" s="164" t="str">
        <f>IF(VLOOKUP(A31,Registry!$A$4:$AA$241,20,FALSE)=0,"",VLOOKUP(A31,Registry!$A$4:$AA$241,20,FALSE))</f>
        <v>For profit</v>
      </c>
      <c r="G31" s="172">
        <f>VLOOKUP(A31,Registry!$A$4:$AA$241,21,FALSE)</f>
        <v>25</v>
      </c>
      <c r="H31" s="187"/>
      <c r="I31" s="173"/>
      <c r="J31" s="173"/>
      <c r="K31" s="173"/>
      <c r="L31" s="173"/>
      <c r="M31" s="173"/>
      <c r="N31" s="173"/>
      <c r="O31" s="173"/>
      <c r="P31" s="173"/>
      <c r="Q31" s="173"/>
    </row>
    <row r="32" spans="1:17" x14ac:dyDescent="0.25">
      <c r="A32" s="171">
        <v>329</v>
      </c>
      <c r="B32" s="172" t="str">
        <f>VLOOKUP(A32,Registry!$A$4:$AA$241,2,FALSE)</f>
        <v>Dorr Mobile Home Park 3</v>
      </c>
      <c r="C32" s="172" t="str">
        <f>VLOOKUP(A32,Registry!$A$4:$AA$241,3,FALSE)</f>
        <v>Bennington</v>
      </c>
      <c r="D32" s="172" t="str">
        <f>VLOOKUP(A32,Registry!$A$4:$AA$241,4,FALSE)</f>
        <v>Manchester</v>
      </c>
      <c r="E32" s="172">
        <f>VLOOKUP(A32,Registry!$A$4:$AA$241,7,FALSE)</f>
        <v>0</v>
      </c>
      <c r="F32" s="164" t="str">
        <f>IF(VLOOKUP(A32,Registry!$A$4:$AA$241,20,FALSE)=0,"",VLOOKUP(A32,Registry!$A$4:$AA$241,20,FALSE))</f>
        <v>For profit</v>
      </c>
      <c r="G32" s="172">
        <f>VLOOKUP(A32,Registry!$A$4:$AA$241,21,FALSE)</f>
        <v>4</v>
      </c>
      <c r="H32" s="187"/>
      <c r="I32" s="173"/>
      <c r="J32" s="173"/>
      <c r="K32" s="173"/>
      <c r="L32" s="173"/>
      <c r="M32" s="173"/>
      <c r="N32" s="173"/>
      <c r="O32" s="173"/>
      <c r="P32" s="173"/>
      <c r="Q32" s="173"/>
    </row>
    <row r="33" spans="1:17" x14ac:dyDescent="0.25">
      <c r="A33" s="38">
        <v>49</v>
      </c>
      <c r="B33" s="40" t="str">
        <f>VLOOKUP(A33,Registry!$A$4:$AA$241,2,FALSE)</f>
        <v>Manchester Mobile Home Park</v>
      </c>
      <c r="C33" s="40" t="str">
        <f>VLOOKUP(A33,Registry!$A$4:$AA$241,3,FALSE)</f>
        <v>Bennington</v>
      </c>
      <c r="D33" s="40" t="str">
        <f>VLOOKUP(A33,Registry!$A$4:$AA$241,4,FALSE)</f>
        <v>Manchester</v>
      </c>
      <c r="E33" s="40">
        <f>VLOOKUP(A33,Registry!$A$4:$AA$241,7,FALSE)</f>
        <v>1965</v>
      </c>
      <c r="F33" s="80" t="str">
        <f>IF(VLOOKUP(A33,Registry!$A$4:$AA$241,20,FALSE)=0,"",VLOOKUP(A33,Registry!$A$4:$AA$241,20,FALSE))</f>
        <v>For profit</v>
      </c>
      <c r="G33" s="40">
        <f>VLOOKUP(A33,Registry!$A$4:$AA$241,21,FALSE)</f>
        <v>34</v>
      </c>
      <c r="H33" s="43" t="s">
        <v>830</v>
      </c>
      <c r="I33" s="37">
        <v>5023</v>
      </c>
      <c r="J33" s="37" t="s">
        <v>851</v>
      </c>
      <c r="K33" s="37"/>
      <c r="L33" s="37"/>
      <c r="M33" s="37"/>
      <c r="N33" s="37">
        <f>SUM(Table2[[#This Row],[Maximum Contamination Violations]:[Treatment Violations]])</f>
        <v>0</v>
      </c>
      <c r="O33" s="37" t="s">
        <v>823</v>
      </c>
      <c r="P33" s="37"/>
      <c r="Q33" s="37"/>
    </row>
    <row r="34" spans="1:17" x14ac:dyDescent="0.25">
      <c r="A34" s="38">
        <v>48</v>
      </c>
      <c r="B34" s="40" t="str">
        <f>VLOOKUP(A34,Registry!$A$4:$AA$241,2,FALSE)</f>
        <v>Squires Road Mobile Home Park</v>
      </c>
      <c r="C34" s="40" t="str">
        <f>VLOOKUP(A34,Registry!$A$4:$AA$241,3,FALSE)</f>
        <v>Bennington</v>
      </c>
      <c r="D34" s="40" t="str">
        <f>VLOOKUP(A34,Registry!$A$4:$AA$241,4,FALSE)</f>
        <v>Manchester</v>
      </c>
      <c r="E34" s="40">
        <f>VLOOKUP(A34,Registry!$A$4:$AA$241,7,FALSE)</f>
        <v>1970</v>
      </c>
      <c r="F34" s="80" t="str">
        <f>IF(VLOOKUP(A34,Registry!$A$4:$AA$241,20,FALSE)=0,"",VLOOKUP(A34,Registry!$A$4:$AA$241,20,FALSE))</f>
        <v>For profit</v>
      </c>
      <c r="G34" s="40">
        <f>VLOOKUP(A34,Registry!$A$4:$AA$241,21,FALSE)</f>
        <v>5</v>
      </c>
      <c r="H34" s="112" t="s">
        <v>1256</v>
      </c>
      <c r="I34" s="37"/>
      <c r="J34" s="37" t="s">
        <v>850</v>
      </c>
      <c r="K34" s="37"/>
      <c r="L34" s="37"/>
      <c r="M34" s="37"/>
      <c r="N34" s="37">
        <f>SUM(Table2[[#This Row],[Maximum Contamination Violations]:[Treatment Violations]])</f>
        <v>0</v>
      </c>
      <c r="O34" s="37" t="s">
        <v>849</v>
      </c>
      <c r="P34" s="37"/>
      <c r="Q34" s="37"/>
    </row>
    <row r="35" spans="1:17" x14ac:dyDescent="0.25">
      <c r="A35" s="38">
        <v>2</v>
      </c>
      <c r="B35" s="40" t="str">
        <f>VLOOKUP(A35,Registry!$A$4:$AA$241,2,FALSE)</f>
        <v>Barbers Pond Trailer Park</v>
      </c>
      <c r="C35" s="40" t="str">
        <f>VLOOKUP(A35,Registry!$A$4:$AA$241,3,FALSE)</f>
        <v>Bennington</v>
      </c>
      <c r="D35" s="40" t="str">
        <f>VLOOKUP(A35,Registry!$A$4:$AA$241,4,FALSE)</f>
        <v>Pownal</v>
      </c>
      <c r="E35" s="40">
        <f>VLOOKUP(A35,Registry!$A$4:$AA$241,7,FALSE)</f>
        <v>1960</v>
      </c>
      <c r="F35" s="80" t="str">
        <f>IF(VLOOKUP(A35,Registry!$A$4:$AA$241,20,FALSE)=0,"",VLOOKUP(A35,Registry!$A$4:$AA$241,20,FALSE))</f>
        <v>For profit</v>
      </c>
      <c r="G35" s="40">
        <f>VLOOKUP(A35,Registry!$A$4:$AA$241,21,FALSE)</f>
        <v>6</v>
      </c>
      <c r="H35" s="112" t="s">
        <v>1256</v>
      </c>
      <c r="I35" s="37"/>
      <c r="J35" s="37"/>
      <c r="K35" s="37"/>
      <c r="L35" s="37"/>
      <c r="M35" s="37"/>
      <c r="N35" s="37">
        <f>SUM(Table2[[#This Row],[Maximum Contamination Violations]:[Treatment Violations]])</f>
        <v>0</v>
      </c>
      <c r="O35" s="37" t="s">
        <v>823</v>
      </c>
      <c r="P35" s="37" t="s">
        <v>1221</v>
      </c>
      <c r="Q35" s="37"/>
    </row>
    <row r="36" spans="1:17" x14ac:dyDescent="0.25">
      <c r="A36" s="38">
        <v>54</v>
      </c>
      <c r="B36" s="40" t="str">
        <f>VLOOKUP(A36,Registry!$A$4:$AA$241,2,FALSE)</f>
        <v>Burdick and Burdick Trailer Park</v>
      </c>
      <c r="C36" s="40" t="str">
        <f>VLOOKUP(A36,Registry!$A$4:$AA$241,3,FALSE)</f>
        <v>Bennington</v>
      </c>
      <c r="D36" s="40" t="str">
        <f>VLOOKUP(A36,Registry!$A$4:$AA$241,4,FALSE)</f>
        <v>Pownal</v>
      </c>
      <c r="E36" s="40">
        <f>VLOOKUP(A36,Registry!$A$4:$AA$241,7,FALSE)</f>
        <v>1965</v>
      </c>
      <c r="F36" s="80" t="str">
        <f>IF(VLOOKUP(A36,Registry!$A$4:$AA$241,20,FALSE)=0,"",VLOOKUP(A36,Registry!$A$4:$AA$241,20,FALSE))</f>
        <v>For profit</v>
      </c>
      <c r="G36" s="40">
        <f>VLOOKUP(A36,Registry!$A$4:$AA$241,21,FALSE)</f>
        <v>15</v>
      </c>
      <c r="H36" s="112" t="s">
        <v>827</v>
      </c>
      <c r="I36" s="37">
        <v>21076</v>
      </c>
      <c r="J36" s="37" t="s">
        <v>1257</v>
      </c>
      <c r="K36" s="37"/>
      <c r="L36" s="37"/>
      <c r="M36" s="37"/>
      <c r="N36" s="37">
        <f>SUM(Table2[[#This Row],[Maximum Contamination Violations]:[Treatment Violations]])</f>
        <v>0</v>
      </c>
      <c r="O36" s="37" t="s">
        <v>823</v>
      </c>
      <c r="P36" s="37"/>
      <c r="Q36" s="37"/>
    </row>
    <row r="37" spans="1:17" x14ac:dyDescent="0.25">
      <c r="A37" s="38">
        <v>51</v>
      </c>
      <c r="B37" s="40" t="str">
        <f>VLOOKUP(A37,Registry!$A$4:$AA$241,2,FALSE)</f>
        <v>Cozy Meadow</v>
      </c>
      <c r="C37" s="40" t="str">
        <f>VLOOKUP(A37,Registry!$A$4:$AA$241,3,FALSE)</f>
        <v>Bennington</v>
      </c>
      <c r="D37" s="40" t="str">
        <f>VLOOKUP(A37,Registry!$A$4:$AA$241,4,FALSE)</f>
        <v>Pownal</v>
      </c>
      <c r="E37" s="40">
        <f>VLOOKUP(A37,Registry!$A$4:$AA$241,7,FALSE)</f>
        <v>1959</v>
      </c>
      <c r="F37" s="80" t="str">
        <f>IF(VLOOKUP(A37,Registry!$A$4:$AA$241,20,FALSE)=0,"",VLOOKUP(A37,Registry!$A$4:$AA$241,20,FALSE))</f>
        <v>For profit</v>
      </c>
      <c r="G37" s="40">
        <f>VLOOKUP(A37,Registry!$A$4:$AA$241,21,FALSE)</f>
        <v>43</v>
      </c>
      <c r="H37" s="43" t="s">
        <v>830</v>
      </c>
      <c r="I37" s="37">
        <v>5026</v>
      </c>
      <c r="J37" s="37" t="s">
        <v>852</v>
      </c>
      <c r="K37" s="37"/>
      <c r="L37" s="37"/>
      <c r="M37" s="37"/>
      <c r="N37" s="37">
        <f>SUM(Table2[[#This Row],[Maximum Contamination Violations]:[Treatment Violations]])</f>
        <v>0</v>
      </c>
      <c r="O37" s="37" t="s">
        <v>823</v>
      </c>
      <c r="P37" s="37"/>
      <c r="Q37" s="37"/>
    </row>
    <row r="38" spans="1:17" x14ac:dyDescent="0.25">
      <c r="A38" s="38">
        <v>53</v>
      </c>
      <c r="B38" s="40" t="str">
        <f>VLOOKUP(A38,Registry!$A$4:$AA$241,2,FALSE)</f>
        <v>Evergreen Mobile Home Park</v>
      </c>
      <c r="C38" s="40" t="str">
        <f>VLOOKUP(A38,Registry!$A$4:$AA$241,3,FALSE)</f>
        <v>Bennington</v>
      </c>
      <c r="D38" s="40" t="str">
        <f>VLOOKUP(A38,Registry!$A$4:$AA$241,4,FALSE)</f>
        <v>Pownal</v>
      </c>
      <c r="E38" s="40">
        <f>VLOOKUP(A38,Registry!$A$4:$AA$241,7,FALSE)</f>
        <v>1968</v>
      </c>
      <c r="F38" s="80" t="str">
        <f>IF(VLOOKUP(A38,Registry!$A$4:$AA$241,20,FALSE)=0,"",VLOOKUP(A38,Registry!$A$4:$AA$241,20,FALSE))</f>
        <v>For profit</v>
      </c>
      <c r="G38" s="40">
        <f>VLOOKUP(A38,Registry!$A$4:$AA$241,21,FALSE)</f>
        <v>19</v>
      </c>
      <c r="H38" s="43" t="s">
        <v>830</v>
      </c>
      <c r="I38" s="37">
        <v>5645</v>
      </c>
      <c r="J38" s="37" t="s">
        <v>844</v>
      </c>
      <c r="K38" s="37">
        <v>0</v>
      </c>
      <c r="L38" s="37">
        <v>1</v>
      </c>
      <c r="M38" s="37">
        <v>0</v>
      </c>
      <c r="N38" s="37">
        <f>SUM(Table2[[#This Row],[Maximum Contamination Violations]:[Treatment Violations]])</f>
        <v>1</v>
      </c>
      <c r="O38" s="37" t="s">
        <v>823</v>
      </c>
      <c r="P38" s="37"/>
      <c r="Q38" s="37"/>
    </row>
    <row r="39" spans="1:17" x14ac:dyDescent="0.25">
      <c r="A39" s="38">
        <v>6</v>
      </c>
      <c r="B39" s="40" t="str">
        <f>VLOOKUP(A39,Registry!$A$4:$AA$241,2,FALSE)</f>
        <v>Green Mountain Mobile Home Park</v>
      </c>
      <c r="C39" s="40" t="str">
        <f>VLOOKUP(A39,Registry!$A$4:$AA$241,3,FALSE)</f>
        <v>Bennington</v>
      </c>
      <c r="D39" s="40" t="str">
        <f>VLOOKUP(A39,Registry!$A$4:$AA$241,4,FALSE)</f>
        <v>Pownal</v>
      </c>
      <c r="E39" s="40">
        <f>VLOOKUP(A39,Registry!$A$4:$AA$241,7,FALSE)</f>
        <v>1964</v>
      </c>
      <c r="F39" s="80" t="str">
        <f>IF(VLOOKUP(A39,Registry!$A$4:$AA$241,20,FALSE)=0,"",VLOOKUP(A39,Registry!$A$4:$AA$241,20,FALSE))</f>
        <v>For profit</v>
      </c>
      <c r="G39" s="40">
        <f>VLOOKUP(A39,Registry!$A$4:$AA$241,21,FALSE)</f>
        <v>42</v>
      </c>
      <c r="H39" s="43" t="s">
        <v>827</v>
      </c>
      <c r="I39" s="37">
        <v>20723</v>
      </c>
      <c r="J39" s="37" t="s">
        <v>1257</v>
      </c>
      <c r="K39" s="37"/>
      <c r="L39" s="37"/>
      <c r="M39" s="37"/>
      <c r="N39" s="37">
        <f>SUM(Table2[[#This Row],[Maximum Contamination Violations]:[Treatment Violations]])</f>
        <v>0</v>
      </c>
      <c r="O39" s="37" t="s">
        <v>824</v>
      </c>
      <c r="P39" s="37"/>
      <c r="Q39" s="37"/>
    </row>
    <row r="40" spans="1:17" x14ac:dyDescent="0.25">
      <c r="A40" s="38">
        <v>294</v>
      </c>
      <c r="B40" s="40" t="str">
        <f>VLOOKUP(A40,Registry!$A$4:$AA$241,2,FALSE)</f>
        <v>Hillside Mobile Home Park</v>
      </c>
      <c r="C40" s="40" t="str">
        <f>VLOOKUP(A40,Registry!$A$4:$AA$241,3,FALSE)</f>
        <v>Bennington</v>
      </c>
      <c r="D40" s="40" t="str">
        <f>VLOOKUP(A40,Registry!$A$4:$AA$241,4,FALSE)</f>
        <v>Pownal</v>
      </c>
      <c r="E40" s="40">
        <f>VLOOKUP(A40,Registry!$A$4:$AA$241,7,FALSE)</f>
        <v>1969</v>
      </c>
      <c r="F40" s="80" t="str">
        <f>IF(VLOOKUP(A40,Registry!$A$4:$AA$241,20,FALSE)=0,"",VLOOKUP(A40,Registry!$A$4:$AA$241,20,FALSE))</f>
        <v>For profit</v>
      </c>
      <c r="G40" s="40">
        <f>VLOOKUP(A40,Registry!$A$4:$AA$241,21,FALSE)</f>
        <v>7</v>
      </c>
      <c r="H40" s="112" t="s">
        <v>1256</v>
      </c>
      <c r="I40" s="37"/>
      <c r="J40" s="37"/>
      <c r="K40" s="37"/>
      <c r="L40" s="37"/>
      <c r="M40" s="37"/>
      <c r="N40" s="37">
        <f>SUM(Table2[[#This Row],[Maximum Contamination Violations]:[Treatment Violations]])</f>
        <v>0</v>
      </c>
      <c r="O40" s="37" t="s">
        <v>824</v>
      </c>
      <c r="P40" s="37"/>
      <c r="Q40" s="37"/>
    </row>
    <row r="41" spans="1:17" x14ac:dyDescent="0.25">
      <c r="A41" s="38">
        <v>146</v>
      </c>
      <c r="B41" s="40" t="str">
        <f>VLOOKUP(A41,Registry!$A$4:$AA$241,2,FALSE)</f>
        <v>Pownal Estates MHP</v>
      </c>
      <c r="C41" s="40" t="str">
        <f>VLOOKUP(A41,Registry!$A$4:$AA$241,3,FALSE)</f>
        <v>Bennington</v>
      </c>
      <c r="D41" s="40" t="str">
        <f>VLOOKUP(A41,Registry!$A$4:$AA$241,4,FALSE)</f>
        <v>Pownal</v>
      </c>
      <c r="E41" s="40">
        <f>VLOOKUP(A41,Registry!$A$4:$AA$241,7,FALSE)</f>
        <v>1970</v>
      </c>
      <c r="F41" s="80" t="str">
        <f>IF(VLOOKUP(A41,Registry!$A$4:$AA$241,20,FALSE)=0,"",VLOOKUP(A41,Registry!$A$4:$AA$241,20,FALSE))</f>
        <v>For profit</v>
      </c>
      <c r="G41" s="40">
        <f>VLOOKUP(A41,Registry!$A$4:$AA$241,21,FALSE)</f>
        <v>56</v>
      </c>
      <c r="H41" s="43" t="s">
        <v>830</v>
      </c>
      <c r="I41" s="37">
        <v>5628</v>
      </c>
      <c r="J41" s="37" t="s">
        <v>895</v>
      </c>
      <c r="K41" s="37"/>
      <c r="L41" s="37"/>
      <c r="M41" s="37"/>
      <c r="N41" s="37">
        <f>SUM(Table2[[#This Row],[Maximum Contamination Violations]:[Treatment Violations]])</f>
        <v>0</v>
      </c>
      <c r="O41" s="37" t="s">
        <v>824</v>
      </c>
      <c r="P41" s="37" t="s">
        <v>903</v>
      </c>
      <c r="Q41" s="37"/>
    </row>
    <row r="42" spans="1:17" x14ac:dyDescent="0.25">
      <c r="A42" s="38">
        <v>52</v>
      </c>
      <c r="B42" s="40" t="str">
        <f>VLOOKUP(A42,Registry!$A$4:$AA$241,2,FALSE)</f>
        <v>Royal Pine Villa Mobile Home Court</v>
      </c>
      <c r="C42" s="40" t="str">
        <f>VLOOKUP(A42,Registry!$A$4:$AA$241,3,FALSE)</f>
        <v>Bennington</v>
      </c>
      <c r="D42" s="40" t="str">
        <f>VLOOKUP(A42,Registry!$A$4:$AA$241,4,FALSE)</f>
        <v>Pownal</v>
      </c>
      <c r="E42" s="40">
        <f>VLOOKUP(A42,Registry!$A$4:$AA$241,7,FALSE)</f>
        <v>1968</v>
      </c>
      <c r="F42" s="80" t="str">
        <f>IF(VLOOKUP(A42,Registry!$A$4:$AA$241,20,FALSE)=0,"",VLOOKUP(A42,Registry!$A$4:$AA$241,20,FALSE))</f>
        <v>For profit</v>
      </c>
      <c r="G42" s="40">
        <f>VLOOKUP(A42,Registry!$A$4:$AA$241,21,FALSE)</f>
        <v>36</v>
      </c>
      <c r="H42" s="43" t="s">
        <v>830</v>
      </c>
      <c r="I42" s="37">
        <v>5027</v>
      </c>
      <c r="J42" s="37" t="s">
        <v>853</v>
      </c>
      <c r="K42" s="37"/>
      <c r="L42" s="37"/>
      <c r="M42" s="37"/>
      <c r="N42" s="37">
        <f>SUM(Table2[[#This Row],[Maximum Contamination Violations]:[Treatment Violations]])</f>
        <v>0</v>
      </c>
      <c r="O42" s="37" t="s">
        <v>834</v>
      </c>
      <c r="P42" s="37"/>
      <c r="Q42" s="37"/>
    </row>
    <row r="43" spans="1:17" x14ac:dyDescent="0.25">
      <c r="A43" s="38">
        <v>55</v>
      </c>
      <c r="B43" s="40" t="str">
        <f>VLOOKUP(A43,Registry!$A$4:$AA$241,2,FALSE)</f>
        <v>Harrington Mobile Home Park</v>
      </c>
      <c r="C43" s="40" t="str">
        <f>VLOOKUP(A43,Registry!$A$4:$AA$241,3,FALSE)</f>
        <v>Bennington</v>
      </c>
      <c r="D43" s="40" t="str">
        <f>VLOOKUP(A43,Registry!$A$4:$AA$241,4,FALSE)</f>
        <v>Shaftsbury</v>
      </c>
      <c r="E43" s="40">
        <f>VLOOKUP(A43,Registry!$A$4:$AA$241,7,FALSE)</f>
        <v>1965</v>
      </c>
      <c r="F43" s="80" t="str">
        <f>IF(VLOOKUP(A43,Registry!$A$4:$AA$241,20,FALSE)=0,"",VLOOKUP(A43,Registry!$A$4:$AA$241,20,FALSE))</f>
        <v>For profit</v>
      </c>
      <c r="G43" s="40">
        <f>VLOOKUP(A43,Registry!$A$4:$AA$241,21,FALSE)</f>
        <v>9</v>
      </c>
      <c r="H43" s="43" t="s">
        <v>824</v>
      </c>
      <c r="I43" s="37"/>
      <c r="J43" s="37" t="s">
        <v>854</v>
      </c>
      <c r="K43" s="37"/>
      <c r="L43" s="37"/>
      <c r="M43" s="37"/>
      <c r="N43" s="37">
        <f>SUM(Table2[[#This Row],[Maximum Contamination Violations]:[Treatment Violations]])</f>
        <v>0</v>
      </c>
      <c r="O43" s="37" t="s">
        <v>834</v>
      </c>
      <c r="P43" s="37"/>
      <c r="Q43" s="37"/>
    </row>
    <row r="44" spans="1:17" x14ac:dyDescent="0.25">
      <c r="A44" s="38">
        <v>244</v>
      </c>
      <c r="B44" s="40" t="str">
        <f>VLOOKUP(A44,Registry!$A$4:$AA$241,2,FALSE)</f>
        <v>Smith's Mobile Home Park</v>
      </c>
      <c r="C44" s="40" t="str">
        <f>VLOOKUP(A44,Registry!$A$4:$AA$241,3,FALSE)</f>
        <v>Bennington</v>
      </c>
      <c r="D44" s="40" t="str">
        <f>VLOOKUP(A44,Registry!$A$4:$AA$241,4,FALSE)</f>
        <v>Woodford</v>
      </c>
      <c r="E44" s="40">
        <f>VLOOKUP(A44,Registry!$A$4:$AA$241,7,FALSE)</f>
        <v>1961</v>
      </c>
      <c r="F44" s="80" t="str">
        <f>IF(VLOOKUP(A44,Registry!$A$4:$AA$241,20,FALSE)=0,"",VLOOKUP(A44,Registry!$A$4:$AA$241,20,FALSE))</f>
        <v>For profit</v>
      </c>
      <c r="G44" s="40">
        <f>VLOOKUP(A44,Registry!$A$4:$AA$241,21,FALSE)</f>
        <v>16</v>
      </c>
      <c r="H44" s="112" t="s">
        <v>1256</v>
      </c>
      <c r="I44" s="37"/>
      <c r="J44" s="37" t="s">
        <v>1476</v>
      </c>
      <c r="K44" s="37"/>
      <c r="L44" s="37"/>
      <c r="M44" s="37"/>
      <c r="N44" s="37">
        <f>SUM(Table2[[#This Row],[Maximum Contamination Violations]:[Treatment Violations]])</f>
        <v>0</v>
      </c>
      <c r="O44" s="37" t="s">
        <v>836</v>
      </c>
      <c r="P44" s="37"/>
      <c r="Q44" s="37"/>
    </row>
    <row r="45" spans="1:17" x14ac:dyDescent="0.25">
      <c r="A45" s="38">
        <v>124</v>
      </c>
      <c r="B45" s="40" t="str">
        <f>VLOOKUP(A45,Registry!$A$4:$AA$241,2,FALSE)</f>
        <v>Glenwood Mobile Home Park</v>
      </c>
      <c r="C45" s="40" t="str">
        <f>VLOOKUP(A45,Registry!$A$4:$AA$241,3,FALSE)</f>
        <v>Caledonia</v>
      </c>
      <c r="D45" s="40" t="str">
        <f>VLOOKUP(A45,Registry!$A$4:$AA$241,4,FALSE)</f>
        <v>Burke</v>
      </c>
      <c r="E45" s="40">
        <f>VLOOKUP(A45,Registry!$A$4:$AA$241,7,FALSE)</f>
        <v>1973</v>
      </c>
      <c r="F45" s="80" t="str">
        <f>IF(VLOOKUP(A45,Registry!$A$4:$AA$241,20,FALSE)=0,"",VLOOKUP(A45,Registry!$A$4:$AA$241,20,FALSE))</f>
        <v>For profit</v>
      </c>
      <c r="G45" s="40">
        <f>VLOOKUP(A45,Registry!$A$4:$AA$241,21,FALSE)</f>
        <v>11</v>
      </c>
      <c r="H45" s="43"/>
      <c r="I45" s="37">
        <v>5464</v>
      </c>
      <c r="J45" s="37" t="s">
        <v>832</v>
      </c>
      <c r="K45" s="37"/>
      <c r="L45" s="37"/>
      <c r="M45" s="37"/>
      <c r="N45" s="37">
        <f>SUM(Table2[[#This Row],[Maximum Contamination Violations]:[Treatment Violations]])</f>
        <v>0</v>
      </c>
      <c r="O45" s="37"/>
      <c r="P45" s="37"/>
      <c r="Q45" s="37" t="s">
        <v>886</v>
      </c>
    </row>
    <row r="46" spans="1:17" x14ac:dyDescent="0.25">
      <c r="A46" s="38">
        <v>265</v>
      </c>
      <c r="B46" s="40" t="str">
        <f>VLOOKUP(A46,Registry!$A$4:$AA$241,2,FALSE)</f>
        <v>BCP MHP</v>
      </c>
      <c r="C46" s="40" t="str">
        <f>VLOOKUP(A46,Registry!$A$4:$AA$241,3,FALSE)</f>
        <v>Caledonia</v>
      </c>
      <c r="D46" s="40" t="str">
        <f>VLOOKUP(A46,Registry!$A$4:$AA$241,4,FALSE)</f>
        <v>Hardwick</v>
      </c>
      <c r="E46" s="40">
        <f>VLOOKUP(A46,Registry!$A$4:$AA$241,7,FALSE)</f>
        <v>1989</v>
      </c>
      <c r="F46" s="80" t="str">
        <f>IF(VLOOKUP(A46,Registry!$A$4:$AA$241,20,FALSE)=0,"",VLOOKUP(A46,Registry!$A$4:$AA$241,20,FALSE))</f>
        <v>For profit</v>
      </c>
      <c r="G46" s="40">
        <f>VLOOKUP(A46,Registry!$A$4:$AA$241,21,FALSE)</f>
        <v>7</v>
      </c>
      <c r="H46" s="43" t="s">
        <v>824</v>
      </c>
      <c r="I46" s="37"/>
      <c r="J46" s="37" t="s">
        <v>944</v>
      </c>
      <c r="K46" s="37"/>
      <c r="L46" s="37"/>
      <c r="M46" s="37"/>
      <c r="N46" s="37">
        <f>SUM(Table2[[#This Row],[Maximum Contamination Violations]:[Treatment Violations]])</f>
        <v>0</v>
      </c>
      <c r="O46" s="37"/>
      <c r="P46" s="37"/>
      <c r="Q46" s="37"/>
    </row>
    <row r="47" spans="1:17" x14ac:dyDescent="0.25">
      <c r="A47" s="38">
        <v>148</v>
      </c>
      <c r="B47" s="40" t="str">
        <f>VLOOKUP(A47,Registry!$A$4:$AA$241,2,FALSE)</f>
        <v>Evergreen Manor</v>
      </c>
      <c r="C47" s="40" t="str">
        <f>VLOOKUP(A47,Registry!$A$4:$AA$241,3,FALSE)</f>
        <v>Caledonia</v>
      </c>
      <c r="D47" s="40" t="str">
        <f>VLOOKUP(A47,Registry!$A$4:$AA$241,4,FALSE)</f>
        <v>Hardwick</v>
      </c>
      <c r="E47" s="40">
        <f>VLOOKUP(A47,Registry!$A$4:$AA$241,7,FALSE)</f>
        <v>1970</v>
      </c>
      <c r="F47" s="80" t="str">
        <f>IF(VLOOKUP(A47,Registry!$A$4:$AA$241,20,FALSE)=0,"",VLOOKUP(A47,Registry!$A$4:$AA$241,20,FALSE))</f>
        <v>Non-profit</v>
      </c>
      <c r="G47" s="40">
        <f>VLOOKUP(A47,Registry!$A$4:$AA$241,21,FALSE)</f>
        <v>32</v>
      </c>
      <c r="H47" s="43" t="s">
        <v>824</v>
      </c>
      <c r="I47" s="37"/>
      <c r="J47" s="37" t="s">
        <v>904</v>
      </c>
      <c r="K47" s="37"/>
      <c r="L47" s="37"/>
      <c r="M47" s="37"/>
      <c r="N47" s="37">
        <f>SUM(Table2[[#This Row],[Maximum Contamination Violations]:[Treatment Violations]])</f>
        <v>0</v>
      </c>
      <c r="O47" s="37" t="s">
        <v>824</v>
      </c>
      <c r="P47" s="37" t="s">
        <v>1252</v>
      </c>
      <c r="Q47" s="37" t="s">
        <v>1253</v>
      </c>
    </row>
    <row r="48" spans="1:17" x14ac:dyDescent="0.25">
      <c r="A48" s="38">
        <v>264</v>
      </c>
      <c r="B48" s="40" t="str">
        <f>VLOOKUP(A48,Registry!$A$4:$AA$241,2,FALSE)</f>
        <v>Strong's Mobile Home Park</v>
      </c>
      <c r="C48" s="40" t="str">
        <f>VLOOKUP(A48,Registry!$A$4:$AA$241,3,FALSE)</f>
        <v>Caledonia</v>
      </c>
      <c r="D48" s="40" t="str">
        <f>VLOOKUP(A48,Registry!$A$4:$AA$241,4,FALSE)</f>
        <v>Hardwick</v>
      </c>
      <c r="E48" s="40">
        <f>VLOOKUP(A48,Registry!$A$4:$AA$241,7,FALSE)</f>
        <v>1970</v>
      </c>
      <c r="F48" s="80" t="str">
        <f>IF(VLOOKUP(A48,Registry!$A$4:$AA$241,20,FALSE)=0,"",VLOOKUP(A48,Registry!$A$4:$AA$241,20,FALSE))</f>
        <v>For profit</v>
      </c>
      <c r="G48" s="40">
        <f>VLOOKUP(A48,Registry!$A$4:$AA$241,21,FALSE)</f>
        <v>3</v>
      </c>
      <c r="H48" s="43" t="s">
        <v>824</v>
      </c>
      <c r="I48" s="37"/>
      <c r="J48" s="37" t="s">
        <v>943</v>
      </c>
      <c r="K48" s="37"/>
      <c r="L48" s="37"/>
      <c r="M48" s="37"/>
      <c r="N48" s="37">
        <f>SUM(Table2[[#This Row],[Maximum Contamination Violations]:[Treatment Violations]])</f>
        <v>0</v>
      </c>
      <c r="O48" s="37" t="s">
        <v>823</v>
      </c>
      <c r="P48" s="37"/>
      <c r="Q48" s="37"/>
    </row>
    <row r="49" spans="1:17" x14ac:dyDescent="0.25">
      <c r="A49" s="38">
        <v>221</v>
      </c>
      <c r="B49" s="40" t="str">
        <f>VLOOKUP(A49,Registry!$A$4:$AA$241,2,FALSE)</f>
        <v>Maple Ridge Trailer Park</v>
      </c>
      <c r="C49" s="40" t="str">
        <f>VLOOKUP(A49,Registry!$A$4:$AA$241,3,FALSE)</f>
        <v>Caledonia</v>
      </c>
      <c r="D49" s="40" t="str">
        <f>VLOOKUP(A49,Registry!$A$4:$AA$241,4,FALSE)</f>
        <v>Lyndon</v>
      </c>
      <c r="E49" s="40">
        <f>VLOOKUP(A49,Registry!$A$4:$AA$241,7,FALSE)</f>
        <v>1974</v>
      </c>
      <c r="F49" s="80" t="str">
        <f>IF(VLOOKUP(A49,Registry!$A$4:$AA$241,20,FALSE)=0,"",VLOOKUP(A49,Registry!$A$4:$AA$241,20,FALSE))</f>
        <v>Non-profit</v>
      </c>
      <c r="G49" s="40">
        <f>VLOOKUP(A49,Registry!$A$4:$AA$241,21,FALSE)</f>
        <v>41</v>
      </c>
      <c r="H49" s="43" t="s">
        <v>824</v>
      </c>
      <c r="I49" s="37"/>
      <c r="J49" s="37" t="s">
        <v>919</v>
      </c>
      <c r="K49" s="37"/>
      <c r="L49" s="37"/>
      <c r="M49" s="37"/>
      <c r="N49" s="37">
        <f>SUM(Table2[[#This Row],[Maximum Contamination Violations]:[Treatment Violations]])</f>
        <v>0</v>
      </c>
      <c r="O49" s="37" t="s">
        <v>834</v>
      </c>
      <c r="P49" s="37" t="s">
        <v>1475</v>
      </c>
      <c r="Q49" s="37"/>
    </row>
    <row r="50" spans="1:17" x14ac:dyDescent="0.25">
      <c r="A50" s="38">
        <v>262</v>
      </c>
      <c r="B50" s="40" t="str">
        <f>VLOOKUP(A50,Registry!$A$4:$AA$241,2,FALSE)</f>
        <v>Northern Hill Estates</v>
      </c>
      <c r="C50" s="40" t="str">
        <f>VLOOKUP(A50,Registry!$A$4:$AA$241,3,FALSE)</f>
        <v>Caledonia</v>
      </c>
      <c r="D50" s="40" t="str">
        <f>VLOOKUP(A50,Registry!$A$4:$AA$241,4,FALSE)</f>
        <v>Lyndon</v>
      </c>
      <c r="E50" s="40">
        <f>VLOOKUP(A50,Registry!$A$4:$AA$241,7,FALSE)</f>
        <v>1982</v>
      </c>
      <c r="F50" s="80" t="str">
        <f>IF(VLOOKUP(A50,Registry!$A$4:$AA$241,20,FALSE)=0,"",VLOOKUP(A50,Registry!$A$4:$AA$241,20,FALSE))</f>
        <v>For profit</v>
      </c>
      <c r="G50" s="40">
        <f>VLOOKUP(A50,Registry!$A$4:$AA$241,21,FALSE)</f>
        <v>29</v>
      </c>
      <c r="H50" s="43" t="s">
        <v>824</v>
      </c>
      <c r="I50" s="37"/>
      <c r="J50" s="37" t="s">
        <v>919</v>
      </c>
      <c r="K50" s="37"/>
      <c r="L50" s="37"/>
      <c r="M50" s="37"/>
      <c r="N50" s="37">
        <f>SUM(Table2[[#This Row],[Maximum Contamination Violations]:[Treatment Violations]])</f>
        <v>0</v>
      </c>
      <c r="O50" s="37" t="s">
        <v>824</v>
      </c>
      <c r="P50" s="37"/>
      <c r="Q50" s="100"/>
    </row>
    <row r="51" spans="1:17" x14ac:dyDescent="0.25">
      <c r="A51" s="38">
        <v>196</v>
      </c>
      <c r="B51" s="40" t="str">
        <f>VLOOKUP(A51,Registry!$A$4:$AA$241,2,FALSE)</f>
        <v>Riverview Estates</v>
      </c>
      <c r="C51" s="40" t="str">
        <f>VLOOKUP(A51,Registry!$A$4:$AA$241,3,FALSE)</f>
        <v>Caledonia</v>
      </c>
      <c r="D51" s="40" t="str">
        <f>VLOOKUP(A51,Registry!$A$4:$AA$241,4,FALSE)</f>
        <v>Lyndon</v>
      </c>
      <c r="E51" s="40">
        <f>VLOOKUP(A51,Registry!$A$4:$AA$241,7,FALSE)</f>
        <v>1957</v>
      </c>
      <c r="F51" s="80" t="str">
        <f>IF(VLOOKUP(A51,Registry!$A$4:$AA$241,20,FALSE)=0,"",VLOOKUP(A51,Registry!$A$4:$AA$241,20,FALSE))</f>
        <v>For profit</v>
      </c>
      <c r="G51" s="40">
        <f>VLOOKUP(A51,Registry!$A$4:$AA$241,21,FALSE)</f>
        <v>34</v>
      </c>
      <c r="H51" s="43" t="s">
        <v>824</v>
      </c>
      <c r="I51" s="37"/>
      <c r="J51" s="37" t="s">
        <v>919</v>
      </c>
      <c r="K51" s="37">
        <v>0</v>
      </c>
      <c r="L51" s="37">
        <v>1</v>
      </c>
      <c r="M51" s="37">
        <v>0</v>
      </c>
      <c r="N51" s="37">
        <f>SUM(Table2[[#This Row],[Maximum Contamination Violations]:[Treatment Violations]])</f>
        <v>1</v>
      </c>
      <c r="O51" s="37" t="s">
        <v>824</v>
      </c>
      <c r="P51" s="37" t="s">
        <v>1224</v>
      </c>
      <c r="Q51" s="37"/>
    </row>
    <row r="52" spans="1:17" x14ac:dyDescent="0.25">
      <c r="A52" s="38">
        <v>260</v>
      </c>
      <c r="B52" s="40" t="str">
        <f>VLOOKUP(A52,Registry!$A$4:$AA$241,2,FALSE)</f>
        <v>Woodland Heights Mobile Home Park</v>
      </c>
      <c r="C52" s="40" t="str">
        <f>VLOOKUP(A52,Registry!$A$4:$AA$241,3,FALSE)</f>
        <v>Caledonia</v>
      </c>
      <c r="D52" s="40" t="str">
        <f>VLOOKUP(A52,Registry!$A$4:$AA$241,4,FALSE)</f>
        <v>Lyndon</v>
      </c>
      <c r="E52" s="40">
        <f>VLOOKUP(A52,Registry!$A$4:$AA$241,7,FALSE)</f>
        <v>1989</v>
      </c>
      <c r="F52" s="80" t="str">
        <f>IF(VLOOKUP(A52,Registry!$A$4:$AA$241,20,FALSE)=0,"",VLOOKUP(A52,Registry!$A$4:$AA$241,20,FALSE))</f>
        <v>For profit</v>
      </c>
      <c r="G52" s="40">
        <f>VLOOKUP(A52,Registry!$A$4:$AA$241,21,FALSE)</f>
        <v>34</v>
      </c>
      <c r="H52" s="43" t="s">
        <v>824</v>
      </c>
      <c r="I52" s="37"/>
      <c r="J52" s="37" t="s">
        <v>919</v>
      </c>
      <c r="K52" s="37"/>
      <c r="L52" s="37"/>
      <c r="M52" s="37"/>
      <c r="N52" s="37">
        <f>SUM(Table2[[#This Row],[Maximum Contamination Violations]:[Treatment Violations]])</f>
        <v>0</v>
      </c>
      <c r="O52" s="37" t="s">
        <v>824</v>
      </c>
      <c r="P52" s="37" t="s">
        <v>1220</v>
      </c>
      <c r="Q52" s="37" t="s">
        <v>942</v>
      </c>
    </row>
    <row r="53" spans="1:17" x14ac:dyDescent="0.25">
      <c r="A53" s="38">
        <v>123</v>
      </c>
      <c r="B53" s="40" t="str">
        <f>VLOOKUP(A53,Registry!$A$4:$AA$241,2,FALSE)</f>
        <v>Green Lantern Mobile Home Park</v>
      </c>
      <c r="C53" s="40" t="str">
        <f>VLOOKUP(A53,Registry!$A$4:$AA$241,3,FALSE)</f>
        <v>Caledonia</v>
      </c>
      <c r="D53" s="40" t="str">
        <f>VLOOKUP(A53,Registry!$A$4:$AA$241,4,FALSE)</f>
        <v>St. Johnsbury</v>
      </c>
      <c r="E53" s="40">
        <f>VLOOKUP(A53,Registry!$A$4:$AA$241,7,FALSE)</f>
        <v>1955</v>
      </c>
      <c r="F53" s="80" t="str">
        <f>IF(VLOOKUP(A53,Registry!$A$4:$AA$241,20,FALSE)=0,"",VLOOKUP(A53,Registry!$A$4:$AA$241,20,FALSE))</f>
        <v>For profit</v>
      </c>
      <c r="G53" s="40">
        <f>VLOOKUP(A53,Registry!$A$4:$AA$241,21,FALSE)</f>
        <v>54</v>
      </c>
      <c r="H53" s="43" t="s">
        <v>827</v>
      </c>
      <c r="I53" s="37">
        <v>20820</v>
      </c>
      <c r="J53" s="37"/>
      <c r="K53" s="37"/>
      <c r="L53" s="37"/>
      <c r="M53" s="37"/>
      <c r="N53" s="37">
        <f>SUM(Table2[[#This Row],[Maximum Contamination Violations]:[Treatment Violations]])</f>
        <v>0</v>
      </c>
      <c r="O53" s="37" t="s">
        <v>834</v>
      </c>
      <c r="P53" s="37"/>
      <c r="Q53" s="37"/>
    </row>
    <row r="54" spans="1:17" x14ac:dyDescent="0.25">
      <c r="A54" s="38">
        <v>189</v>
      </c>
      <c r="B54" s="40" t="str">
        <f>VLOOKUP(A54,Registry!$A$4:$AA$241,2,FALSE)</f>
        <v>McGill Avenue MHP</v>
      </c>
      <c r="C54" s="40" t="str">
        <f>VLOOKUP(A54,Registry!$A$4:$AA$241,3,FALSE)</f>
        <v>Caledonia</v>
      </c>
      <c r="D54" s="40" t="str">
        <f>VLOOKUP(A54,Registry!$A$4:$AA$241,4,FALSE)</f>
        <v>St. Johnsbury</v>
      </c>
      <c r="E54" s="40">
        <f>VLOOKUP(A54,Registry!$A$4:$AA$241,7,FALSE)</f>
        <v>1955</v>
      </c>
      <c r="F54" s="80" t="str">
        <f>IF(VLOOKUP(A54,Registry!$A$4:$AA$241,20,FALSE)=0,"",VLOOKUP(A54,Registry!$A$4:$AA$241,20,FALSE))</f>
        <v>For profit</v>
      </c>
      <c r="G54" s="40">
        <f>VLOOKUP(A54,Registry!$A$4:$AA$241,21,FALSE)</f>
        <v>10</v>
      </c>
      <c r="H54" s="43" t="s">
        <v>824</v>
      </c>
      <c r="I54" s="37"/>
      <c r="J54" s="37" t="s">
        <v>920</v>
      </c>
      <c r="K54" s="37"/>
      <c r="L54" s="37"/>
      <c r="M54" s="37"/>
      <c r="N54" s="37">
        <f>SUM(Table2[[#This Row],[Maximum Contamination Violations]:[Treatment Violations]])</f>
        <v>0</v>
      </c>
      <c r="O54" s="37" t="s">
        <v>824</v>
      </c>
      <c r="P54" s="37"/>
      <c r="Q54" s="37"/>
    </row>
    <row r="55" spans="1:17" x14ac:dyDescent="0.25">
      <c r="A55" s="38">
        <v>198</v>
      </c>
      <c r="B55" s="40" t="str">
        <f>VLOOKUP(A55,Registry!$A$4:$AA$241,2,FALSE)</f>
        <v>MT Pleasant MHP, LLC</v>
      </c>
      <c r="C55" s="40" t="str">
        <f>VLOOKUP(A55,Registry!$A$4:$AA$241,3,FALSE)</f>
        <v>Caledonia</v>
      </c>
      <c r="D55" s="40" t="str">
        <f>VLOOKUP(A55,Registry!$A$4:$AA$241,4,FALSE)</f>
        <v>St. Johnsbury</v>
      </c>
      <c r="E55" s="40">
        <f>VLOOKUP(A55,Registry!$A$4:$AA$241,7,FALSE)</f>
        <v>1982</v>
      </c>
      <c r="F55" s="80" t="str">
        <f>IF(VLOOKUP(A55,Registry!$A$4:$AA$241,20,FALSE)=0,"",VLOOKUP(A55,Registry!$A$4:$AA$241,20,FALSE))</f>
        <v>For profit</v>
      </c>
      <c r="G55" s="40">
        <f>VLOOKUP(A55,Registry!$A$4:$AA$241,21,FALSE)</f>
        <v>91</v>
      </c>
      <c r="H55" s="43" t="s">
        <v>824</v>
      </c>
      <c r="I55" s="37"/>
      <c r="J55" s="37" t="s">
        <v>920</v>
      </c>
      <c r="K55" s="37"/>
      <c r="L55" s="37"/>
      <c r="M55" s="37"/>
      <c r="N55" s="37">
        <f>SUM(Table2[[#This Row],[Maximum Contamination Violations]:[Treatment Violations]])</f>
        <v>0</v>
      </c>
      <c r="O55" s="37" t="s">
        <v>824</v>
      </c>
      <c r="P55" s="37" t="s">
        <v>921</v>
      </c>
      <c r="Q55" s="37" t="s">
        <v>922</v>
      </c>
    </row>
    <row r="56" spans="1:17" x14ac:dyDescent="0.25">
      <c r="A56" s="38">
        <v>125</v>
      </c>
      <c r="B56" s="40" t="str">
        <f>VLOOKUP(A56,Registry!$A$4:$AA$241,2,FALSE)</f>
        <v>Oak Street Mobile Home Park</v>
      </c>
      <c r="C56" s="40" t="str">
        <f>VLOOKUP(A56,Registry!$A$4:$AA$241,3,FALSE)</f>
        <v>Caledonia</v>
      </c>
      <c r="D56" s="40" t="str">
        <f>VLOOKUP(A56,Registry!$A$4:$AA$241,4,FALSE)</f>
        <v>St. Johnsbury</v>
      </c>
      <c r="E56" s="40">
        <f>VLOOKUP(A56,Registry!$A$4:$AA$241,7,FALSE)</f>
        <v>1956</v>
      </c>
      <c r="F56" s="80" t="str">
        <f>IF(VLOOKUP(A56,Registry!$A$4:$AA$241,20,FALSE)=0,"",VLOOKUP(A56,Registry!$A$4:$AA$241,20,FALSE))</f>
        <v>For profit</v>
      </c>
      <c r="G56" s="40">
        <f>VLOOKUP(A56,Registry!$A$4:$AA$241,21,FALSE)</f>
        <v>8</v>
      </c>
      <c r="H56" s="43" t="s">
        <v>824</v>
      </c>
      <c r="I56" s="37"/>
      <c r="J56" s="37" t="s">
        <v>920</v>
      </c>
      <c r="K56" s="37"/>
      <c r="L56" s="37"/>
      <c r="M56" s="37"/>
      <c r="N56" s="37">
        <f>SUM(Table2[[#This Row],[Maximum Contamination Violations]:[Treatment Violations]])</f>
        <v>0</v>
      </c>
      <c r="O56" s="37" t="s">
        <v>824</v>
      </c>
      <c r="P56" s="37"/>
      <c r="Q56" s="37"/>
    </row>
    <row r="57" spans="1:17" x14ac:dyDescent="0.25">
      <c r="A57" s="38">
        <v>138</v>
      </c>
      <c r="B57" s="40" t="str">
        <f>VLOOKUP(A57,Registry!$A$4:$AA$241,2,FALSE)</f>
        <v>Fernwood Manor</v>
      </c>
      <c r="C57" s="40" t="str">
        <f>VLOOKUP(A57,Registry!$A$4:$AA$241,3,FALSE)</f>
        <v>Chittenden</v>
      </c>
      <c r="D57" s="40" t="str">
        <f>VLOOKUP(A57,Registry!$A$4:$AA$241,4,FALSE)</f>
        <v>Bolton</v>
      </c>
      <c r="E57" s="40">
        <f>VLOOKUP(A57,Registry!$A$4:$AA$241,7,FALSE)</f>
        <v>1978</v>
      </c>
      <c r="F57" s="80" t="str">
        <f>IF(VLOOKUP(A57,Registry!$A$4:$AA$241,20,FALSE)=0,"",VLOOKUP(A57,Registry!$A$4:$AA$241,20,FALSE))</f>
        <v>Non-profit</v>
      </c>
      <c r="G57" s="40">
        <f>VLOOKUP(A57,Registry!$A$4:$AA$241,21,FALSE)</f>
        <v>78</v>
      </c>
      <c r="H57" s="43" t="s">
        <v>830</v>
      </c>
      <c r="I57" s="37">
        <v>5052</v>
      </c>
      <c r="J57" s="37" t="s">
        <v>895</v>
      </c>
      <c r="K57" s="37"/>
      <c r="L57" s="37"/>
      <c r="M57" s="37"/>
      <c r="N57" s="37">
        <f>SUM(Table2[[#This Row],[Maximum Contamination Violations]:[Treatment Violations]])</f>
        <v>0</v>
      </c>
      <c r="O57" s="37" t="s">
        <v>823</v>
      </c>
      <c r="P57" s="37" t="s">
        <v>896</v>
      </c>
      <c r="Q57" s="37" t="s">
        <v>897</v>
      </c>
    </row>
    <row r="58" spans="1:17" x14ac:dyDescent="0.25">
      <c r="A58" s="38">
        <v>68</v>
      </c>
      <c r="B58" s="40" t="str">
        <f>VLOOKUP(A58,Registry!$A$4:$AA$241,2,FALSE)</f>
        <v>North Avenue Co-op</v>
      </c>
      <c r="C58" s="40" t="str">
        <f>VLOOKUP(A58,Registry!$A$4:$AA$241,3,FALSE)</f>
        <v>Chittenden</v>
      </c>
      <c r="D58" s="40" t="str">
        <f>VLOOKUP(A58,Registry!$A$4:$AA$241,4,FALSE)</f>
        <v>Burlington</v>
      </c>
      <c r="E58" s="40">
        <f>VLOOKUP(A58,Registry!$A$4:$AA$241,7,FALSE)</f>
        <v>1923</v>
      </c>
      <c r="F58" s="80" t="str">
        <f>IF(VLOOKUP(A58,Registry!$A$4:$AA$241,20,FALSE)=0,"",VLOOKUP(A58,Registry!$A$4:$AA$241,20,FALSE))</f>
        <v>Cooperative</v>
      </c>
      <c r="G58" s="40">
        <f>VLOOKUP(A58,Registry!$A$4:$AA$241,21,FALSE)</f>
        <v>119</v>
      </c>
      <c r="H58" s="43" t="s">
        <v>827</v>
      </c>
      <c r="I58" s="37">
        <v>21071</v>
      </c>
      <c r="J58" s="37" t="s">
        <v>860</v>
      </c>
      <c r="K58" s="37"/>
      <c r="L58" s="37"/>
      <c r="M58" s="37"/>
      <c r="N58" s="37">
        <f>SUM(Table2[[#This Row],[Maximum Contamination Violations]:[Treatment Violations]])</f>
        <v>0</v>
      </c>
      <c r="O58" s="37" t="s">
        <v>824</v>
      </c>
      <c r="P58" s="37"/>
      <c r="Q58" s="37"/>
    </row>
    <row r="59" spans="1:17" x14ac:dyDescent="0.25">
      <c r="A59" s="38">
        <v>89</v>
      </c>
      <c r="B59" s="40" t="str">
        <f>VLOOKUP(A59,Registry!$A$4:$AA$241,2,FALSE)</f>
        <v>Tenney Mobile Home Park</v>
      </c>
      <c r="C59" s="40" t="str">
        <f>VLOOKUP(A59,Registry!$A$4:$AA$241,3,FALSE)</f>
        <v>Chittenden</v>
      </c>
      <c r="D59" s="40" t="str">
        <f>VLOOKUP(A59,Registry!$A$4:$AA$241,4,FALSE)</f>
        <v>Charlotte</v>
      </c>
      <c r="E59" s="40">
        <f>VLOOKUP(A59,Registry!$A$4:$AA$241,7,FALSE)</f>
        <v>1966</v>
      </c>
      <c r="F59" s="80" t="str">
        <f>IF(VLOOKUP(A59,Registry!$A$4:$AA$241,20,FALSE)=0,"",VLOOKUP(A59,Registry!$A$4:$AA$241,20,FALSE))</f>
        <v>For profit</v>
      </c>
      <c r="G59" s="40">
        <f>VLOOKUP(A59,Registry!$A$4:$AA$241,21,FALSE)</f>
        <v>7</v>
      </c>
      <c r="H59" s="112" t="s">
        <v>1256</v>
      </c>
      <c r="I59" s="37"/>
      <c r="J59" s="37" t="s">
        <v>546</v>
      </c>
      <c r="K59" s="37"/>
      <c r="L59" s="37"/>
      <c r="M59" s="37"/>
      <c r="N59" s="37">
        <f>SUM(Table2[[#This Row],[Maximum Contamination Violations]:[Treatment Violations]])</f>
        <v>0</v>
      </c>
      <c r="O59" s="37" t="s">
        <v>836</v>
      </c>
      <c r="P59" s="37"/>
      <c r="Q59" s="37"/>
    </row>
    <row r="60" spans="1:17" x14ac:dyDescent="0.25">
      <c r="A60" s="38">
        <v>256</v>
      </c>
      <c r="B60" s="40" t="str">
        <f>VLOOKUP(A60,Registry!$A$4:$AA$241,2,FALSE)</f>
        <v>Breezy Acres Cooperative</v>
      </c>
      <c r="C60" s="40" t="str">
        <f>VLOOKUP(A60,Registry!$A$4:$AA$241,3,FALSE)</f>
        <v>Chittenden</v>
      </c>
      <c r="D60" s="40" t="str">
        <f>VLOOKUP(A60,Registry!$A$4:$AA$241,4,FALSE)</f>
        <v>Colchester</v>
      </c>
      <c r="E60" s="40">
        <f>VLOOKUP(A60,Registry!$A$4:$AA$241,7,FALSE)</f>
        <v>1962</v>
      </c>
      <c r="F60" s="80" t="str">
        <f>IF(VLOOKUP(A60,Registry!$A$4:$AA$241,20,FALSE)=0,"",VLOOKUP(A60,Registry!$A$4:$AA$241,20,FALSE))</f>
        <v>Cooperative</v>
      </c>
      <c r="G60" s="40">
        <f>VLOOKUP(A60,Registry!$A$4:$AA$241,21,FALSE)</f>
        <v>196</v>
      </c>
      <c r="H60" s="43" t="s">
        <v>824</v>
      </c>
      <c r="I60" s="37"/>
      <c r="J60" s="37" t="s">
        <v>1461</v>
      </c>
      <c r="K60" s="37"/>
      <c r="L60" s="37"/>
      <c r="M60" s="37"/>
      <c r="N60" s="37">
        <f>SUM(Table2[[#This Row],[Maximum Contamination Violations]:[Treatment Violations]])</f>
        <v>0</v>
      </c>
      <c r="O60" s="37"/>
      <c r="P60" s="37"/>
      <c r="Q60" s="37"/>
    </row>
    <row r="61" spans="1:17" x14ac:dyDescent="0.25">
      <c r="A61" s="38">
        <v>253</v>
      </c>
      <c r="B61" s="40" t="str">
        <f>VLOOKUP(A61,Registry!$A$4:$AA$241,2,FALSE)</f>
        <v>Hillcrest Resident Owned Community</v>
      </c>
      <c r="C61" s="40" t="str">
        <f>VLOOKUP(A61,Registry!$A$4:$AA$241,3,FALSE)</f>
        <v>Chittenden</v>
      </c>
      <c r="D61" s="40" t="str">
        <f>VLOOKUP(A61,Registry!$A$4:$AA$241,4,FALSE)</f>
        <v>Colchester</v>
      </c>
      <c r="E61" s="40">
        <f>VLOOKUP(A61,Registry!$A$4:$AA$241,7,FALSE)</f>
        <v>1965</v>
      </c>
      <c r="F61" s="80" t="str">
        <f>IF(VLOOKUP(A61,Registry!$A$4:$AA$241,20,FALSE)=0,"",VLOOKUP(A61,Registry!$A$4:$AA$241,20,FALSE))</f>
        <v>Cooperative</v>
      </c>
      <c r="G61" s="40">
        <f>VLOOKUP(A61,Registry!$A$4:$AA$241,21,FALSE)</f>
        <v>44</v>
      </c>
      <c r="H61" s="43" t="s">
        <v>827</v>
      </c>
      <c r="I61" s="37">
        <v>5057</v>
      </c>
      <c r="J61" s="37"/>
      <c r="K61" s="37"/>
      <c r="L61" s="37"/>
      <c r="M61" s="37"/>
      <c r="N61" s="37">
        <f>SUM(Table2[[#This Row],[Maximum Contamination Violations]:[Treatment Violations]])</f>
        <v>0</v>
      </c>
      <c r="O61" s="37" t="s">
        <v>836</v>
      </c>
      <c r="P61" s="37" t="s">
        <v>938</v>
      </c>
      <c r="Q61" s="37"/>
    </row>
    <row r="62" spans="1:17" x14ac:dyDescent="0.25">
      <c r="A62" s="38">
        <v>27</v>
      </c>
      <c r="B62" s="40" t="str">
        <f>VLOOKUP(A62,Registry!$A$4:$AA$241,2,FALSE)</f>
        <v>Westbury Park</v>
      </c>
      <c r="C62" s="40" t="str">
        <f>VLOOKUP(A62,Registry!$A$4:$AA$241,3,FALSE)</f>
        <v>Chittenden</v>
      </c>
      <c r="D62" s="40" t="str">
        <f>VLOOKUP(A62,Registry!$A$4:$AA$241,4,FALSE)</f>
        <v>Colchester</v>
      </c>
      <c r="E62" s="40">
        <f>VLOOKUP(A62,Registry!$A$4:$AA$241,7,FALSE)</f>
        <v>1972</v>
      </c>
      <c r="F62" s="80" t="str">
        <f>IF(VLOOKUP(A62,Registry!$A$4:$AA$241,20,FALSE)=0,"",VLOOKUP(A62,Registry!$A$4:$AA$241,20,FALSE))</f>
        <v>Cooperative</v>
      </c>
      <c r="G62" s="40">
        <f>VLOOKUP(A62,Registry!$A$4:$AA$241,21,FALSE)</f>
        <v>250</v>
      </c>
      <c r="H62" s="43" t="s">
        <v>827</v>
      </c>
      <c r="I62" s="37">
        <v>20466</v>
      </c>
      <c r="J62" s="37" t="s">
        <v>1461</v>
      </c>
      <c r="K62" s="37">
        <v>0</v>
      </c>
      <c r="L62" s="37">
        <v>3</v>
      </c>
      <c r="M62" s="37">
        <v>0</v>
      </c>
      <c r="N62" s="37">
        <f>SUM(Table2[[#This Row],[Maximum Contamination Violations]:[Treatment Violations]])</f>
        <v>3</v>
      </c>
      <c r="O62" s="37" t="s">
        <v>836</v>
      </c>
      <c r="P62" s="37" t="s">
        <v>840</v>
      </c>
      <c r="Q62" s="37" t="s">
        <v>841</v>
      </c>
    </row>
    <row r="63" spans="1:17" x14ac:dyDescent="0.25">
      <c r="A63" s="38">
        <v>144</v>
      </c>
      <c r="B63" s="40" t="str">
        <f>VLOOKUP(A63,Registry!$A$4:$AA$241,2,FALSE)</f>
        <v>Windemere Estates</v>
      </c>
      <c r="C63" s="40" t="str">
        <f>VLOOKUP(A63,Registry!$A$4:$AA$241,3,FALSE)</f>
        <v>Chittenden</v>
      </c>
      <c r="D63" s="40" t="str">
        <f>VLOOKUP(A63,Registry!$A$4:$AA$241,4,FALSE)</f>
        <v>Colchester</v>
      </c>
      <c r="E63" s="40">
        <f>VLOOKUP(A63,Registry!$A$4:$AA$241,7,FALSE)</f>
        <v>0</v>
      </c>
      <c r="F63" s="80" t="str">
        <f>IF(VLOOKUP(A63,Registry!$A$4:$AA$241,20,FALSE)=0,"",VLOOKUP(A63,Registry!$A$4:$AA$241,20,FALSE))</f>
        <v>Non-profit</v>
      </c>
      <c r="G63" s="40">
        <f>VLOOKUP(A63,Registry!$A$4:$AA$241,21,FALSE)</f>
        <v>83</v>
      </c>
      <c r="H63" s="43" t="s">
        <v>827</v>
      </c>
      <c r="I63" s="37">
        <v>20551</v>
      </c>
      <c r="J63" s="37" t="s">
        <v>1460</v>
      </c>
      <c r="K63" s="37"/>
      <c r="L63" s="37"/>
      <c r="M63" s="37"/>
      <c r="N63" s="37">
        <f>SUM(Table2[[#This Row],[Maximum Contamination Violations]:[Treatment Violations]])</f>
        <v>0</v>
      </c>
      <c r="O63" s="37" t="s">
        <v>824</v>
      </c>
      <c r="P63" s="37"/>
      <c r="Q63" s="37"/>
    </row>
    <row r="64" spans="1:17" x14ac:dyDescent="0.25">
      <c r="A64" s="38">
        <v>81</v>
      </c>
      <c r="B64" s="40" t="str">
        <f>VLOOKUP(A64,Registry!$A$4:$AA$241,2,FALSE)</f>
        <v>Woodland Shores Park RLLP</v>
      </c>
      <c r="C64" s="40" t="str">
        <f>VLOOKUP(A64,Registry!$A$4:$AA$241,3,FALSE)</f>
        <v>Chittenden</v>
      </c>
      <c r="D64" s="40" t="str">
        <f>VLOOKUP(A64,Registry!$A$4:$AA$241,4,FALSE)</f>
        <v>Colchester</v>
      </c>
      <c r="E64" s="40">
        <f>VLOOKUP(A64,Registry!$A$4:$AA$241,7,FALSE)</f>
        <v>1952</v>
      </c>
      <c r="F64" s="80" t="str">
        <f>IF(VLOOKUP(A64,Registry!$A$4:$AA$241,20,FALSE)=0,"",VLOOKUP(A64,Registry!$A$4:$AA$241,20,FALSE))</f>
        <v>For profit</v>
      </c>
      <c r="G64" s="40">
        <f>VLOOKUP(A64,Registry!$A$4:$AA$241,21,FALSE)</f>
        <v>56</v>
      </c>
      <c r="H64" s="43" t="s">
        <v>824</v>
      </c>
      <c r="I64" s="37"/>
      <c r="J64" s="37" t="s">
        <v>1472</v>
      </c>
      <c r="K64" s="37"/>
      <c r="L64" s="37"/>
      <c r="M64" s="37"/>
      <c r="N64" s="37">
        <f>SUM(Table2[[#This Row],[Maximum Contamination Violations]:[Treatment Violations]])</f>
        <v>0</v>
      </c>
      <c r="O64" s="37" t="s">
        <v>836</v>
      </c>
      <c r="P64" s="37"/>
      <c r="Q64" s="37"/>
    </row>
    <row r="65" spans="1:17" x14ac:dyDescent="0.25">
      <c r="A65" s="38">
        <v>79</v>
      </c>
      <c r="B65" s="40" t="str">
        <f>VLOOKUP(A65,Registry!$A$4:$AA$241,2,FALSE)</f>
        <v>River Hill Mobile Home Park</v>
      </c>
      <c r="C65" s="40" t="str">
        <f>VLOOKUP(A65,Registry!$A$4:$AA$241,3,FALSE)</f>
        <v>Chittenden</v>
      </c>
      <c r="D65" s="40" t="str">
        <f>VLOOKUP(A65,Registry!$A$4:$AA$241,4,FALSE)</f>
        <v>Essex</v>
      </c>
      <c r="E65" s="40">
        <f>VLOOKUP(A65,Registry!$A$4:$AA$241,7,FALSE)</f>
        <v>1965</v>
      </c>
      <c r="F65" s="80" t="str">
        <f>IF(VLOOKUP(A65,Registry!$A$4:$AA$241,20,FALSE)=0,"",VLOOKUP(A65,Registry!$A$4:$AA$241,20,FALSE))</f>
        <v>For profit</v>
      </c>
      <c r="G65" s="40">
        <f>VLOOKUP(A65,Registry!$A$4:$AA$241,21,FALSE)</f>
        <v>15</v>
      </c>
      <c r="H65" s="43" t="s">
        <v>824</v>
      </c>
      <c r="I65" s="37"/>
      <c r="J65" s="37" t="s">
        <v>1317</v>
      </c>
      <c r="K65" s="37"/>
      <c r="L65" s="37"/>
      <c r="M65" s="37"/>
      <c r="N65" s="37">
        <f>SUM(Table2[[#This Row],[Maximum Contamination Violations]:[Treatment Violations]])</f>
        <v>0</v>
      </c>
      <c r="O65" s="37" t="s">
        <v>824</v>
      </c>
      <c r="P65" s="37"/>
      <c r="Q65" s="37"/>
    </row>
    <row r="66" spans="1:17" x14ac:dyDescent="0.25">
      <c r="A66" s="38">
        <v>139</v>
      </c>
      <c r="B66" s="40" t="str">
        <f>VLOOKUP(A66,Registry!$A$4:$AA$241,2,FALSE)</f>
        <v>Mountain View Mobile Home Park</v>
      </c>
      <c r="C66" s="40" t="str">
        <f>VLOOKUP(A66,Registry!$A$4:$AA$241,3,FALSE)</f>
        <v>Chittenden</v>
      </c>
      <c r="D66" s="40" t="str">
        <f>VLOOKUP(A66,Registry!$A$4:$AA$241,4,FALSE)</f>
        <v>Hinesburg</v>
      </c>
      <c r="E66" s="40">
        <f>VLOOKUP(A66,Registry!$A$4:$AA$241,7,FALSE)</f>
        <v>1968</v>
      </c>
      <c r="F66" s="80" t="str">
        <f>IF(VLOOKUP(A66,Registry!$A$4:$AA$241,20,FALSE)=0,"",VLOOKUP(A66,Registry!$A$4:$AA$241,20,FALSE))</f>
        <v>Non-profit</v>
      </c>
      <c r="G66" s="40">
        <f>VLOOKUP(A66,Registry!$A$4:$AA$241,21,FALSE)</f>
        <v>52</v>
      </c>
      <c r="H66" s="43" t="s">
        <v>824</v>
      </c>
      <c r="I66" s="37"/>
      <c r="J66" s="37" t="s">
        <v>871</v>
      </c>
      <c r="K66" s="37"/>
      <c r="L66" s="37"/>
      <c r="M66" s="37"/>
      <c r="N66" s="37">
        <f>SUM(Table2[[#This Row],[Maximum Contamination Violations]:[Treatment Violations]])</f>
        <v>0</v>
      </c>
      <c r="O66" s="37" t="s">
        <v>823</v>
      </c>
      <c r="P66" s="37"/>
      <c r="Q66" s="37"/>
    </row>
    <row r="67" spans="1:17" x14ac:dyDescent="0.25">
      <c r="A67" s="38">
        <v>101</v>
      </c>
      <c r="B67" s="40" t="str">
        <f>VLOOKUP(A67,Registry!$A$4:$AA$241,2,FALSE)</f>
        <v>Sunset Lake Cooperative</v>
      </c>
      <c r="C67" s="40" t="str">
        <f>VLOOKUP(A67,Registry!$A$4:$AA$241,3,FALSE)</f>
        <v>Chittenden</v>
      </c>
      <c r="D67" s="40" t="str">
        <f>VLOOKUP(A67,Registry!$A$4:$AA$241,4,FALSE)</f>
        <v>Hinesburg</v>
      </c>
      <c r="E67" s="40">
        <f>VLOOKUP(A67,Registry!$A$4:$AA$241,7,FALSE)</f>
        <v>1962</v>
      </c>
      <c r="F67" s="80" t="str">
        <f>IF(VLOOKUP(A67,Registry!$A$4:$AA$241,20,FALSE)=0,"",VLOOKUP(A67,Registry!$A$4:$AA$241,20,FALSE))</f>
        <v>Cooperative</v>
      </c>
      <c r="G67" s="40">
        <f>VLOOKUP(A67,Registry!$A$4:$AA$241,21,FALSE)</f>
        <v>55</v>
      </c>
      <c r="H67" s="43" t="s">
        <v>827</v>
      </c>
      <c r="I67" s="37">
        <v>20757</v>
      </c>
      <c r="J67" s="37" t="s">
        <v>871</v>
      </c>
      <c r="K67" s="37"/>
      <c r="L67" s="37"/>
      <c r="M67" s="37"/>
      <c r="N67" s="37">
        <f>SUM(Table2[[#This Row],[Maximum Contamination Violations]:[Treatment Violations]])</f>
        <v>0</v>
      </c>
      <c r="O67" s="37" t="s">
        <v>823</v>
      </c>
      <c r="P67" s="37"/>
      <c r="Q67" s="37"/>
    </row>
    <row r="68" spans="1:17" x14ac:dyDescent="0.25">
      <c r="A68" s="38">
        <v>85</v>
      </c>
      <c r="B68" s="40" t="str">
        <f>VLOOKUP(A68,Registry!$A$4:$AA$241,2,FALSE)</f>
        <v>Triple L Mobile Home Park</v>
      </c>
      <c r="C68" s="40" t="str">
        <f>VLOOKUP(A68,Registry!$A$4:$AA$241,3,FALSE)</f>
        <v>Chittenden</v>
      </c>
      <c r="D68" s="40" t="str">
        <f>VLOOKUP(A68,Registry!$A$4:$AA$241,4,FALSE)</f>
        <v>Hinesburg</v>
      </c>
      <c r="E68" s="40">
        <f>VLOOKUP(A68,Registry!$A$4:$AA$241,7,FALSE)</f>
        <v>1966</v>
      </c>
      <c r="F68" s="80" t="str">
        <f>IF(VLOOKUP(A68,Registry!$A$4:$AA$241,20,FALSE)=0,"",VLOOKUP(A68,Registry!$A$4:$AA$241,20,FALSE))</f>
        <v>For profit</v>
      </c>
      <c r="G68" s="40">
        <f>VLOOKUP(A68,Registry!$A$4:$AA$241,21,FALSE)</f>
        <v>65</v>
      </c>
      <c r="H68" s="43" t="s">
        <v>827</v>
      </c>
      <c r="I68" s="37"/>
      <c r="J68" s="37" t="s">
        <v>871</v>
      </c>
      <c r="K68" s="37"/>
      <c r="L68" s="37"/>
      <c r="M68" s="37"/>
      <c r="N68" s="37">
        <f>SUM(Table2[[#This Row],[Maximum Contamination Violations]:[Treatment Violations]])</f>
        <v>0</v>
      </c>
      <c r="O68" s="37" t="s">
        <v>836</v>
      </c>
      <c r="P68" s="37"/>
      <c r="Q68" s="37"/>
    </row>
    <row r="69" spans="1:17" x14ac:dyDescent="0.25">
      <c r="A69" s="38">
        <v>83</v>
      </c>
      <c r="B69" s="40" t="str">
        <f>VLOOKUP(A69,Registry!$A$4:$AA$241,2,FALSE)</f>
        <v>Birchwood Manor</v>
      </c>
      <c r="C69" s="40" t="str">
        <f>VLOOKUP(A69,Registry!$A$4:$AA$241,3,FALSE)</f>
        <v>Chittenden</v>
      </c>
      <c r="D69" s="40" t="str">
        <f>VLOOKUP(A69,Registry!$A$4:$AA$241,4,FALSE)</f>
        <v>Milton</v>
      </c>
      <c r="E69" s="40">
        <f>VLOOKUP(A69,Registry!$A$4:$AA$241,7,FALSE)</f>
        <v>1966</v>
      </c>
      <c r="F69" s="80" t="str">
        <f>IF(VLOOKUP(A69,Registry!$A$4:$AA$241,20,FALSE)=0,"",VLOOKUP(A69,Registry!$A$4:$AA$241,20,FALSE))</f>
        <v>Non-profit</v>
      </c>
      <c r="G69" s="40">
        <f>VLOOKUP(A69,Registry!$A$4:$AA$241,21,FALSE)</f>
        <v>172</v>
      </c>
      <c r="H69" s="43" t="s">
        <v>827</v>
      </c>
      <c r="I69" s="37">
        <v>5080</v>
      </c>
      <c r="J69" s="37" t="s">
        <v>869</v>
      </c>
      <c r="K69" s="37"/>
      <c r="L69" s="37"/>
      <c r="M69" s="37"/>
      <c r="N69" s="37">
        <f>SUM(Table2[[#This Row],[Maximum Contamination Violations]:[Treatment Violations]])</f>
        <v>0</v>
      </c>
      <c r="O69" s="37" t="s">
        <v>824</v>
      </c>
      <c r="P69" s="37" t="s">
        <v>870</v>
      </c>
      <c r="Q69" s="37"/>
    </row>
    <row r="70" spans="1:17" x14ac:dyDescent="0.25">
      <c r="A70" s="38">
        <v>91</v>
      </c>
      <c r="B70" s="40" t="str">
        <f>VLOOKUP(A70,Registry!$A$4:$AA$241,2,FALSE)</f>
        <v>Milton Mobile Home Cooperative, Inc.</v>
      </c>
      <c r="C70" s="40" t="str">
        <f>VLOOKUP(A70,Registry!$A$4:$AA$241,3,FALSE)</f>
        <v>Chittenden</v>
      </c>
      <c r="D70" s="40" t="str">
        <f>VLOOKUP(A70,Registry!$A$4:$AA$241,4,FALSE)</f>
        <v>Milton</v>
      </c>
      <c r="E70" s="40">
        <f>VLOOKUP(A70,Registry!$A$4:$AA$241,7,FALSE)</f>
        <v>1968</v>
      </c>
      <c r="F70" s="80" t="str">
        <f>IF(VLOOKUP(A70,Registry!$A$4:$AA$241,20,FALSE)=0,"",VLOOKUP(A70,Registry!$A$4:$AA$241,20,FALSE))</f>
        <v>Cooperative</v>
      </c>
      <c r="G70" s="40">
        <f>VLOOKUP(A70,Registry!$A$4:$AA$241,21,FALSE)</f>
        <v>100</v>
      </c>
      <c r="H70" s="43" t="s">
        <v>827</v>
      </c>
      <c r="I70" s="37">
        <v>5083</v>
      </c>
      <c r="J70" s="37" t="s">
        <v>869</v>
      </c>
      <c r="K70" s="37"/>
      <c r="L70" s="37"/>
      <c r="M70" s="37"/>
      <c r="N70" s="37">
        <f>SUM(Table2[[#This Row],[Maximum Contamination Violations]:[Treatment Violations]])</f>
        <v>0</v>
      </c>
      <c r="O70" s="37" t="s">
        <v>823</v>
      </c>
      <c r="P70" s="37" t="s">
        <v>1385</v>
      </c>
      <c r="Q70" s="37"/>
    </row>
    <row r="71" spans="1:17" x14ac:dyDescent="0.25">
      <c r="A71" s="38">
        <v>126</v>
      </c>
      <c r="B71" s="40" t="str">
        <f>VLOOKUP(A71,Registry!$A$4:$AA$241,2,FALSE)</f>
        <v>Woodbriar Mobile Home Park</v>
      </c>
      <c r="C71" s="40" t="str">
        <f>VLOOKUP(A71,Registry!$A$4:$AA$241,3,FALSE)</f>
        <v>Chittenden</v>
      </c>
      <c r="D71" s="40" t="str">
        <f>VLOOKUP(A71,Registry!$A$4:$AA$241,4,FALSE)</f>
        <v>Milton</v>
      </c>
      <c r="E71" s="40">
        <f>VLOOKUP(A71,Registry!$A$4:$AA$241,7,FALSE)</f>
        <v>1957</v>
      </c>
      <c r="F71" s="80" t="str">
        <f>IF(VLOOKUP(A71,Registry!$A$4:$AA$241,20,FALSE)=0,"",VLOOKUP(A71,Registry!$A$4:$AA$241,20,FALSE))</f>
        <v>For profit</v>
      </c>
      <c r="G71" s="40">
        <f>VLOOKUP(A71,Registry!$A$4:$AA$241,21,FALSE)</f>
        <v>51</v>
      </c>
      <c r="H71" s="43" t="s">
        <v>824</v>
      </c>
      <c r="I71" s="37"/>
      <c r="J71" s="37" t="s">
        <v>869</v>
      </c>
      <c r="K71" s="37"/>
      <c r="L71" s="37"/>
      <c r="M71" s="37"/>
      <c r="N71" s="37">
        <f>SUM(Table2[[#This Row],[Maximum Contamination Violations]:[Treatment Violations]])</f>
        <v>0</v>
      </c>
      <c r="O71" s="37" t="s">
        <v>823</v>
      </c>
      <c r="P71" s="37" t="s">
        <v>887</v>
      </c>
      <c r="Q71" s="37"/>
    </row>
    <row r="72" spans="1:17" x14ac:dyDescent="0.25">
      <c r="A72" s="38">
        <v>238</v>
      </c>
      <c r="B72" s="40" t="str">
        <f>VLOOKUP(A72,Registry!$A$4:$AA$241,2,FALSE)</f>
        <v>Riverview Commons</v>
      </c>
      <c r="C72" s="40" t="str">
        <f>VLOOKUP(A72,Registry!$A$4:$AA$241,3,FALSE)</f>
        <v>Chittenden</v>
      </c>
      <c r="D72" s="40" t="str">
        <f>VLOOKUP(A72,Registry!$A$4:$AA$241,4,FALSE)</f>
        <v>Richmond</v>
      </c>
      <c r="E72" s="40">
        <f>VLOOKUP(A72,Registry!$A$4:$AA$241,7,FALSE)</f>
        <v>1960</v>
      </c>
      <c r="F72" s="80" t="str">
        <f>IF(VLOOKUP(A72,Registry!$A$4:$AA$241,20,FALSE)=0,"",VLOOKUP(A72,Registry!$A$4:$AA$241,20,FALSE))</f>
        <v>For profit</v>
      </c>
      <c r="G72" s="40">
        <f>VLOOKUP(A72,Registry!$A$4:$AA$241,21,FALSE)</f>
        <v>150</v>
      </c>
      <c r="H72" s="43" t="s">
        <v>830</v>
      </c>
      <c r="I72" s="37">
        <v>5086</v>
      </c>
      <c r="J72" s="37" t="s">
        <v>934</v>
      </c>
      <c r="K72" s="37">
        <v>0</v>
      </c>
      <c r="L72" s="37">
        <v>3</v>
      </c>
      <c r="M72" s="37">
        <v>0</v>
      </c>
      <c r="N72" s="37">
        <f>SUM(Table2[[#This Row],[Maximum Contamination Violations]:[Treatment Violations]])</f>
        <v>3</v>
      </c>
      <c r="O72" s="37" t="s">
        <v>823</v>
      </c>
      <c r="P72" s="37" t="s">
        <v>1217</v>
      </c>
      <c r="Q72" s="37" t="s">
        <v>935</v>
      </c>
    </row>
    <row r="73" spans="1:17" x14ac:dyDescent="0.25">
      <c r="A73" s="38">
        <v>82</v>
      </c>
      <c r="B73" s="40" t="str">
        <f>VLOOKUP(A73,Registry!$A$4:$AA$241,2,FALSE)</f>
        <v>Lakeview Mobile Home Park</v>
      </c>
      <c r="C73" s="40" t="str">
        <f>VLOOKUP(A73,Registry!$A$4:$AA$241,3,FALSE)</f>
        <v>Chittenden</v>
      </c>
      <c r="D73" s="40" t="str">
        <f>VLOOKUP(A73,Registry!$A$4:$AA$241,4,FALSE)</f>
        <v>Shelburne</v>
      </c>
      <c r="E73" s="40">
        <f>VLOOKUP(A73,Registry!$A$4:$AA$241,7,FALSE)</f>
        <v>1959</v>
      </c>
      <c r="F73" s="80" t="str">
        <f>IF(VLOOKUP(A73,Registry!$A$4:$AA$241,20,FALSE)=0,"",VLOOKUP(A73,Registry!$A$4:$AA$241,20,FALSE))</f>
        <v>Cooperative</v>
      </c>
      <c r="G73" s="40">
        <f>VLOOKUP(A73,Registry!$A$4:$AA$241,21,FALSE)</f>
        <v>64</v>
      </c>
      <c r="H73" s="43" t="s">
        <v>824</v>
      </c>
      <c r="I73" s="37"/>
      <c r="J73" s="37" t="s">
        <v>868</v>
      </c>
      <c r="K73" s="37"/>
      <c r="L73" s="37"/>
      <c r="M73" s="37"/>
      <c r="N73" s="37">
        <f>SUM(Table2[[#This Row],[Maximum Contamination Violations]:[Treatment Violations]])</f>
        <v>0</v>
      </c>
      <c r="O73" s="37" t="s">
        <v>824</v>
      </c>
      <c r="P73" s="37"/>
      <c r="Q73" s="37"/>
    </row>
    <row r="74" spans="1:17" x14ac:dyDescent="0.25">
      <c r="A74" s="38">
        <v>96</v>
      </c>
      <c r="B74" s="40" t="str">
        <f>VLOOKUP(A74,Registry!$A$4:$AA$241,2,FALSE)</f>
        <v>Livingston's Trailer Park</v>
      </c>
      <c r="C74" s="40" t="str">
        <f>VLOOKUP(A74,Registry!$A$4:$AA$241,3,FALSE)</f>
        <v>Chittenden</v>
      </c>
      <c r="D74" s="40" t="str">
        <f>VLOOKUP(A74,Registry!$A$4:$AA$241,4,FALSE)</f>
        <v>Shelburne</v>
      </c>
      <c r="E74" s="40">
        <f>VLOOKUP(A74,Registry!$A$4:$AA$241,7,FALSE)</f>
        <v>1965</v>
      </c>
      <c r="F74" s="80" t="str">
        <f>IF(VLOOKUP(A74,Registry!$A$4:$AA$241,20,FALSE)=0,"",VLOOKUP(A74,Registry!$A$4:$AA$241,20,FALSE))</f>
        <v>For profit</v>
      </c>
      <c r="G74" s="40">
        <f>VLOOKUP(A74,Registry!$A$4:$AA$241,21,FALSE)</f>
        <v>17</v>
      </c>
      <c r="H74" s="43" t="s">
        <v>827</v>
      </c>
      <c r="I74" s="37">
        <v>5089</v>
      </c>
      <c r="J74" s="37" t="s">
        <v>868</v>
      </c>
      <c r="K74" s="37">
        <v>0</v>
      </c>
      <c r="L74" s="37">
        <v>5</v>
      </c>
      <c r="M74" s="37">
        <v>0</v>
      </c>
      <c r="N74" s="37">
        <f>SUM(Table2[[#This Row],[Maximum Contamination Violations]:[Treatment Violations]])</f>
        <v>5</v>
      </c>
      <c r="O74" s="37" t="s">
        <v>824</v>
      </c>
      <c r="P74" s="37" t="s">
        <v>1218</v>
      </c>
      <c r="Q74" s="37"/>
    </row>
    <row r="75" spans="1:17" x14ac:dyDescent="0.25">
      <c r="A75" s="38">
        <v>279</v>
      </c>
      <c r="B75" s="40" t="str">
        <f>VLOOKUP(A75,Registry!$A$4:$AA$241,2,FALSE)</f>
        <v>Shelburnewood Cooperative, Inc.</v>
      </c>
      <c r="C75" s="40" t="str">
        <f>VLOOKUP(A75,Registry!$A$4:$AA$241,3,FALSE)</f>
        <v>Chittenden</v>
      </c>
      <c r="D75" s="40" t="str">
        <f>VLOOKUP(A75,Registry!$A$4:$AA$241,4,FALSE)</f>
        <v>Shelburne</v>
      </c>
      <c r="E75" s="40">
        <f>VLOOKUP(A75,Registry!$A$4:$AA$241,7,FALSE)</f>
        <v>1950</v>
      </c>
      <c r="F75" s="80" t="str">
        <f>IF(VLOOKUP(A75,Registry!$A$4:$AA$241,20,FALSE)=0,"",VLOOKUP(A75,Registry!$A$4:$AA$241,20,FALSE))</f>
        <v>Cooperative</v>
      </c>
      <c r="G75" s="40">
        <f>VLOOKUP(A75,Registry!$A$4:$AA$241,21,FALSE)</f>
        <v>28</v>
      </c>
      <c r="H75" s="43" t="s">
        <v>824</v>
      </c>
      <c r="I75" s="37"/>
      <c r="J75" s="37" t="s">
        <v>868</v>
      </c>
      <c r="K75" s="37"/>
      <c r="L75" s="37"/>
      <c r="M75" s="37"/>
      <c r="N75" s="37">
        <f>SUM(Table2[[#This Row],[Maximum Contamination Violations]:[Treatment Violations]])</f>
        <v>0</v>
      </c>
      <c r="O75" s="37" t="s">
        <v>824</v>
      </c>
      <c r="P75" s="37" t="s">
        <v>1251</v>
      </c>
      <c r="Q75" s="37"/>
    </row>
    <row r="76" spans="1:17" x14ac:dyDescent="0.25">
      <c r="A76" s="38">
        <v>28</v>
      </c>
      <c r="B76" s="40" t="str">
        <f>VLOOKUP(A76,Registry!$A$4:$AA$241,2,FALSE)</f>
        <v>Chambers MHP</v>
      </c>
      <c r="C76" s="40" t="str">
        <f>VLOOKUP(A76,Registry!$A$4:$AA$241,3,FALSE)</f>
        <v>Chittenden</v>
      </c>
      <c r="D76" s="40" t="str">
        <f>VLOOKUP(A76,Registry!$A$4:$AA$241,4,FALSE)</f>
        <v>St. George</v>
      </c>
      <c r="E76" s="40">
        <f>VLOOKUP(A76,Registry!$A$4:$AA$241,7,FALSE)</f>
        <v>1967</v>
      </c>
      <c r="F76" s="80" t="str">
        <f>IF(VLOOKUP(A76,Registry!$A$4:$AA$241,20,FALSE)=0,"",VLOOKUP(A76,Registry!$A$4:$AA$241,20,FALSE))</f>
        <v>For profit</v>
      </c>
      <c r="G76" s="40">
        <f>VLOOKUP(A76,Registry!$A$4:$AA$241,21,FALSE)</f>
        <v>8</v>
      </c>
      <c r="H76" s="112" t="s">
        <v>1256</v>
      </c>
      <c r="I76" s="37"/>
      <c r="J76" s="37" t="s">
        <v>842</v>
      </c>
      <c r="K76" s="37"/>
      <c r="L76" s="37"/>
      <c r="M76" s="37"/>
      <c r="N76" s="37">
        <f>SUM(Table2[[#This Row],[Maximum Contamination Violations]:[Treatment Violations]])</f>
        <v>0</v>
      </c>
      <c r="O76" s="37" t="s">
        <v>823</v>
      </c>
      <c r="P76" s="37" t="s">
        <v>843</v>
      </c>
      <c r="Q76" s="37"/>
    </row>
    <row r="77" spans="1:17" x14ac:dyDescent="0.25">
      <c r="A77" s="38">
        <v>130</v>
      </c>
      <c r="B77" s="40" t="str">
        <f>VLOOKUP(A77,Registry!$A$4:$AA$241,2,FALSE)</f>
        <v>St. George Villa</v>
      </c>
      <c r="C77" s="40" t="str">
        <f>VLOOKUP(A77,Registry!$A$4:$AA$241,3,FALSE)</f>
        <v>Chittenden</v>
      </c>
      <c r="D77" s="40" t="str">
        <f>VLOOKUP(A77,Registry!$A$4:$AA$241,4,FALSE)</f>
        <v>St. George</v>
      </c>
      <c r="E77" s="40">
        <f>VLOOKUP(A77,Registry!$A$4:$AA$241,7,FALSE)</f>
        <v>1966</v>
      </c>
      <c r="F77" s="80" t="str">
        <f>IF(VLOOKUP(A77,Registry!$A$4:$AA$241,20,FALSE)=0,"",VLOOKUP(A77,Registry!$A$4:$AA$241,20,FALSE))</f>
        <v>Cooperative</v>
      </c>
      <c r="G77" s="40">
        <f>VLOOKUP(A77,Registry!$A$4:$AA$241,21,FALSE)</f>
        <v>120</v>
      </c>
      <c r="H77" s="43" t="s">
        <v>830</v>
      </c>
      <c r="I77" s="37">
        <v>5095</v>
      </c>
      <c r="J77" s="37" t="s">
        <v>891</v>
      </c>
      <c r="K77" s="37"/>
      <c r="L77" s="37"/>
      <c r="M77" s="37"/>
      <c r="N77" s="37">
        <f>SUM(Table2[[#This Row],[Maximum Contamination Violations]:[Treatment Violations]])</f>
        <v>0</v>
      </c>
      <c r="O77" s="37" t="s">
        <v>823</v>
      </c>
      <c r="P77" s="37" t="s">
        <v>1248</v>
      </c>
      <c r="Q77" s="37"/>
    </row>
    <row r="78" spans="1:17" x14ac:dyDescent="0.25">
      <c r="A78" s="38">
        <v>75</v>
      </c>
      <c r="B78" s="40" t="str">
        <f>VLOOKUP(A78,Registry!$A$4:$AA$241,2,FALSE)</f>
        <v>French Hill Manor</v>
      </c>
      <c r="C78" s="40" t="str">
        <f>VLOOKUP(A78,Registry!$A$4:$AA$241,3,FALSE)</f>
        <v>Chittenden</v>
      </c>
      <c r="D78" s="40" t="str">
        <f>VLOOKUP(A78,Registry!$A$4:$AA$241,4,FALSE)</f>
        <v>Williston</v>
      </c>
      <c r="E78" s="40">
        <f>VLOOKUP(A78,Registry!$A$4:$AA$241,7,FALSE)</f>
        <v>1970</v>
      </c>
      <c r="F78" s="80" t="str">
        <f>IF(VLOOKUP(A78,Registry!$A$4:$AA$241,20,FALSE)=0,"",VLOOKUP(A78,Registry!$A$4:$AA$241,20,FALSE))</f>
        <v>Non-profit</v>
      </c>
      <c r="G78" s="40">
        <f>VLOOKUP(A78,Registry!$A$4:$AA$241,21,FALSE)</f>
        <v>8</v>
      </c>
      <c r="H78" s="43" t="s">
        <v>824</v>
      </c>
      <c r="I78" s="37"/>
      <c r="J78" s="37" t="s">
        <v>1317</v>
      </c>
      <c r="K78" s="37"/>
      <c r="L78" s="37"/>
      <c r="M78" s="37"/>
      <c r="N78" s="37">
        <f>SUM(Table2[[#This Row],[Maximum Contamination Violations]:[Treatment Violations]])</f>
        <v>0</v>
      </c>
      <c r="O78" s="37" t="s">
        <v>823</v>
      </c>
      <c r="P78" s="37" t="s">
        <v>865</v>
      </c>
      <c r="Q78" s="37"/>
    </row>
    <row r="79" spans="1:17" x14ac:dyDescent="0.25">
      <c r="A79" s="38">
        <v>281</v>
      </c>
      <c r="B79" s="40" t="str">
        <f>VLOOKUP(A79,Registry!$A$4:$AA$241,2,FALSE)</f>
        <v>Oak Hill Trailer Park</v>
      </c>
      <c r="C79" s="40" t="str">
        <f>VLOOKUP(A79,Registry!$A$4:$AA$241,3,FALSE)</f>
        <v>Chittenden</v>
      </c>
      <c r="D79" s="40" t="str">
        <f>VLOOKUP(A79,Registry!$A$4:$AA$241,4,FALSE)</f>
        <v>Williston</v>
      </c>
      <c r="E79" s="40">
        <f>VLOOKUP(A79,Registry!$A$4:$AA$241,7,FALSE)</f>
        <v>1987</v>
      </c>
      <c r="F79" s="80" t="str">
        <f>IF(VLOOKUP(A79,Registry!$A$4:$AA$241,20,FALSE)=0,"",VLOOKUP(A79,Registry!$A$4:$AA$241,20,FALSE))</f>
        <v>For profit</v>
      </c>
      <c r="G79" s="40">
        <f>VLOOKUP(A79,Registry!$A$4:$AA$241,21,FALSE)</f>
        <v>6</v>
      </c>
      <c r="H79" s="43" t="s">
        <v>827</v>
      </c>
      <c r="I79" s="37">
        <v>20867</v>
      </c>
      <c r="J79" s="37" t="s">
        <v>1317</v>
      </c>
      <c r="K79" s="37"/>
      <c r="L79" s="37"/>
      <c r="M79" s="37"/>
      <c r="N79" s="37">
        <f>SUM(Table2[[#This Row],[Maximum Contamination Violations]:[Treatment Violations]])</f>
        <v>0</v>
      </c>
      <c r="O79" s="37"/>
      <c r="P79" s="37"/>
      <c r="Q79" s="37"/>
    </row>
    <row r="80" spans="1:17" x14ac:dyDescent="0.25">
      <c r="A80" s="38">
        <v>129</v>
      </c>
      <c r="B80" s="40" t="str">
        <f>VLOOKUP(A80,Registry!$A$4:$AA$241,2,FALSE)</f>
        <v>Williston Woods Cooperative Housing Corp</v>
      </c>
      <c r="C80" s="40" t="str">
        <f>VLOOKUP(A80,Registry!$A$4:$AA$241,3,FALSE)</f>
        <v>Chittenden</v>
      </c>
      <c r="D80" s="40" t="str">
        <f>VLOOKUP(A80,Registry!$A$4:$AA$241,4,FALSE)</f>
        <v>Williston</v>
      </c>
      <c r="E80" s="40">
        <f>VLOOKUP(A80,Registry!$A$4:$AA$241,7,FALSE)</f>
        <v>1983</v>
      </c>
      <c r="F80" s="80" t="str">
        <f>IF(VLOOKUP(A80,Registry!$A$4:$AA$241,20,FALSE)=0,"",VLOOKUP(A80,Registry!$A$4:$AA$241,20,FALSE))</f>
        <v>Cooperative</v>
      </c>
      <c r="G80" s="40">
        <f>VLOOKUP(A80,Registry!$A$4:$AA$241,21,FALSE)</f>
        <v>112</v>
      </c>
      <c r="H80" s="43" t="s">
        <v>824</v>
      </c>
      <c r="I80" s="37"/>
      <c r="J80" s="37" t="s">
        <v>1317</v>
      </c>
      <c r="K80" s="37"/>
      <c r="L80" s="37"/>
      <c r="M80" s="37"/>
      <c r="N80" s="37">
        <f>SUM(Table2[[#This Row],[Maximum Contamination Violations]:[Treatment Violations]])</f>
        <v>0</v>
      </c>
      <c r="O80" s="37" t="s">
        <v>823</v>
      </c>
      <c r="P80" s="37" t="s">
        <v>889</v>
      </c>
      <c r="Q80" s="37" t="s">
        <v>890</v>
      </c>
    </row>
    <row r="81" spans="1:17" x14ac:dyDescent="0.25">
      <c r="A81" s="38">
        <v>199</v>
      </c>
      <c r="B81" s="40" t="str">
        <f>VLOOKUP(A81,Registry!$A$4:$AA$241,2,FALSE)</f>
        <v>Begin Riverside Park</v>
      </c>
      <c r="C81" s="40" t="str">
        <f>VLOOKUP(A81,Registry!$A$4:$AA$241,3,FALSE)</f>
        <v>Essex</v>
      </c>
      <c r="D81" s="40" t="str">
        <f>VLOOKUP(A81,Registry!$A$4:$AA$241,4,FALSE)</f>
        <v>Canaan</v>
      </c>
      <c r="E81" s="40">
        <f>VLOOKUP(A81,Registry!$A$4:$AA$241,7,FALSE)</f>
        <v>1970</v>
      </c>
      <c r="F81" s="80" t="str">
        <f>IF(VLOOKUP(A81,Registry!$A$4:$AA$241,20,FALSE)=0,"",VLOOKUP(A81,Registry!$A$4:$AA$241,20,FALSE))</f>
        <v>For profit</v>
      </c>
      <c r="G81" s="40">
        <f>VLOOKUP(A81,Registry!$A$4:$AA$241,21,FALSE)</f>
        <v>18</v>
      </c>
      <c r="H81" s="43" t="s">
        <v>824</v>
      </c>
      <c r="I81" s="37"/>
      <c r="J81" s="37" t="s">
        <v>1462</v>
      </c>
      <c r="K81" s="37"/>
      <c r="L81" s="37"/>
      <c r="M81" s="37"/>
      <c r="N81" s="37">
        <f>SUM(Table2[[#This Row],[Maximum Contamination Violations]:[Treatment Violations]])</f>
        <v>0</v>
      </c>
      <c r="O81" s="37" t="s">
        <v>923</v>
      </c>
      <c r="P81" s="37"/>
      <c r="Q81" s="37"/>
    </row>
    <row r="82" spans="1:17" x14ac:dyDescent="0.25">
      <c r="A82" s="38">
        <v>74</v>
      </c>
      <c r="B82" s="40" t="str">
        <f>VLOOKUP(A82,Registry!$A$4:$AA$241,2,FALSE)</f>
        <v>Concord Estates MHP</v>
      </c>
      <c r="C82" s="40" t="str">
        <f>VLOOKUP(A82,Registry!$A$4:$AA$241,3,FALSE)</f>
        <v>Essex</v>
      </c>
      <c r="D82" s="40" t="str">
        <f>VLOOKUP(A82,Registry!$A$4:$AA$241,4,FALSE)</f>
        <v>Concord</v>
      </c>
      <c r="E82" s="40">
        <f>VLOOKUP(A82,Registry!$A$4:$AA$241,7,FALSE)</f>
        <v>1967</v>
      </c>
      <c r="F82" s="80" t="str">
        <f>IF(VLOOKUP(A82,Registry!$A$4:$AA$241,20,FALSE)=0,"",VLOOKUP(A82,Registry!$A$4:$AA$241,20,FALSE))</f>
        <v>For profit</v>
      </c>
      <c r="G82" s="40">
        <f>VLOOKUP(A82,Registry!$A$4:$AA$241,21,FALSE)</f>
        <v>24</v>
      </c>
      <c r="H82" s="43" t="s">
        <v>830</v>
      </c>
      <c r="I82" s="37">
        <v>5351</v>
      </c>
      <c r="J82" s="37" t="s">
        <v>864</v>
      </c>
      <c r="K82" s="37">
        <v>0</v>
      </c>
      <c r="L82" s="37">
        <v>1</v>
      </c>
      <c r="M82" s="37">
        <v>0</v>
      </c>
      <c r="N82" s="37">
        <f>SUM(Table2[[#This Row],[Maximum Contamination Violations]:[Treatment Violations]])</f>
        <v>1</v>
      </c>
      <c r="O82" s="37" t="s">
        <v>836</v>
      </c>
      <c r="P82" s="37"/>
      <c r="Q82" s="37"/>
    </row>
    <row r="83" spans="1:17" x14ac:dyDescent="0.25">
      <c r="A83" s="38">
        <v>314</v>
      </c>
      <c r="B83" s="40" t="str">
        <f>VLOOKUP(A83,Registry!$A$4:$AA$241,2,FALSE)</f>
        <v>Pleasant View Drive MHP</v>
      </c>
      <c r="C83" s="40" t="str">
        <f>VLOOKUP(A83,Registry!$A$4:$AA$241,3,FALSE)</f>
        <v>Franklin</v>
      </c>
      <c r="D83" s="40" t="str">
        <f>VLOOKUP(A83,Registry!$A$4:$AA$241,4,FALSE)</f>
        <v>Enosburg</v>
      </c>
      <c r="E83" s="40">
        <f>VLOOKUP(A83,Registry!$A$4:$AA$241,7,FALSE)</f>
        <v>2005</v>
      </c>
      <c r="F83" s="80" t="str">
        <f>IF(VLOOKUP(A83,Registry!$A$4:$AA$241,20,FALSE)=0,"",VLOOKUP(A83,Registry!$A$4:$AA$241,20,FALSE))</f>
        <v>For profit</v>
      </c>
      <c r="G83" s="40">
        <f>VLOOKUP(A83,Registry!$A$4:$AA$241,21,FALSE)</f>
        <v>5</v>
      </c>
      <c r="H83" s="112" t="s">
        <v>1256</v>
      </c>
      <c r="I83" s="37"/>
      <c r="J83" s="37" t="s">
        <v>842</v>
      </c>
      <c r="K83" s="37"/>
      <c r="L83" s="37"/>
      <c r="M83" s="37"/>
      <c r="N83" s="37">
        <f>SUM(Table2[[#This Row],[Maximum Contamination Violations]:[Treatment Violations]])</f>
        <v>0</v>
      </c>
      <c r="O83" s="37" t="s">
        <v>823</v>
      </c>
      <c r="P83" s="37" t="s">
        <v>947</v>
      </c>
      <c r="Q83" s="37"/>
    </row>
    <row r="84" spans="1:17" x14ac:dyDescent="0.25">
      <c r="A84" s="38">
        <v>88</v>
      </c>
      <c r="B84" s="40" t="str">
        <f>VLOOKUP(A84,Registry!$A$4:$AA$241,2,FALSE)</f>
        <v>Vals Mobile Home Park, LLC.</v>
      </c>
      <c r="C84" s="40" t="str">
        <f>VLOOKUP(A84,Registry!$A$4:$AA$241,3,FALSE)</f>
        <v>Franklin</v>
      </c>
      <c r="D84" s="40" t="str">
        <f>VLOOKUP(A84,Registry!$A$4:$AA$241,4,FALSE)</f>
        <v>Enosburg</v>
      </c>
      <c r="E84" s="40">
        <f>VLOOKUP(A84,Registry!$A$4:$AA$241,7,FALSE)</f>
        <v>1963</v>
      </c>
      <c r="F84" s="80" t="str">
        <f>IF(VLOOKUP(A84,Registry!$A$4:$AA$241,20,FALSE)=0,"",VLOOKUP(A84,Registry!$A$4:$AA$241,20,FALSE))</f>
        <v>For profit</v>
      </c>
      <c r="G84" s="40">
        <f>VLOOKUP(A84,Registry!$A$4:$AA$241,21,FALSE)</f>
        <v>38</v>
      </c>
      <c r="H84" s="43" t="s">
        <v>824</v>
      </c>
      <c r="I84" s="37"/>
      <c r="J84" s="37" t="s">
        <v>873</v>
      </c>
      <c r="K84" s="37"/>
      <c r="L84" s="37"/>
      <c r="M84" s="37"/>
      <c r="N84" s="37">
        <f>SUM(Table2[[#This Row],[Maximum Contamination Violations]:[Treatment Violations]])</f>
        <v>0</v>
      </c>
      <c r="O84" s="37" t="s">
        <v>824</v>
      </c>
      <c r="P84" s="37"/>
      <c r="Q84" s="37" t="s">
        <v>874</v>
      </c>
    </row>
    <row r="85" spans="1:17" x14ac:dyDescent="0.25">
      <c r="A85" s="38">
        <v>104</v>
      </c>
      <c r="B85" s="40" t="str">
        <f>VLOOKUP(A85,Registry!$A$4:$AA$241,2,FALSE)</f>
        <v>Rhodeside Acres</v>
      </c>
      <c r="C85" s="40" t="str">
        <f>VLOOKUP(A85,Registry!$A$4:$AA$241,3,FALSE)</f>
        <v>Franklin</v>
      </c>
      <c r="D85" s="40" t="str">
        <f>VLOOKUP(A85,Registry!$A$4:$AA$241,4,FALSE)</f>
        <v>Georgia</v>
      </c>
      <c r="E85" s="40">
        <f>VLOOKUP(A85,Registry!$A$4:$AA$241,7,FALSE)</f>
        <v>1967</v>
      </c>
      <c r="F85" s="80" t="str">
        <f>IF(VLOOKUP(A85,Registry!$A$4:$AA$241,20,FALSE)=0,"",VLOOKUP(A85,Registry!$A$4:$AA$241,20,FALSE))</f>
        <v>For profit</v>
      </c>
      <c r="G85" s="40">
        <f>VLOOKUP(A85,Registry!$A$4:$AA$241,21,FALSE)</f>
        <v>14</v>
      </c>
      <c r="H85" s="43" t="s">
        <v>830</v>
      </c>
      <c r="I85" s="37">
        <v>5379</v>
      </c>
      <c r="J85" s="37" t="s">
        <v>832</v>
      </c>
      <c r="K85" s="37">
        <v>0</v>
      </c>
      <c r="L85" s="37">
        <v>9</v>
      </c>
      <c r="M85" s="37">
        <v>0</v>
      </c>
      <c r="N85" s="37">
        <f>SUM(Table2[[#This Row],[Maximum Contamination Violations]:[Treatment Violations]])</f>
        <v>9</v>
      </c>
      <c r="O85" s="37" t="s">
        <v>834</v>
      </c>
      <c r="P85" s="37"/>
      <c r="Q85" s="37" t="s">
        <v>879</v>
      </c>
    </row>
    <row r="86" spans="1:17" x14ac:dyDescent="0.25">
      <c r="A86" s="38">
        <v>181</v>
      </c>
      <c r="B86" s="40" t="str">
        <f>VLOOKUP(A86,Registry!$A$4:$AA$241,2,FALSE)</f>
        <v>ANDCO Mobile Home Park</v>
      </c>
      <c r="C86" s="40" t="str">
        <f>VLOOKUP(A86,Registry!$A$4:$AA$241,3,FALSE)</f>
        <v>Franklin</v>
      </c>
      <c r="D86" s="40" t="str">
        <f>VLOOKUP(A86,Registry!$A$4:$AA$241,4,FALSE)</f>
        <v>Highgate</v>
      </c>
      <c r="E86" s="40">
        <f>VLOOKUP(A86,Registry!$A$4:$AA$241,7,FALSE)</f>
        <v>1966</v>
      </c>
      <c r="F86" s="80" t="str">
        <f>IF(VLOOKUP(A86,Registry!$A$4:$AA$241,20,FALSE)=0,"",VLOOKUP(A86,Registry!$A$4:$AA$241,20,FALSE))</f>
        <v>Cooperative</v>
      </c>
      <c r="G86" s="40">
        <f>VLOOKUP(A86,Registry!$A$4:$AA$241,21,FALSE)</f>
        <v>9</v>
      </c>
      <c r="H86" s="112" t="s">
        <v>1256</v>
      </c>
      <c r="I86" s="37"/>
      <c r="J86" s="37"/>
      <c r="K86" s="37"/>
      <c r="L86" s="37"/>
      <c r="M86" s="37"/>
      <c r="N86" s="37">
        <f>SUM(Table2[[#This Row],[Maximum Contamination Violations]:[Treatment Violations]])</f>
        <v>0</v>
      </c>
      <c r="O86" s="37" t="s">
        <v>849</v>
      </c>
      <c r="P86" s="37"/>
      <c r="Q86" s="37"/>
    </row>
    <row r="87" spans="1:17" x14ac:dyDescent="0.25">
      <c r="A87" s="38">
        <v>113</v>
      </c>
      <c r="B87" s="40" t="str">
        <f>VLOOKUP(A87,Registry!$A$4:$AA$241,2,FALSE)</f>
        <v>Desorcie Mobile Home Park</v>
      </c>
      <c r="C87" s="40" t="str">
        <f>VLOOKUP(A87,Registry!$A$4:$AA$241,3,FALSE)</f>
        <v>Franklin</v>
      </c>
      <c r="D87" s="40" t="str">
        <f>VLOOKUP(A87,Registry!$A$4:$AA$241,4,FALSE)</f>
        <v>Highgate</v>
      </c>
      <c r="E87" s="40">
        <f>VLOOKUP(A87,Registry!$A$4:$AA$241,7,FALSE)</f>
        <v>1968</v>
      </c>
      <c r="F87" s="80" t="str">
        <f>IF(VLOOKUP(A87,Registry!$A$4:$AA$241,20,FALSE)=0,"",VLOOKUP(A87,Registry!$A$4:$AA$241,20,FALSE))</f>
        <v>For profit</v>
      </c>
      <c r="G87" s="40">
        <f>VLOOKUP(A87,Registry!$A$4:$AA$241,21,FALSE)</f>
        <v>5</v>
      </c>
      <c r="H87" s="112" t="s">
        <v>1256</v>
      </c>
      <c r="I87" s="37"/>
      <c r="J87" s="37" t="s">
        <v>838</v>
      </c>
      <c r="K87" s="37"/>
      <c r="L87" s="37"/>
      <c r="M87" s="37"/>
      <c r="N87" s="37">
        <f>SUM(Table2[[#This Row],[Maximum Contamination Violations]:[Treatment Violations]])</f>
        <v>0</v>
      </c>
      <c r="O87" s="37" t="s">
        <v>849</v>
      </c>
      <c r="P87" s="37"/>
      <c r="Q87" s="37"/>
    </row>
    <row r="88" spans="1:17" x14ac:dyDescent="0.25">
      <c r="A88" s="38">
        <v>103</v>
      </c>
      <c r="B88" s="40" t="str">
        <f>VLOOKUP(A88,Registry!$A$4:$AA$241,2,FALSE)</f>
        <v>Lamkin Trailer Park</v>
      </c>
      <c r="C88" s="40" t="str">
        <f>VLOOKUP(A88,Registry!$A$4:$AA$241,3,FALSE)</f>
        <v>Franklin</v>
      </c>
      <c r="D88" s="40" t="str">
        <f>VLOOKUP(A88,Registry!$A$4:$AA$241,4,FALSE)</f>
        <v>Highgate</v>
      </c>
      <c r="E88" s="40">
        <f>VLOOKUP(A88,Registry!$A$4:$AA$241,7,FALSE)</f>
        <v>1982</v>
      </c>
      <c r="F88" s="80" t="str">
        <f>IF(VLOOKUP(A88,Registry!$A$4:$AA$241,20,FALSE)=0,"",VLOOKUP(A88,Registry!$A$4:$AA$241,20,FALSE))</f>
        <v>For profit</v>
      </c>
      <c r="G88" s="40">
        <f>VLOOKUP(A88,Registry!$A$4:$AA$241,21,FALSE)</f>
        <v>9</v>
      </c>
      <c r="H88" s="112" t="s">
        <v>1256</v>
      </c>
      <c r="I88" s="37"/>
      <c r="J88" s="37"/>
      <c r="K88" s="37"/>
      <c r="L88" s="37"/>
      <c r="M88" s="37"/>
      <c r="N88" s="37">
        <f>SUM(Table2[[#This Row],[Maximum Contamination Violations]:[Treatment Violations]])</f>
        <v>0</v>
      </c>
      <c r="O88" s="37" t="s">
        <v>849</v>
      </c>
      <c r="P88" s="37" t="s">
        <v>1230</v>
      </c>
      <c r="Q88" s="37"/>
    </row>
    <row r="89" spans="1:17" x14ac:dyDescent="0.25">
      <c r="A89" s="38">
        <v>98</v>
      </c>
      <c r="B89" s="40" t="str">
        <f>VLOOKUP(A89,Registry!$A$4:$AA$241,2,FALSE)</f>
        <v>LynnLou Mobile Home Park</v>
      </c>
      <c r="C89" s="40" t="str">
        <f>VLOOKUP(A89,Registry!$A$4:$AA$241,3,FALSE)</f>
        <v>Franklin</v>
      </c>
      <c r="D89" s="40" t="str">
        <f>VLOOKUP(A89,Registry!$A$4:$AA$241,4,FALSE)</f>
        <v>Highgate</v>
      </c>
      <c r="E89" s="40">
        <f>VLOOKUP(A89,Registry!$A$4:$AA$241,7,FALSE)</f>
        <v>1970</v>
      </c>
      <c r="F89" s="80" t="str">
        <f>IF(VLOOKUP(A89,Registry!$A$4:$AA$241,20,FALSE)=0,"",VLOOKUP(A89,Registry!$A$4:$AA$241,20,FALSE))</f>
        <v>For profit</v>
      </c>
      <c r="G89" s="40">
        <f>VLOOKUP(A89,Registry!$A$4:$AA$241,21,FALSE)</f>
        <v>8</v>
      </c>
      <c r="H89" s="112" t="s">
        <v>1256</v>
      </c>
      <c r="I89" s="37"/>
      <c r="J89" s="37"/>
      <c r="K89" s="37"/>
      <c r="L89" s="37"/>
      <c r="M89" s="37"/>
      <c r="N89" s="37">
        <f>SUM(Table2[[#This Row],[Maximum Contamination Violations]:[Treatment Violations]])</f>
        <v>0</v>
      </c>
      <c r="O89" s="37" t="s">
        <v>849</v>
      </c>
      <c r="P89" s="37"/>
      <c r="Q89" s="37"/>
    </row>
    <row r="90" spans="1:17" x14ac:dyDescent="0.25">
      <c r="A90" s="38">
        <v>100</v>
      </c>
      <c r="B90" s="40" t="str">
        <f>VLOOKUP(A90,Registry!$A$4:$AA$241,2,FALSE)</f>
        <v>N and A Pine Haven Inc.</v>
      </c>
      <c r="C90" s="40" t="str">
        <f>VLOOKUP(A90,Registry!$A$4:$AA$241,3,FALSE)</f>
        <v>Franklin</v>
      </c>
      <c r="D90" s="40" t="str">
        <f>VLOOKUP(A90,Registry!$A$4:$AA$241,4,FALSE)</f>
        <v>Highgate</v>
      </c>
      <c r="E90" s="40">
        <f>VLOOKUP(A90,Registry!$A$4:$AA$241,7,FALSE)</f>
        <v>1992</v>
      </c>
      <c r="F90" s="80" t="str">
        <f>IF(VLOOKUP(A90,Registry!$A$4:$AA$241,20,FALSE)=0,"",VLOOKUP(A90,Registry!$A$4:$AA$241,20,FALSE))</f>
        <v>For profit</v>
      </c>
      <c r="G90" s="40">
        <f>VLOOKUP(A90,Registry!$A$4:$AA$241,21,FALSE)</f>
        <v>7</v>
      </c>
      <c r="H90" s="112" t="s">
        <v>1256</v>
      </c>
      <c r="I90" s="37"/>
      <c r="J90" s="37" t="s">
        <v>838</v>
      </c>
      <c r="K90" s="37"/>
      <c r="L90" s="37"/>
      <c r="M90" s="37"/>
      <c r="N90" s="37">
        <f>SUM(Table2[[#This Row],[Maximum Contamination Violations]:[Treatment Violations]])</f>
        <v>0</v>
      </c>
      <c r="O90" s="37" t="s">
        <v>834</v>
      </c>
      <c r="P90" s="37" t="s">
        <v>878</v>
      </c>
      <c r="Q90" s="37"/>
    </row>
    <row r="91" spans="1:17" x14ac:dyDescent="0.25">
      <c r="A91" s="38">
        <v>71</v>
      </c>
      <c r="B91" s="40" t="str">
        <f>VLOOKUP(A91,Registry!$A$4:$AA$241,2,FALSE)</f>
        <v>Pine Haven Estates A</v>
      </c>
      <c r="C91" s="40" t="str">
        <f>VLOOKUP(A91,Registry!$A$4:$AA$241,3,FALSE)</f>
        <v>Franklin</v>
      </c>
      <c r="D91" s="40" t="str">
        <f>VLOOKUP(A91,Registry!$A$4:$AA$241,4,FALSE)</f>
        <v>Richford</v>
      </c>
      <c r="E91" s="40">
        <f>VLOOKUP(A91,Registry!$A$4:$AA$241,7,FALSE)</f>
        <v>1966</v>
      </c>
      <c r="F91" s="80" t="str">
        <f>IF(VLOOKUP(A91,Registry!$A$4:$AA$241,20,FALSE)=0,"",VLOOKUP(A91,Registry!$A$4:$AA$241,20,FALSE))</f>
        <v>For profit</v>
      </c>
      <c r="G91" s="40">
        <f>VLOOKUP(A91,Registry!$A$4:$AA$241,21,FALSE)</f>
        <v>10</v>
      </c>
      <c r="H91" s="43" t="s">
        <v>824</v>
      </c>
      <c r="I91" s="37"/>
      <c r="J91" s="37" t="s">
        <v>861</v>
      </c>
      <c r="K91" s="37"/>
      <c r="L91" s="37"/>
      <c r="M91" s="37"/>
      <c r="N91" s="37">
        <f>SUM(Table2[[#This Row],[Maximum Contamination Violations]:[Treatment Violations]])</f>
        <v>0</v>
      </c>
      <c r="O91" s="37" t="s">
        <v>824</v>
      </c>
      <c r="P91" s="37"/>
      <c r="Q91" s="37"/>
    </row>
    <row r="92" spans="1:17" x14ac:dyDescent="0.25">
      <c r="A92" s="38">
        <v>70</v>
      </c>
      <c r="B92" s="40" t="str">
        <f>VLOOKUP(A92,Registry!$A$4:$AA$241,2,FALSE)</f>
        <v>Pine Haven Estates B</v>
      </c>
      <c r="C92" s="40" t="str">
        <f>VLOOKUP(A92,Registry!$A$4:$AA$241,3,FALSE)</f>
        <v>Franklin</v>
      </c>
      <c r="D92" s="40" t="str">
        <f>VLOOKUP(A92,Registry!$A$4:$AA$241,4,FALSE)</f>
        <v>Richford</v>
      </c>
      <c r="E92" s="40">
        <f>VLOOKUP(A92,Registry!$A$4:$AA$241,7,FALSE)</f>
        <v>1970</v>
      </c>
      <c r="F92" s="80" t="str">
        <f>IF(VLOOKUP(A92,Registry!$A$4:$AA$241,20,FALSE)=0,"",VLOOKUP(A92,Registry!$A$4:$AA$241,20,FALSE))</f>
        <v>For profit</v>
      </c>
      <c r="G92" s="40">
        <f>VLOOKUP(A92,Registry!$A$4:$AA$241,21,FALSE)</f>
        <v>19</v>
      </c>
      <c r="H92" s="43" t="s">
        <v>824</v>
      </c>
      <c r="I92" s="37"/>
      <c r="J92" s="37" t="s">
        <v>861</v>
      </c>
      <c r="K92" s="37"/>
      <c r="L92" s="37"/>
      <c r="M92" s="37"/>
      <c r="N92" s="37">
        <f>SUM(Table2[[#This Row],[Maximum Contamination Violations]:[Treatment Violations]])</f>
        <v>0</v>
      </c>
      <c r="O92" s="37" t="s">
        <v>824</v>
      </c>
      <c r="P92" s="37"/>
      <c r="Q92" s="37"/>
    </row>
    <row r="93" spans="1:17" x14ac:dyDescent="0.25">
      <c r="A93" s="38">
        <v>109</v>
      </c>
      <c r="B93" s="40" t="str">
        <f>VLOOKUP(A93,Registry!$A$4:$AA$241,2,FALSE)</f>
        <v>Kittell's Mobile Home Park</v>
      </c>
      <c r="C93" s="40" t="str">
        <f>VLOOKUP(A93,Registry!$A$4:$AA$241,3,FALSE)</f>
        <v>Franklin</v>
      </c>
      <c r="D93" s="40" t="str">
        <f>VLOOKUP(A93,Registry!$A$4:$AA$241,4,FALSE)</f>
        <v>Sheldon</v>
      </c>
      <c r="E93" s="40">
        <f>VLOOKUP(A93,Registry!$A$4:$AA$241,7,FALSE)</f>
        <v>1968</v>
      </c>
      <c r="F93" s="80" t="str">
        <f>IF(VLOOKUP(A93,Registry!$A$4:$AA$241,20,FALSE)=0,"",VLOOKUP(A93,Registry!$A$4:$AA$241,20,FALSE))</f>
        <v>For profit</v>
      </c>
      <c r="G93" s="40">
        <f>VLOOKUP(A93,Registry!$A$4:$AA$241,21,FALSE)</f>
        <v>7</v>
      </c>
      <c r="H93" s="112" t="s">
        <v>1256</v>
      </c>
      <c r="I93" s="37"/>
      <c r="J93" s="37" t="s">
        <v>848</v>
      </c>
      <c r="K93" s="37"/>
      <c r="L93" s="37"/>
      <c r="M93" s="37"/>
      <c r="N93" s="37">
        <f>SUM(Table2[[#This Row],[Maximum Contamination Violations]:[Treatment Violations]])</f>
        <v>0</v>
      </c>
      <c r="O93" s="37" t="s">
        <v>849</v>
      </c>
      <c r="P93" s="37"/>
      <c r="Q93" s="37"/>
    </row>
    <row r="94" spans="1:17" x14ac:dyDescent="0.25">
      <c r="A94" s="38">
        <v>118</v>
      </c>
      <c r="B94" s="40" t="str">
        <f>VLOOKUP(A94,Registry!$A$4:$AA$241,2,FALSE)</f>
        <v>Brierwood Mobile Home Park</v>
      </c>
      <c r="C94" s="40" t="str">
        <f>VLOOKUP(A94,Registry!$A$4:$AA$241,3,FALSE)</f>
        <v>Franklin</v>
      </c>
      <c r="D94" s="40" t="str">
        <f>VLOOKUP(A94,Registry!$A$4:$AA$241,4,FALSE)</f>
        <v>St. Albans</v>
      </c>
      <c r="E94" s="40">
        <f>VLOOKUP(A94,Registry!$A$4:$AA$241,7,FALSE)</f>
        <v>1953</v>
      </c>
      <c r="F94" s="80" t="str">
        <f>IF(VLOOKUP(A94,Registry!$A$4:$AA$241,20,FALSE)=0,"",VLOOKUP(A94,Registry!$A$4:$AA$241,20,FALSE))</f>
        <v>For profit</v>
      </c>
      <c r="G94" s="40">
        <f>VLOOKUP(A94,Registry!$A$4:$AA$241,21,FALSE)</f>
        <v>30</v>
      </c>
      <c r="H94" s="43" t="s">
        <v>827</v>
      </c>
      <c r="I94" s="37">
        <v>21241</v>
      </c>
      <c r="J94" s="37" t="s">
        <v>876</v>
      </c>
      <c r="K94" s="37"/>
      <c r="L94" s="37"/>
      <c r="M94" s="37"/>
      <c r="N94" s="37">
        <f>SUM(Table2[[#This Row],[Maximum Contamination Violations]:[Treatment Violations]])</f>
        <v>0</v>
      </c>
      <c r="O94" s="37" t="s">
        <v>824</v>
      </c>
      <c r="P94" s="37"/>
      <c r="Q94" s="37"/>
    </row>
    <row r="95" spans="1:17" x14ac:dyDescent="0.25">
      <c r="A95" s="38">
        <v>107</v>
      </c>
      <c r="B95" s="40" t="str">
        <f>VLOOKUP(A95,Registry!$A$4:$AA$241,2,FALSE)</f>
        <v>Giroux's Mobile Home Park</v>
      </c>
      <c r="C95" s="40" t="str">
        <f>VLOOKUP(A95,Registry!$A$4:$AA$241,3,FALSE)</f>
        <v>Franklin</v>
      </c>
      <c r="D95" s="40" t="str">
        <f>VLOOKUP(A95,Registry!$A$4:$AA$241,4,FALSE)</f>
        <v>St. Albans</v>
      </c>
      <c r="E95" s="40">
        <f>VLOOKUP(A95,Registry!$A$4:$AA$241,7,FALSE)</f>
        <v>2014</v>
      </c>
      <c r="F95" s="80" t="str">
        <f>IF(VLOOKUP(A95,Registry!$A$4:$AA$241,20,FALSE)=0,"",VLOOKUP(A95,Registry!$A$4:$AA$241,20,FALSE))</f>
        <v>For profit</v>
      </c>
      <c r="G95" s="40">
        <f>VLOOKUP(A95,Registry!$A$4:$AA$241,21,FALSE)</f>
        <v>13</v>
      </c>
      <c r="H95" s="43" t="s">
        <v>824</v>
      </c>
      <c r="I95" s="37"/>
      <c r="J95" s="37" t="s">
        <v>876</v>
      </c>
      <c r="K95" s="37"/>
      <c r="L95" s="37"/>
      <c r="M95" s="37"/>
      <c r="N95" s="37">
        <f>SUM(Table2[[#This Row],[Maximum Contamination Violations]:[Treatment Violations]])</f>
        <v>0</v>
      </c>
      <c r="O95" s="37" t="s">
        <v>824</v>
      </c>
      <c r="P95" s="37"/>
      <c r="Q95" s="37"/>
    </row>
    <row r="96" spans="1:17" x14ac:dyDescent="0.25">
      <c r="A96" s="38">
        <v>93</v>
      </c>
      <c r="B96" s="40" t="str">
        <f>VLOOKUP(A96,Registry!$A$4:$AA$241,2,FALSE)</f>
        <v>Lakeview Trailer Park</v>
      </c>
      <c r="C96" s="40" t="str">
        <f>VLOOKUP(A96,Registry!$A$4:$AA$241,3,FALSE)</f>
        <v>Franklin</v>
      </c>
      <c r="D96" s="40" t="str">
        <f>VLOOKUP(A96,Registry!$A$4:$AA$241,4,FALSE)</f>
        <v>St. Albans</v>
      </c>
      <c r="E96" s="40">
        <f>VLOOKUP(A96,Registry!$A$4:$AA$241,7,FALSE)</f>
        <v>1945</v>
      </c>
      <c r="F96" s="80" t="str">
        <f>IF(VLOOKUP(A96,Registry!$A$4:$AA$241,20,FALSE)=0,"",VLOOKUP(A96,Registry!$A$4:$AA$241,20,FALSE))</f>
        <v>For profit</v>
      </c>
      <c r="G96" s="40">
        <f>VLOOKUP(A96,Registry!$A$4:$AA$241,21,FALSE)</f>
        <v>9</v>
      </c>
      <c r="H96" s="112" t="s">
        <v>1256</v>
      </c>
      <c r="I96" s="45"/>
      <c r="J96" s="37" t="s">
        <v>838</v>
      </c>
      <c r="K96" s="37"/>
      <c r="L96" s="37"/>
      <c r="M96" s="37"/>
      <c r="N96" s="37">
        <f>SUM(Table2[[#This Row],[Maximum Contamination Violations]:[Treatment Violations]])</f>
        <v>0</v>
      </c>
      <c r="O96" s="37" t="s">
        <v>849</v>
      </c>
      <c r="P96" s="37" t="s">
        <v>1351</v>
      </c>
      <c r="Q96" s="37"/>
    </row>
    <row r="97" spans="1:17" x14ac:dyDescent="0.25">
      <c r="A97" s="38">
        <v>94</v>
      </c>
      <c r="B97" s="40" t="str">
        <f>VLOOKUP(A97,Registry!$A$4:$AA$241,2,FALSE)</f>
        <v>Lapierre Mobile Home Park</v>
      </c>
      <c r="C97" s="40" t="str">
        <f>VLOOKUP(A97,Registry!$A$4:$AA$241,3,FALSE)</f>
        <v>Franklin</v>
      </c>
      <c r="D97" s="40" t="str">
        <f>VLOOKUP(A97,Registry!$A$4:$AA$241,4,FALSE)</f>
        <v>St. Albans</v>
      </c>
      <c r="E97" s="40">
        <f>VLOOKUP(A97,Registry!$A$4:$AA$241,7,FALSE)</f>
        <v>1968</v>
      </c>
      <c r="F97" s="80" t="str">
        <f>IF(VLOOKUP(A97,Registry!$A$4:$AA$241,20,FALSE)=0,"",VLOOKUP(A97,Registry!$A$4:$AA$241,20,FALSE))</f>
        <v>For profit</v>
      </c>
      <c r="G97" s="40">
        <f>VLOOKUP(A97,Registry!$A$4:$AA$241,21,FALSE)</f>
        <v>25</v>
      </c>
      <c r="H97" s="43" t="s">
        <v>824</v>
      </c>
      <c r="I97" s="37"/>
      <c r="J97" s="37" t="s">
        <v>876</v>
      </c>
      <c r="K97" s="37"/>
      <c r="L97" s="37"/>
      <c r="M97" s="37"/>
      <c r="N97" s="37">
        <f>SUM(Table2[[#This Row],[Maximum Contamination Violations]:[Treatment Violations]])</f>
        <v>0</v>
      </c>
      <c r="O97" s="37"/>
      <c r="P97" s="37" t="s">
        <v>877</v>
      </c>
      <c r="Q97" s="37"/>
    </row>
    <row r="98" spans="1:17" x14ac:dyDescent="0.25">
      <c r="A98" s="38">
        <v>92</v>
      </c>
      <c r="B98" s="40" t="str">
        <f>VLOOKUP(A98,Registry!$A$4:$AA$241,2,FALSE)</f>
        <v>Post Mobile Home Park</v>
      </c>
      <c r="C98" s="40" t="str">
        <f>VLOOKUP(A98,Registry!$A$4:$AA$241,3,FALSE)</f>
        <v>Franklin</v>
      </c>
      <c r="D98" s="40" t="str">
        <f>VLOOKUP(A98,Registry!$A$4:$AA$241,4,FALSE)</f>
        <v>St. Albans</v>
      </c>
      <c r="E98" s="40">
        <f>VLOOKUP(A98,Registry!$A$4:$AA$241,7,FALSE)</f>
        <v>1962</v>
      </c>
      <c r="F98" s="80" t="str">
        <f>IF(VLOOKUP(A98,Registry!$A$4:$AA$241,20,FALSE)=0,"",VLOOKUP(A98,Registry!$A$4:$AA$241,20,FALSE))</f>
        <v>For profit</v>
      </c>
      <c r="G98" s="40">
        <f>VLOOKUP(A98,Registry!$A$4:$AA$241,21,FALSE)</f>
        <v>7</v>
      </c>
      <c r="H98" s="43" t="s">
        <v>824</v>
      </c>
      <c r="I98" s="37"/>
      <c r="J98" s="37" t="s">
        <v>876</v>
      </c>
      <c r="K98" s="37"/>
      <c r="L98" s="37"/>
      <c r="M98" s="37"/>
      <c r="N98" s="37">
        <f>SUM(Table2[[#This Row],[Maximum Contamination Violations]:[Treatment Violations]])</f>
        <v>0</v>
      </c>
      <c r="O98" s="37"/>
      <c r="P98" s="37"/>
      <c r="Q98" s="37"/>
    </row>
    <row r="99" spans="1:17" x14ac:dyDescent="0.25">
      <c r="A99" s="38">
        <v>112</v>
      </c>
      <c r="B99" s="40" t="str">
        <f>VLOOKUP(A99,Registry!$A$4:$AA$241,2,FALSE)</f>
        <v>Simonds Mobile Home Park</v>
      </c>
      <c r="C99" s="40" t="str">
        <f>VLOOKUP(A99,Registry!$A$4:$AA$241,3,FALSE)</f>
        <v>Franklin</v>
      </c>
      <c r="D99" s="40" t="str">
        <f>VLOOKUP(A99,Registry!$A$4:$AA$241,4,FALSE)</f>
        <v>St. Albans</v>
      </c>
      <c r="E99" s="40">
        <f>VLOOKUP(A99,Registry!$A$4:$AA$241,7,FALSE)</f>
        <v>1967</v>
      </c>
      <c r="F99" s="80" t="str">
        <f>IF(VLOOKUP(A99,Registry!$A$4:$AA$241,20,FALSE)=0,"",VLOOKUP(A99,Registry!$A$4:$AA$241,20,FALSE))</f>
        <v>For profit</v>
      </c>
      <c r="G99" s="40">
        <f>VLOOKUP(A99,Registry!$A$4:$AA$241,21,FALSE)</f>
        <v>60</v>
      </c>
      <c r="H99" s="43" t="s">
        <v>824</v>
      </c>
      <c r="I99" s="37"/>
      <c r="J99" s="37" t="s">
        <v>876</v>
      </c>
      <c r="K99" s="37"/>
      <c r="L99" s="37"/>
      <c r="M99" s="37"/>
      <c r="N99" s="37">
        <f>SUM(Table2[[#This Row],[Maximum Contamination Violations]:[Treatment Violations]])</f>
        <v>0</v>
      </c>
      <c r="O99" s="37" t="s">
        <v>824</v>
      </c>
      <c r="P99" s="37" t="s">
        <v>881</v>
      </c>
      <c r="Q99" s="37" t="s">
        <v>882</v>
      </c>
    </row>
    <row r="100" spans="1:17" x14ac:dyDescent="0.25">
      <c r="A100" s="38">
        <v>267</v>
      </c>
      <c r="B100" s="40" t="str">
        <f>VLOOKUP(A100,Registry!$A$4:$AA$241,2,FALSE)</f>
        <v>St. Albans Mobile Home Park</v>
      </c>
      <c r="C100" s="40" t="str">
        <f>VLOOKUP(A100,Registry!$A$4:$AA$241,3,FALSE)</f>
        <v>Franklin</v>
      </c>
      <c r="D100" s="40" t="str">
        <f>VLOOKUP(A100,Registry!$A$4:$AA$241,4,FALSE)</f>
        <v>St. Albans</v>
      </c>
      <c r="E100" s="40">
        <f>VLOOKUP(A100,Registry!$A$4:$AA$241,7,FALSE)</f>
        <v>1970</v>
      </c>
      <c r="F100" s="80" t="str">
        <f>IF(VLOOKUP(A100,Registry!$A$4:$AA$241,20,FALSE)=0,"",VLOOKUP(A100,Registry!$A$4:$AA$241,20,FALSE))</f>
        <v>Non-profit</v>
      </c>
      <c r="G100" s="40">
        <f>VLOOKUP(A100,Registry!$A$4:$AA$241,21,FALSE)</f>
        <v>9</v>
      </c>
      <c r="H100" s="43" t="s">
        <v>824</v>
      </c>
      <c r="I100" s="37"/>
      <c r="J100" s="37" t="s">
        <v>876</v>
      </c>
      <c r="K100" s="37"/>
      <c r="L100" s="37"/>
      <c r="M100" s="37"/>
      <c r="N100" s="37">
        <f>SUM(Table2[[#This Row],[Maximum Contamination Violations]:[Treatment Violations]])</f>
        <v>0</v>
      </c>
      <c r="O100" s="37" t="s">
        <v>824</v>
      </c>
      <c r="P100" s="37"/>
      <c r="Q100" s="37"/>
    </row>
    <row r="101" spans="1:17" x14ac:dyDescent="0.25">
      <c r="A101" s="38">
        <v>95</v>
      </c>
      <c r="B101" s="40" t="str">
        <f>VLOOKUP(A101,Registry!$A$4:$AA$241,2,FALSE)</f>
        <v>Town and Country Estates</v>
      </c>
      <c r="C101" s="40" t="str">
        <f>VLOOKUP(A101,Registry!$A$4:$AA$241,3,FALSE)</f>
        <v>Franklin</v>
      </c>
      <c r="D101" s="40" t="str">
        <f>VLOOKUP(A101,Registry!$A$4:$AA$241,4,FALSE)</f>
        <v>St. Albans</v>
      </c>
      <c r="E101" s="40">
        <f>VLOOKUP(A101,Registry!$A$4:$AA$241,7,FALSE)</f>
        <v>1991</v>
      </c>
      <c r="F101" s="80" t="str">
        <f>IF(VLOOKUP(A101,Registry!$A$4:$AA$241,20,FALSE)=0,"",VLOOKUP(A101,Registry!$A$4:$AA$241,20,FALSE))</f>
        <v>For profit</v>
      </c>
      <c r="G101" s="40">
        <f>VLOOKUP(A101,Registry!$A$4:$AA$241,21,FALSE)</f>
        <v>60</v>
      </c>
      <c r="H101" s="43" t="s">
        <v>824</v>
      </c>
      <c r="I101" s="37"/>
      <c r="J101" s="37" t="s">
        <v>876</v>
      </c>
      <c r="K101" s="37"/>
      <c r="L101" s="37"/>
      <c r="M101" s="37"/>
      <c r="N101" s="37">
        <f>SUM(Table2[[#This Row],[Maximum Contamination Violations]:[Treatment Violations]])</f>
        <v>0</v>
      </c>
      <c r="O101" s="37" t="s">
        <v>824</v>
      </c>
      <c r="P101" s="37"/>
      <c r="Q101" s="37"/>
    </row>
    <row r="102" spans="1:17" x14ac:dyDescent="0.25">
      <c r="A102" s="38">
        <v>254</v>
      </c>
      <c r="B102" s="40" t="str">
        <f>VLOOKUP(A102,Registry!$A$4:$AA$241,2,FALSE)</f>
        <v>Brault's Park</v>
      </c>
      <c r="C102" s="40" t="str">
        <f>VLOOKUP(A102,Registry!$A$4:$AA$241,3,FALSE)</f>
        <v>Franklin</v>
      </c>
      <c r="D102" s="40" t="str">
        <f>VLOOKUP(A102,Registry!$A$4:$AA$241,4,FALSE)</f>
        <v>Swanton</v>
      </c>
      <c r="E102" s="40">
        <f>VLOOKUP(A102,Registry!$A$4:$AA$241,7,FALSE)</f>
        <v>1968</v>
      </c>
      <c r="F102" s="80" t="str">
        <f>IF(VLOOKUP(A102,Registry!$A$4:$AA$241,20,FALSE)=0,"",VLOOKUP(A102,Registry!$A$4:$AA$241,20,FALSE))</f>
        <v>For profit</v>
      </c>
      <c r="G102" s="40">
        <f>VLOOKUP(A102,Registry!$A$4:$AA$241,21,FALSE)</f>
        <v>18</v>
      </c>
      <c r="H102" s="43" t="s">
        <v>824</v>
      </c>
      <c r="I102" s="37"/>
      <c r="J102" s="37" t="s">
        <v>880</v>
      </c>
      <c r="K102" s="37"/>
      <c r="L102" s="37"/>
      <c r="M102" s="37"/>
      <c r="N102" s="37">
        <f>SUM(Table2[[#This Row],[Maximum Contamination Violations]:[Treatment Violations]])</f>
        <v>0</v>
      </c>
      <c r="O102" s="37" t="s">
        <v>824</v>
      </c>
      <c r="P102" s="37"/>
      <c r="Q102" s="37"/>
    </row>
    <row r="103" spans="1:17" x14ac:dyDescent="0.25">
      <c r="A103" s="38">
        <v>300</v>
      </c>
      <c r="B103" s="40" t="str">
        <f>VLOOKUP(A103,Registry!$A$4:$AA$241,2,FALSE)</f>
        <v>Cheney Mobile Home Park</v>
      </c>
      <c r="C103" s="40" t="str">
        <f>VLOOKUP(A103,Registry!$A$4:$AA$241,3,FALSE)</f>
        <v>Franklin</v>
      </c>
      <c r="D103" s="40" t="str">
        <f>VLOOKUP(A103,Registry!$A$4:$AA$241,4,FALSE)</f>
        <v>Swanton</v>
      </c>
      <c r="E103" s="40">
        <f>VLOOKUP(A103,Registry!$A$4:$AA$241,7,FALSE)</f>
        <v>1960</v>
      </c>
      <c r="F103" s="80" t="str">
        <f>IF(VLOOKUP(A103,Registry!$A$4:$AA$241,20,FALSE)=0,"",VLOOKUP(A103,Registry!$A$4:$AA$241,20,FALSE))</f>
        <v>For profit</v>
      </c>
      <c r="G103" s="40">
        <f>VLOOKUP(A103,Registry!$A$4:$AA$241,21,FALSE)</f>
        <v>4</v>
      </c>
      <c r="H103" s="43" t="s">
        <v>824</v>
      </c>
      <c r="I103" s="37"/>
      <c r="J103" s="37" t="s">
        <v>880</v>
      </c>
      <c r="K103" s="37"/>
      <c r="L103" s="37"/>
      <c r="M103" s="37"/>
      <c r="N103" s="37">
        <f>SUM(Table2[[#This Row],[Maximum Contamination Violations]:[Treatment Violations]])</f>
        <v>0</v>
      </c>
      <c r="O103" s="37" t="s">
        <v>824</v>
      </c>
      <c r="P103" s="37"/>
      <c r="Q103" s="37"/>
    </row>
    <row r="104" spans="1:17" x14ac:dyDescent="0.25">
      <c r="A104" s="38">
        <v>230</v>
      </c>
      <c r="B104" s="40" t="str">
        <f>VLOOKUP(A104,Registry!$A$4:$AA$241,2,FALSE)</f>
        <v>Country Acres</v>
      </c>
      <c r="C104" s="40" t="str">
        <f>VLOOKUP(A104,Registry!$A$4:$AA$241,3,FALSE)</f>
        <v>Franklin</v>
      </c>
      <c r="D104" s="40" t="str">
        <f>VLOOKUP(A104,Registry!$A$4:$AA$241,4,FALSE)</f>
        <v>Swanton</v>
      </c>
      <c r="E104" s="40">
        <f>VLOOKUP(A104,Registry!$A$4:$AA$241,7,FALSE)</f>
        <v>1971</v>
      </c>
      <c r="F104" s="80" t="str">
        <f>IF(VLOOKUP(A104,Registry!$A$4:$AA$241,20,FALSE)=0,"",VLOOKUP(A104,Registry!$A$4:$AA$241,20,FALSE))</f>
        <v>For profit</v>
      </c>
      <c r="G104" s="40">
        <f>VLOOKUP(A104,Registry!$A$4:$AA$241,21,FALSE)</f>
        <v>12</v>
      </c>
      <c r="H104" s="43" t="s">
        <v>824</v>
      </c>
      <c r="I104" s="45"/>
      <c r="J104" s="37" t="s">
        <v>880</v>
      </c>
      <c r="K104" s="37"/>
      <c r="L104" s="37"/>
      <c r="M104" s="37"/>
      <c r="N104" s="37">
        <f>SUM(Table2[[#This Row],[Maximum Contamination Violations]:[Treatment Violations]])</f>
        <v>0</v>
      </c>
      <c r="O104" s="37"/>
      <c r="P104" s="37"/>
      <c r="Q104" s="37"/>
    </row>
    <row r="105" spans="1:17" x14ac:dyDescent="0.25">
      <c r="A105" s="38">
        <v>249</v>
      </c>
      <c r="B105" s="40" t="str">
        <f>VLOOKUP(A105,Registry!$A$4:$AA$241,2,FALSE)</f>
        <v>Homestead Acres Mobile Home Cooperative</v>
      </c>
      <c r="C105" s="40" t="str">
        <f>VLOOKUP(A105,Registry!$A$4:$AA$241,3,FALSE)</f>
        <v>Franklin</v>
      </c>
      <c r="D105" s="40" t="str">
        <f>VLOOKUP(A105,Registry!$A$4:$AA$241,4,FALSE)</f>
        <v>Swanton</v>
      </c>
      <c r="E105" s="40">
        <f>VLOOKUP(A105,Registry!$A$4:$AA$241,7,FALSE)</f>
        <v>1960</v>
      </c>
      <c r="F105" s="80" t="str">
        <f>IF(VLOOKUP(A105,Registry!$A$4:$AA$241,20,FALSE)=0,"",VLOOKUP(A105,Registry!$A$4:$AA$241,20,FALSE))</f>
        <v>Cooperative</v>
      </c>
      <c r="G105" s="40">
        <f>VLOOKUP(A105,Registry!$A$4:$AA$241,21,FALSE)</f>
        <v>30</v>
      </c>
      <c r="H105" s="43" t="s">
        <v>830</v>
      </c>
      <c r="I105" s="37">
        <v>5134</v>
      </c>
      <c r="J105" s="37" t="s">
        <v>832</v>
      </c>
      <c r="K105" s="37">
        <v>0</v>
      </c>
      <c r="L105" s="37">
        <v>2</v>
      </c>
      <c r="M105" s="37">
        <v>0</v>
      </c>
      <c r="N105" s="37">
        <f>SUM(Table2[[#This Row],[Maximum Contamination Violations]:[Treatment Violations]])</f>
        <v>2</v>
      </c>
      <c r="O105" s="37" t="s">
        <v>823</v>
      </c>
      <c r="P105" s="37" t="s">
        <v>936</v>
      </c>
      <c r="Q105" s="37"/>
    </row>
    <row r="106" spans="1:17" x14ac:dyDescent="0.25">
      <c r="A106" s="38">
        <v>110</v>
      </c>
      <c r="B106" s="40" t="str">
        <f>VLOOKUP(A106,Registry!$A$4:$AA$241,2,FALSE)</f>
        <v>Jewett Street MHP</v>
      </c>
      <c r="C106" s="40" t="str">
        <f>VLOOKUP(A106,Registry!$A$4:$AA$241,3,FALSE)</f>
        <v>Franklin</v>
      </c>
      <c r="D106" s="40" t="str">
        <f>VLOOKUP(A106,Registry!$A$4:$AA$241,4,FALSE)</f>
        <v>Swanton</v>
      </c>
      <c r="E106" s="40">
        <f>VLOOKUP(A106,Registry!$A$4:$AA$241,7,FALSE)</f>
        <v>1960</v>
      </c>
      <c r="F106" s="80" t="str">
        <f>IF(VLOOKUP(A106,Registry!$A$4:$AA$241,20,FALSE)=0,"",VLOOKUP(A106,Registry!$A$4:$AA$241,20,FALSE))</f>
        <v>For profit</v>
      </c>
      <c r="G106" s="40">
        <f>VLOOKUP(A106,Registry!$A$4:$AA$241,21,FALSE)</f>
        <v>5</v>
      </c>
      <c r="H106" s="43" t="s">
        <v>824</v>
      </c>
      <c r="I106" s="37"/>
      <c r="J106" s="37" t="s">
        <v>880</v>
      </c>
      <c r="K106" s="37"/>
      <c r="L106" s="37"/>
      <c r="M106" s="37"/>
      <c r="N106" s="37">
        <f>SUM(Table2[[#This Row],[Maximum Contamination Violations]:[Treatment Violations]])</f>
        <v>0</v>
      </c>
      <c r="O106" s="37" t="s">
        <v>824</v>
      </c>
      <c r="P106" s="37"/>
      <c r="Q106" s="37"/>
    </row>
    <row r="107" spans="1:17" x14ac:dyDescent="0.25">
      <c r="A107" s="38">
        <v>115</v>
      </c>
      <c r="B107" s="40" t="str">
        <f>VLOOKUP(A107,Registry!$A$4:$AA$241,2,FALSE)</f>
        <v>McWilliams Properties, LLC</v>
      </c>
      <c r="C107" s="40" t="str">
        <f>VLOOKUP(A107,Registry!$A$4:$AA$241,3,FALSE)</f>
        <v>Franklin</v>
      </c>
      <c r="D107" s="40" t="str">
        <f>VLOOKUP(A107,Registry!$A$4:$AA$241,4,FALSE)</f>
        <v>Swanton</v>
      </c>
      <c r="E107" s="40">
        <f>VLOOKUP(A107,Registry!$A$4:$AA$241,7,FALSE)</f>
        <v>1961</v>
      </c>
      <c r="F107" s="80" t="str">
        <f>IF(VLOOKUP(A107,Registry!$A$4:$AA$241,20,FALSE)=0,"",VLOOKUP(A107,Registry!$A$4:$AA$241,20,FALSE))</f>
        <v>For profit</v>
      </c>
      <c r="G107" s="40">
        <f>VLOOKUP(A107,Registry!$A$4:$AA$241,21,FALSE)</f>
        <v>4</v>
      </c>
      <c r="H107" s="43" t="s">
        <v>824</v>
      </c>
      <c r="I107" s="37"/>
      <c r="J107" s="37" t="s">
        <v>880</v>
      </c>
      <c r="K107" s="37"/>
      <c r="L107" s="37"/>
      <c r="M107" s="37"/>
      <c r="N107" s="37">
        <f>SUM(Table2[[#This Row],[Maximum Contamination Violations]:[Treatment Violations]])</f>
        <v>0</v>
      </c>
      <c r="O107" s="37" t="s">
        <v>824</v>
      </c>
      <c r="P107" s="37"/>
      <c r="Q107" s="37"/>
    </row>
    <row r="108" spans="1:17" x14ac:dyDescent="0.25">
      <c r="A108" s="38">
        <v>111</v>
      </c>
      <c r="B108" s="40" t="str">
        <f>VLOOKUP(A108,Registry!$A$4:$AA$241,2,FALSE)</f>
        <v>Roy's Mobile Home Park</v>
      </c>
      <c r="C108" s="40" t="str">
        <f>VLOOKUP(A108,Registry!$A$4:$AA$241,3,FALSE)</f>
        <v>Franklin</v>
      </c>
      <c r="D108" s="40" t="str">
        <f>VLOOKUP(A108,Registry!$A$4:$AA$241,4,FALSE)</f>
        <v>Swanton</v>
      </c>
      <c r="E108" s="40">
        <f>VLOOKUP(A108,Registry!$A$4:$AA$241,7,FALSE)</f>
        <v>1962</v>
      </c>
      <c r="F108" s="80" t="str">
        <f>IF(VLOOKUP(A108,Registry!$A$4:$AA$241,20,FALSE)=0,"",VLOOKUP(A108,Registry!$A$4:$AA$241,20,FALSE))</f>
        <v>Non-profit</v>
      </c>
      <c r="G108" s="40">
        <f>VLOOKUP(A108,Registry!$A$4:$AA$241,21,FALSE)</f>
        <v>32</v>
      </c>
      <c r="H108" s="43" t="s">
        <v>824</v>
      </c>
      <c r="I108" s="37"/>
      <c r="J108" s="37" t="s">
        <v>880</v>
      </c>
      <c r="K108" s="37"/>
      <c r="L108" s="37"/>
      <c r="M108" s="37"/>
      <c r="N108" s="37">
        <f>SUM(Table2[[#This Row],[Maximum Contamination Violations]:[Treatment Violations]])</f>
        <v>0</v>
      </c>
      <c r="O108" s="37" t="s">
        <v>824</v>
      </c>
      <c r="P108" s="37"/>
      <c r="Q108" s="37"/>
    </row>
    <row r="109" spans="1:17" x14ac:dyDescent="0.25">
      <c r="A109" s="38">
        <v>77</v>
      </c>
      <c r="B109" s="40" t="str">
        <f>VLOOKUP(A109,Registry!$A$4:$AA$241,2,FALSE)</f>
        <v>Sunset Terrace Estates</v>
      </c>
      <c r="C109" s="40" t="str">
        <f>VLOOKUP(A109,Registry!$A$4:$AA$241,3,FALSE)</f>
        <v>Franklin</v>
      </c>
      <c r="D109" s="40" t="str">
        <f>VLOOKUP(A109,Registry!$A$4:$AA$241,4,FALSE)</f>
        <v>Swanton</v>
      </c>
      <c r="E109" s="40">
        <f>VLOOKUP(A109,Registry!$A$4:$AA$241,7,FALSE)</f>
        <v>1970</v>
      </c>
      <c r="F109" s="80" t="str">
        <f>IF(VLOOKUP(A109,Registry!$A$4:$AA$241,20,FALSE)=0,"",VLOOKUP(A109,Registry!$A$4:$AA$241,20,FALSE))</f>
        <v>Non-profit</v>
      </c>
      <c r="G109" s="40">
        <f>VLOOKUP(A109,Registry!$A$4:$AA$241,21,FALSE)</f>
        <v>17</v>
      </c>
      <c r="H109" s="43" t="s">
        <v>830</v>
      </c>
      <c r="I109" s="37">
        <v>5133</v>
      </c>
      <c r="J109" s="37" t="s">
        <v>832</v>
      </c>
      <c r="K109" s="37"/>
      <c r="L109" s="37"/>
      <c r="M109" s="37"/>
      <c r="N109" s="37">
        <f>SUM(Table2[[#This Row],[Maximum Contamination Violations]:[Treatment Violations]])</f>
        <v>0</v>
      </c>
      <c r="O109" s="37"/>
      <c r="P109" s="37" t="s">
        <v>1231</v>
      </c>
      <c r="Q109" s="37"/>
    </row>
    <row r="110" spans="1:17" x14ac:dyDescent="0.25">
      <c r="A110" s="38">
        <v>250</v>
      </c>
      <c r="B110" s="40" t="str">
        <f>VLOOKUP(A110,Registry!$A$4:$AA$241,2,FALSE)</f>
        <v>Blair Trailer Park</v>
      </c>
      <c r="C110" s="40" t="str">
        <f>VLOOKUP(A110,Registry!$A$4:$AA$241,3,FALSE)</f>
        <v>Grand Isle</v>
      </c>
      <c r="D110" s="40" t="str">
        <f>VLOOKUP(A110,Registry!$A$4:$AA$241,4,FALSE)</f>
        <v>Alburgh</v>
      </c>
      <c r="E110" s="40">
        <f>VLOOKUP(A110,Registry!$A$4:$AA$241,7,FALSE)</f>
        <v>1982</v>
      </c>
      <c r="F110" s="80" t="str">
        <f>IF(VLOOKUP(A110,Registry!$A$4:$AA$241,20,FALSE)=0,"",VLOOKUP(A110,Registry!$A$4:$AA$241,20,FALSE))</f>
        <v>For profit</v>
      </c>
      <c r="G110" s="40">
        <f>VLOOKUP(A110,Registry!$A$4:$AA$241,21,FALSE)</f>
        <v>8</v>
      </c>
      <c r="H110" s="43" t="s">
        <v>824</v>
      </c>
      <c r="I110" s="37"/>
      <c r="J110" s="37" t="s">
        <v>1463</v>
      </c>
      <c r="K110" s="37"/>
      <c r="L110" s="37"/>
      <c r="M110" s="37"/>
      <c r="N110" s="37">
        <f>SUM(Table2[[#This Row],[Maximum Contamination Violations]:[Treatment Violations]])</f>
        <v>0</v>
      </c>
      <c r="O110" s="37" t="s">
        <v>824</v>
      </c>
      <c r="P110" s="37"/>
      <c r="Q110" s="37"/>
    </row>
    <row r="111" spans="1:17" x14ac:dyDescent="0.25">
      <c r="A111" s="38">
        <v>136</v>
      </c>
      <c r="B111" s="40" t="str">
        <f>VLOOKUP(A111,Registry!$A$4:$AA$241,2,FALSE)</f>
        <v>Cooper's Bay Mobile Home Park</v>
      </c>
      <c r="C111" s="40" t="str">
        <f>VLOOKUP(A111,Registry!$A$4:$AA$241,3,FALSE)</f>
        <v>Grand Isle</v>
      </c>
      <c r="D111" s="40" t="str">
        <f>VLOOKUP(A111,Registry!$A$4:$AA$241,4,FALSE)</f>
        <v>Grand Isle</v>
      </c>
      <c r="E111" s="40">
        <f>VLOOKUP(A111,Registry!$A$4:$AA$241,7,FALSE)</f>
        <v>1954</v>
      </c>
      <c r="F111" s="80" t="str">
        <f>IF(VLOOKUP(A111,Registry!$A$4:$AA$241,20,FALSE)=0,"",VLOOKUP(A111,Registry!$A$4:$AA$241,20,FALSE))</f>
        <v>Non-profit</v>
      </c>
      <c r="G111" s="40">
        <f>VLOOKUP(A111,Registry!$A$4:$AA$241,21,FALSE)</f>
        <v>24</v>
      </c>
      <c r="H111" s="43" t="s">
        <v>824</v>
      </c>
      <c r="I111" s="45"/>
      <c r="J111" s="37" t="s">
        <v>1317</v>
      </c>
      <c r="K111" s="37"/>
      <c r="L111" s="37"/>
      <c r="M111" s="37"/>
      <c r="N111" s="37">
        <f>SUM(Table2[[#This Row],[Maximum Contamination Violations]:[Treatment Violations]])</f>
        <v>0</v>
      </c>
      <c r="O111" s="37" t="s">
        <v>834</v>
      </c>
      <c r="P111" s="37"/>
      <c r="Q111" s="37"/>
    </row>
    <row r="112" spans="1:17" x14ac:dyDescent="0.25">
      <c r="A112" s="38">
        <v>298</v>
      </c>
      <c r="B112" s="40" t="str">
        <f>VLOOKUP(A112,Registry!$A$4:$AA$241,2,FALSE)</f>
        <v>Harvey MHP</v>
      </c>
      <c r="C112" s="40" t="str">
        <f>VLOOKUP(A112,Registry!$A$4:$AA$241,3,FALSE)</f>
        <v>Lamoille</v>
      </c>
      <c r="D112" s="40" t="str">
        <f>VLOOKUP(A112,Registry!$A$4:$AA$241,4,FALSE)</f>
        <v>Eden</v>
      </c>
      <c r="E112" s="40">
        <f>VLOOKUP(A112,Registry!$A$4:$AA$241,7,FALSE)</f>
        <v>1998</v>
      </c>
      <c r="F112" s="80" t="str">
        <f>IF(VLOOKUP(A112,Registry!$A$4:$AA$241,20,FALSE)=0,"",VLOOKUP(A112,Registry!$A$4:$AA$241,20,FALSE))</f>
        <v>For profit</v>
      </c>
      <c r="G112" s="40">
        <f>VLOOKUP(A112,Registry!$A$4:$AA$241,21,FALSE)</f>
        <v>4</v>
      </c>
      <c r="H112" s="112" t="s">
        <v>1256</v>
      </c>
      <c r="I112" s="37"/>
      <c r="J112" s="37"/>
      <c r="K112" s="37"/>
      <c r="L112" s="37"/>
      <c r="M112" s="37"/>
      <c r="N112" s="37">
        <f>SUM(Table2[[#This Row],[Maximum Contamination Violations]:[Treatment Violations]])</f>
        <v>0</v>
      </c>
      <c r="O112" s="37" t="s">
        <v>836</v>
      </c>
      <c r="P112" s="37"/>
      <c r="Q112" s="37"/>
    </row>
    <row r="113" spans="1:17" x14ac:dyDescent="0.25">
      <c r="A113" s="38">
        <v>168</v>
      </c>
      <c r="B113" s="40" t="str">
        <f>VLOOKUP(A113,Registry!$A$4:$AA$241,2,FALSE)</f>
        <v>Sterling View Cooperative Community, Inc.</v>
      </c>
      <c r="C113" s="40" t="str">
        <f>VLOOKUP(A113,Registry!$A$4:$AA$241,3,FALSE)</f>
        <v>Lamoille</v>
      </c>
      <c r="D113" s="40" t="str">
        <f>VLOOKUP(A113,Registry!$A$4:$AA$241,4,FALSE)</f>
        <v>Hyde Park</v>
      </c>
      <c r="E113" s="40">
        <f>VLOOKUP(A113,Registry!$A$4:$AA$241,7,FALSE)</f>
        <v>1988</v>
      </c>
      <c r="F113" s="80" t="str">
        <f>IF(VLOOKUP(A113,Registry!$A$4:$AA$241,20,FALSE)=0,"",VLOOKUP(A113,Registry!$A$4:$AA$241,20,FALSE))</f>
        <v>Cooperative</v>
      </c>
      <c r="G113" s="40">
        <f>VLOOKUP(A113,Registry!$A$4:$AA$241,21,FALSE)</f>
        <v>113</v>
      </c>
      <c r="H113" s="43" t="s">
        <v>830</v>
      </c>
      <c r="I113" s="37">
        <v>20092</v>
      </c>
      <c r="J113" s="37" t="s">
        <v>866</v>
      </c>
      <c r="K113" s="37">
        <v>0</v>
      </c>
      <c r="L113" s="37">
        <v>6</v>
      </c>
      <c r="M113" s="37">
        <v>0</v>
      </c>
      <c r="N113" s="37">
        <f>SUM(Table2[[#This Row],[Maximum Contamination Violations]:[Treatment Violations]])</f>
        <v>6</v>
      </c>
      <c r="O113" s="37" t="s">
        <v>849</v>
      </c>
      <c r="P113" s="37" t="s">
        <v>1244</v>
      </c>
      <c r="Q113" s="37" t="s">
        <v>911</v>
      </c>
    </row>
    <row r="114" spans="1:17" x14ac:dyDescent="0.25">
      <c r="A114" s="38">
        <v>121</v>
      </c>
      <c r="B114" s="40" t="str">
        <f>VLOOKUP(A114,Registry!$A$4:$AA$241,2,FALSE)</f>
        <v>Highland Heights MHP</v>
      </c>
      <c r="C114" s="40" t="str">
        <f>VLOOKUP(A114,Registry!$A$4:$AA$241,3,FALSE)</f>
        <v>Lamoille</v>
      </c>
      <c r="D114" s="40" t="str">
        <f>VLOOKUP(A114,Registry!$A$4:$AA$241,4,FALSE)</f>
        <v>Johnson</v>
      </c>
      <c r="E114" s="40">
        <f>VLOOKUP(A114,Registry!$A$4:$AA$241,7,FALSE)</f>
        <v>1966</v>
      </c>
      <c r="F114" s="80" t="str">
        <f>IF(VLOOKUP(A114,Registry!$A$4:$AA$241,20,FALSE)=0,"",VLOOKUP(A114,Registry!$A$4:$AA$241,20,FALSE))</f>
        <v>For profit</v>
      </c>
      <c r="G114" s="40">
        <f>VLOOKUP(A114,Registry!$A$4:$AA$241,21,FALSE)</f>
        <v>46</v>
      </c>
      <c r="H114" s="43" t="s">
        <v>824</v>
      </c>
      <c r="I114" s="45"/>
      <c r="J114" s="37" t="s">
        <v>884</v>
      </c>
      <c r="K114" s="37"/>
      <c r="L114" s="37"/>
      <c r="M114" s="37"/>
      <c r="N114" s="37">
        <f>SUM(Table2[[#This Row],[Maximum Contamination Violations]:[Treatment Violations]])</f>
        <v>0</v>
      </c>
      <c r="O114" s="37" t="s">
        <v>823</v>
      </c>
      <c r="P114" s="37" t="s">
        <v>1247</v>
      </c>
      <c r="Q114" s="37" t="s">
        <v>885</v>
      </c>
    </row>
    <row r="115" spans="1:17" x14ac:dyDescent="0.25">
      <c r="A115" s="38">
        <v>167</v>
      </c>
      <c r="B115" s="40" t="str">
        <f>VLOOKUP(A115,Registry!$A$4:$AA$241,2,FALSE)</f>
        <v>Johnson Mobile Home Park</v>
      </c>
      <c r="C115" s="40" t="str">
        <f>VLOOKUP(A115,Registry!$A$4:$AA$241,3,FALSE)</f>
        <v>Lamoille</v>
      </c>
      <c r="D115" s="40" t="str">
        <f>VLOOKUP(A115,Registry!$A$4:$AA$241,4,FALSE)</f>
        <v>Johnson</v>
      </c>
      <c r="E115" s="40">
        <f>VLOOKUP(A115,Registry!$A$4:$AA$241,7,FALSE)</f>
        <v>1965</v>
      </c>
      <c r="F115" s="80" t="str">
        <f>IF(VLOOKUP(A115,Registry!$A$4:$AA$241,20,FALSE)=0,"",VLOOKUP(A115,Registry!$A$4:$AA$241,20,FALSE))</f>
        <v>For profit</v>
      </c>
      <c r="G115" s="40">
        <f>VLOOKUP(A115,Registry!$A$4:$AA$241,21,FALSE)</f>
        <v>33</v>
      </c>
      <c r="H115" s="43" t="s">
        <v>824</v>
      </c>
      <c r="I115" s="37"/>
      <c r="J115" s="37" t="s">
        <v>884</v>
      </c>
      <c r="K115" s="37"/>
      <c r="L115" s="37"/>
      <c r="M115" s="37"/>
      <c r="N115" s="37">
        <f>SUM(Table2[[#This Row],[Maximum Contamination Violations]:[Treatment Violations]])</f>
        <v>0</v>
      </c>
      <c r="O115" s="37" t="s">
        <v>823</v>
      </c>
      <c r="P115" s="37" t="s">
        <v>1322</v>
      </c>
      <c r="Q115" s="37"/>
    </row>
    <row r="116" spans="1:17" x14ac:dyDescent="0.25">
      <c r="A116" s="38">
        <v>165</v>
      </c>
      <c r="B116" s="40" t="str">
        <f>VLOOKUP(A116,Registry!$A$4:$AA$241,2,FALSE)</f>
        <v>Katy Win Mobile Home Development</v>
      </c>
      <c r="C116" s="40" t="str">
        <f>VLOOKUP(A116,Registry!$A$4:$AA$241,3,FALSE)</f>
        <v>Lamoille</v>
      </c>
      <c r="D116" s="40" t="str">
        <f>VLOOKUP(A116,Registry!$A$4:$AA$241,4,FALSE)</f>
        <v>Johnson</v>
      </c>
      <c r="E116" s="40">
        <f>VLOOKUP(A116,Registry!$A$4:$AA$241,7,FALSE)</f>
        <v>1967</v>
      </c>
      <c r="F116" s="80" t="str">
        <f>IF(VLOOKUP(A116,Registry!$A$4:$AA$241,20,FALSE)=0,"",VLOOKUP(A116,Registry!$A$4:$AA$241,20,FALSE))</f>
        <v>For profit</v>
      </c>
      <c r="G116" s="40">
        <f>VLOOKUP(A116,Registry!$A$4:$AA$241,21,FALSE)</f>
        <v>47</v>
      </c>
      <c r="H116" s="43" t="s">
        <v>824</v>
      </c>
      <c r="I116" s="37"/>
      <c r="J116" s="37" t="s">
        <v>884</v>
      </c>
      <c r="K116" s="37"/>
      <c r="L116" s="37"/>
      <c r="M116" s="37"/>
      <c r="N116" s="37">
        <f>SUM(Table2[[#This Row],[Maximum Contamination Violations]:[Treatment Violations]])</f>
        <v>0</v>
      </c>
      <c r="O116" s="37" t="s">
        <v>824</v>
      </c>
      <c r="P116" s="37" t="s">
        <v>1243</v>
      </c>
      <c r="Q116" s="37" t="s">
        <v>909</v>
      </c>
    </row>
    <row r="117" spans="1:17" x14ac:dyDescent="0.25">
      <c r="A117" s="38">
        <v>164</v>
      </c>
      <c r="B117" s="40" t="str">
        <f>VLOOKUP(A117,Registry!$A$4:$AA$241,2,FALSE)</f>
        <v>Mountain View Park</v>
      </c>
      <c r="C117" s="40" t="str">
        <f>VLOOKUP(A117,Registry!$A$4:$AA$241,3,FALSE)</f>
        <v>Lamoille</v>
      </c>
      <c r="D117" s="40" t="str">
        <f>VLOOKUP(A117,Registry!$A$4:$AA$241,4,FALSE)</f>
        <v>Johnson</v>
      </c>
      <c r="E117" s="40">
        <f>VLOOKUP(A117,Registry!$A$4:$AA$241,7,FALSE)</f>
        <v>1963</v>
      </c>
      <c r="F117" s="80" t="str">
        <f>IF(VLOOKUP(A117,Registry!$A$4:$AA$241,20,FALSE)=0,"",VLOOKUP(A117,Registry!$A$4:$AA$241,20,FALSE))</f>
        <v>For profit</v>
      </c>
      <c r="G117" s="40">
        <f>VLOOKUP(A117,Registry!$A$4:$AA$241,21,FALSE)</f>
        <v>31</v>
      </c>
      <c r="H117" s="43" t="s">
        <v>830</v>
      </c>
      <c r="I117" s="37">
        <v>5155</v>
      </c>
      <c r="J117" s="37"/>
      <c r="K117" s="37">
        <v>0</v>
      </c>
      <c r="L117" s="37">
        <v>1</v>
      </c>
      <c r="M117" s="37">
        <v>0</v>
      </c>
      <c r="N117" s="37">
        <f>SUM(Table2[[#This Row],[Maximum Contamination Violations]:[Treatment Violations]])</f>
        <v>1</v>
      </c>
      <c r="O117" s="37" t="s">
        <v>824</v>
      </c>
      <c r="P117" s="37" t="s">
        <v>1245</v>
      </c>
      <c r="Q117" s="37"/>
    </row>
    <row r="118" spans="1:17" x14ac:dyDescent="0.25">
      <c r="A118" s="38">
        <v>169</v>
      </c>
      <c r="B118" s="40" t="str">
        <f>VLOOKUP(A118,Registry!$A$4:$AA$241,2,FALSE)</f>
        <v>Pinecrest Mobile Home Park</v>
      </c>
      <c r="C118" s="40" t="str">
        <f>VLOOKUP(A118,Registry!$A$4:$AA$241,3,FALSE)</f>
        <v>Lamoille</v>
      </c>
      <c r="D118" s="40" t="str">
        <f>VLOOKUP(A118,Registry!$A$4:$AA$241,4,FALSE)</f>
        <v>Morristown</v>
      </c>
      <c r="E118" s="40">
        <f>VLOOKUP(A118,Registry!$A$4:$AA$241,7,FALSE)</f>
        <v>1969</v>
      </c>
      <c r="F118" s="80" t="str">
        <f>IF(VLOOKUP(A118,Registry!$A$4:$AA$241,20,FALSE)=0,"",VLOOKUP(A118,Registry!$A$4:$AA$241,20,FALSE))</f>
        <v>For profit</v>
      </c>
      <c r="G118" s="40">
        <f>VLOOKUP(A118,Registry!$A$4:$AA$241,21,FALSE)</f>
        <v>53</v>
      </c>
      <c r="H118" s="43" t="s">
        <v>830</v>
      </c>
      <c r="I118" s="37">
        <v>5162</v>
      </c>
      <c r="J118" s="37" t="s">
        <v>832</v>
      </c>
      <c r="K118" s="37"/>
      <c r="L118" s="37"/>
      <c r="M118" s="37"/>
      <c r="N118" s="37">
        <f>SUM(Table2[[#This Row],[Maximum Contamination Violations]:[Treatment Violations]])</f>
        <v>0</v>
      </c>
      <c r="O118" s="37" t="s">
        <v>823</v>
      </c>
      <c r="P118" s="37" t="s">
        <v>1242</v>
      </c>
      <c r="Q118" s="37" t="s">
        <v>912</v>
      </c>
    </row>
    <row r="119" spans="1:17" x14ac:dyDescent="0.25">
      <c r="A119" s="38">
        <v>133</v>
      </c>
      <c r="B119" s="40" t="str">
        <f>VLOOKUP(A119,Registry!$A$4:$AA$241,2,FALSE)</f>
        <v>Whistle Stop Mobile Home Park</v>
      </c>
      <c r="C119" s="40" t="str">
        <f>VLOOKUP(A119,Registry!$A$4:$AA$241,3,FALSE)</f>
        <v>Orange</v>
      </c>
      <c r="D119" s="40" t="str">
        <f>VLOOKUP(A119,Registry!$A$4:$AA$241,4,FALSE)</f>
        <v>Bradford</v>
      </c>
      <c r="E119" s="40">
        <f>VLOOKUP(A119,Registry!$A$4:$AA$241,7,FALSE)</f>
        <v>1970</v>
      </c>
      <c r="F119" s="80" t="str">
        <f>IF(VLOOKUP(A119,Registry!$A$4:$AA$241,20,FALSE)=0,"",VLOOKUP(A119,Registry!$A$4:$AA$241,20,FALSE))</f>
        <v>Non-profit</v>
      </c>
      <c r="G119" s="40">
        <f>VLOOKUP(A119,Registry!$A$4:$AA$241,21,FALSE)</f>
        <v>12</v>
      </c>
      <c r="H119" s="43" t="s">
        <v>824</v>
      </c>
      <c r="I119" s="37"/>
      <c r="J119" s="37" t="s">
        <v>1470</v>
      </c>
      <c r="K119" s="37"/>
      <c r="L119" s="37"/>
      <c r="M119" s="37"/>
      <c r="N119" s="37">
        <f>SUM(Table2[[#This Row],[Maximum Contamination Violations]:[Treatment Violations]])</f>
        <v>0</v>
      </c>
      <c r="O119" s="37" t="s">
        <v>824</v>
      </c>
      <c r="P119" s="37"/>
      <c r="Q119" s="37"/>
    </row>
    <row r="120" spans="1:17" x14ac:dyDescent="0.25">
      <c r="A120" s="38">
        <v>78</v>
      </c>
      <c r="B120" s="40" t="str">
        <f>VLOOKUP(A120,Registry!$A$4:$AA$241,2,FALSE)</f>
        <v>Mobile Acres Mobile Home Park</v>
      </c>
      <c r="C120" s="40" t="str">
        <f>VLOOKUP(A120,Registry!$A$4:$AA$241,3,FALSE)</f>
        <v>Orange</v>
      </c>
      <c r="D120" s="40" t="str">
        <f>VLOOKUP(A120,Registry!$A$4:$AA$241,4,FALSE)</f>
        <v>Braintree</v>
      </c>
      <c r="E120" s="40">
        <f>VLOOKUP(A120,Registry!$A$4:$AA$241,7,FALSE)</f>
        <v>1969</v>
      </c>
      <c r="F120" s="80" t="str">
        <f>IF(VLOOKUP(A120,Registry!$A$4:$AA$241,20,FALSE)=0,"",VLOOKUP(A120,Registry!$A$4:$AA$241,20,FALSE))</f>
        <v>Non-profit</v>
      </c>
      <c r="G120" s="40">
        <f>VLOOKUP(A120,Registry!$A$4:$AA$241,21,FALSE)</f>
        <v>95</v>
      </c>
      <c r="H120" s="43" t="s">
        <v>830</v>
      </c>
      <c r="I120" s="37">
        <v>5171</v>
      </c>
      <c r="J120" s="37" t="s">
        <v>866</v>
      </c>
      <c r="K120" s="37"/>
      <c r="L120" s="37"/>
      <c r="M120" s="37"/>
      <c r="N120" s="37">
        <f>SUM(Table2[[#This Row],[Maximum Contamination Violations]:[Treatment Violations]])</f>
        <v>0</v>
      </c>
      <c r="O120" s="37" t="s">
        <v>834</v>
      </c>
      <c r="P120" s="37"/>
      <c r="Q120" s="37"/>
    </row>
    <row r="121" spans="1:17" x14ac:dyDescent="0.25">
      <c r="A121" s="38">
        <v>303</v>
      </c>
      <c r="B121" s="40" t="str">
        <f>VLOOKUP(A121,Registry!$A$4:$AA$241,2,FALSE)</f>
        <v>Meadowbrook MHP</v>
      </c>
      <c r="C121" s="40" t="str">
        <f>VLOOKUP(A121,Registry!$A$4:$AA$241,3,FALSE)</f>
        <v>Orange</v>
      </c>
      <c r="D121" s="40" t="str">
        <f>VLOOKUP(A121,Registry!$A$4:$AA$241,4,FALSE)</f>
        <v>Orange</v>
      </c>
      <c r="E121" s="40">
        <f>VLOOKUP(A121,Registry!$A$4:$AA$241,7,FALSE)</f>
        <v>2001</v>
      </c>
      <c r="F121" s="80" t="str">
        <f>IF(VLOOKUP(A121,Registry!$A$4:$AA$241,20,FALSE)=0,"",VLOOKUP(A121,Registry!$A$4:$AA$241,20,FALSE))</f>
        <v>For profit</v>
      </c>
      <c r="G121" s="40">
        <f>VLOOKUP(A121,Registry!$A$4:$AA$241,21,FALSE)</f>
        <v>8</v>
      </c>
      <c r="H121" s="112" t="s">
        <v>1256</v>
      </c>
      <c r="I121" s="37"/>
      <c r="J121" s="37"/>
      <c r="K121" s="37"/>
      <c r="L121" s="37"/>
      <c r="M121" s="37"/>
      <c r="N121" s="37">
        <f>SUM(Table2[[#This Row],[Maximum Contamination Violations]:[Treatment Violations]])</f>
        <v>0</v>
      </c>
      <c r="O121" s="37" t="s">
        <v>836</v>
      </c>
      <c r="P121" s="37" t="s">
        <v>1228</v>
      </c>
      <c r="Q121" s="37"/>
    </row>
    <row r="122" spans="1:17" x14ac:dyDescent="0.25">
      <c r="A122" s="38">
        <v>22</v>
      </c>
      <c r="B122" s="40" t="str">
        <f>VLOOKUP(A122,Registry!$A$4:$AA$241,2,FALSE)</f>
        <v>Armstrong Mobile Home Park</v>
      </c>
      <c r="C122" s="40" t="str">
        <f>VLOOKUP(A122,Registry!$A$4:$AA$241,3,FALSE)</f>
        <v>Orange</v>
      </c>
      <c r="D122" s="40" t="str">
        <f>VLOOKUP(A122,Registry!$A$4:$AA$241,4,FALSE)</f>
        <v>Randolph</v>
      </c>
      <c r="E122" s="40">
        <f>VLOOKUP(A122,Registry!$A$4:$AA$241,7,FALSE)</f>
        <v>1968</v>
      </c>
      <c r="F122" s="80" t="str">
        <f>IF(VLOOKUP(A122,Registry!$A$4:$AA$241,20,FALSE)=0,"",VLOOKUP(A122,Registry!$A$4:$AA$241,20,FALSE))</f>
        <v>Non-profit</v>
      </c>
      <c r="G122" s="40">
        <f>VLOOKUP(A122,Registry!$A$4:$AA$241,21,FALSE)</f>
        <v>16</v>
      </c>
      <c r="H122" s="43" t="s">
        <v>830</v>
      </c>
      <c r="I122" s="37">
        <v>5180</v>
      </c>
      <c r="J122" s="37" t="s">
        <v>839</v>
      </c>
      <c r="K122" s="37"/>
      <c r="L122" s="37"/>
      <c r="M122" s="37"/>
      <c r="N122" s="37">
        <f>SUM(Table2[[#This Row],[Maximum Contamination Violations]:[Treatment Violations]])</f>
        <v>0</v>
      </c>
      <c r="O122" s="37" t="s">
        <v>823</v>
      </c>
      <c r="P122" s="37" t="s">
        <v>1207</v>
      </c>
      <c r="Q122" s="37"/>
    </row>
    <row r="123" spans="1:17" x14ac:dyDescent="0.25">
      <c r="A123" s="38">
        <v>226</v>
      </c>
      <c r="B123" s="40" t="str">
        <f>VLOOKUP(A123,Registry!$A$4:$AA$241,2,FALSE)</f>
        <v>Carriage Barn Park</v>
      </c>
      <c r="C123" s="40" t="str">
        <f>VLOOKUP(A123,Registry!$A$4:$AA$241,3,FALSE)</f>
        <v>Orange</v>
      </c>
      <c r="D123" s="40" t="str">
        <f>VLOOKUP(A123,Registry!$A$4:$AA$241,4,FALSE)</f>
        <v>Randolph</v>
      </c>
      <c r="E123" s="40">
        <f>VLOOKUP(A123,Registry!$A$4:$AA$241,7,FALSE)</f>
        <v>0</v>
      </c>
      <c r="F123" s="80" t="str">
        <f>IF(VLOOKUP(A123,Registry!$A$4:$AA$241,20,FALSE)=0,"",VLOOKUP(A123,Registry!$A$4:$AA$241,20,FALSE))</f>
        <v>For profit</v>
      </c>
      <c r="G123" s="40">
        <f>VLOOKUP(A123,Registry!$A$4:$AA$241,21,FALSE)</f>
        <v>7</v>
      </c>
      <c r="H123" s="43" t="s">
        <v>824</v>
      </c>
      <c r="I123" s="37"/>
      <c r="J123" s="37" t="s">
        <v>837</v>
      </c>
      <c r="K123" s="37"/>
      <c r="L123" s="37"/>
      <c r="M123" s="37"/>
      <c r="N123" s="37">
        <f>SUM(Table2[[#This Row],[Maximum Contamination Violations]:[Treatment Violations]])</f>
        <v>0</v>
      </c>
      <c r="O123" s="37" t="s">
        <v>849</v>
      </c>
      <c r="P123" s="37"/>
      <c r="Q123" s="37"/>
    </row>
    <row r="124" spans="1:17" x14ac:dyDescent="0.25">
      <c r="A124" s="38">
        <v>21</v>
      </c>
      <c r="B124" s="40" t="str">
        <f>VLOOKUP(A124,Registry!$A$4:$AA$241,2,FALSE)</f>
        <v>Cowdrey MHP</v>
      </c>
      <c r="C124" s="40" t="str">
        <f>VLOOKUP(A124,Registry!$A$4:$AA$241,3,FALSE)</f>
        <v>Orange</v>
      </c>
      <c r="D124" s="40" t="str">
        <f>VLOOKUP(A124,Registry!$A$4:$AA$241,4,FALSE)</f>
        <v>Randolph</v>
      </c>
      <c r="E124" s="40">
        <f>VLOOKUP(A124,Registry!$A$4:$AA$241,7,FALSE)</f>
        <v>1960</v>
      </c>
      <c r="F124" s="80" t="str">
        <f>IF(VLOOKUP(A124,Registry!$A$4:$AA$241,20,FALSE)=0,"",VLOOKUP(A124,Registry!$A$4:$AA$241,20,FALSE))</f>
        <v>For profit</v>
      </c>
      <c r="G124" s="40">
        <f>VLOOKUP(A124,Registry!$A$4:$AA$241,21,FALSE)</f>
        <v>10</v>
      </c>
      <c r="H124" s="43" t="s">
        <v>824</v>
      </c>
      <c r="I124" s="37"/>
      <c r="J124" s="37" t="s">
        <v>837</v>
      </c>
      <c r="K124" s="37"/>
      <c r="L124" s="37"/>
      <c r="M124" s="37"/>
      <c r="N124" s="37">
        <f>SUM(Table2[[#This Row],[Maximum Contamination Violations]:[Treatment Violations]])</f>
        <v>0</v>
      </c>
      <c r="O124" s="37" t="s">
        <v>823</v>
      </c>
      <c r="P124" s="37"/>
      <c r="Q124" s="37"/>
    </row>
    <row r="125" spans="1:17" x14ac:dyDescent="0.25">
      <c r="A125" s="38">
        <v>20</v>
      </c>
      <c r="B125" s="40" t="str">
        <f>VLOOKUP(A125,Registry!$A$4:$AA$241,2,FALSE)</f>
        <v>Greene's Mobile Home Park</v>
      </c>
      <c r="C125" s="40" t="str">
        <f>VLOOKUP(A125,Registry!$A$4:$AA$241,3,FALSE)</f>
        <v>Orange</v>
      </c>
      <c r="D125" s="40" t="str">
        <f>VLOOKUP(A125,Registry!$A$4:$AA$241,4,FALSE)</f>
        <v>Randolph</v>
      </c>
      <c r="E125" s="40">
        <f>VLOOKUP(A125,Registry!$A$4:$AA$241,7,FALSE)</f>
        <v>1966</v>
      </c>
      <c r="F125" s="80" t="str">
        <f>IF(VLOOKUP(A125,Registry!$A$4:$AA$241,20,FALSE)=0,"",VLOOKUP(A125,Registry!$A$4:$AA$241,20,FALSE))</f>
        <v>For profit</v>
      </c>
      <c r="G125" s="40">
        <f>VLOOKUP(A125,Registry!$A$4:$AA$241,21,FALSE)</f>
        <v>14</v>
      </c>
      <c r="H125" s="43" t="s">
        <v>830</v>
      </c>
      <c r="I125" s="37">
        <v>5490</v>
      </c>
      <c r="J125" s="37" t="s">
        <v>832</v>
      </c>
      <c r="K125" s="37">
        <v>0</v>
      </c>
      <c r="L125" s="37">
        <v>2</v>
      </c>
      <c r="M125" s="37">
        <v>0</v>
      </c>
      <c r="N125" s="37">
        <f>SUM(Table2[[#This Row],[Maximum Contamination Violations]:[Treatment Violations]])</f>
        <v>2</v>
      </c>
      <c r="O125" s="37"/>
      <c r="P125" s="37"/>
      <c r="Q125" s="37"/>
    </row>
    <row r="126" spans="1:17" x14ac:dyDescent="0.25">
      <c r="A126" s="38">
        <v>18</v>
      </c>
      <c r="B126" s="40" t="str">
        <f>VLOOKUP(A126,Registry!$A$4:$AA$241,2,FALSE)</f>
        <v>Jacobs Mobile Home Park</v>
      </c>
      <c r="C126" s="40" t="str">
        <f>VLOOKUP(A126,Registry!$A$4:$AA$241,3,FALSE)</f>
        <v>Orange</v>
      </c>
      <c r="D126" s="40" t="str">
        <f>VLOOKUP(A126,Registry!$A$4:$AA$241,4,FALSE)</f>
        <v>Randolph</v>
      </c>
      <c r="E126" s="40">
        <f>VLOOKUP(A126,Registry!$A$4:$AA$241,7,FALSE)</f>
        <v>1960</v>
      </c>
      <c r="F126" s="80" t="str">
        <f>IF(VLOOKUP(A126,Registry!$A$4:$AA$241,20,FALSE)=0,"",VLOOKUP(A126,Registry!$A$4:$AA$241,20,FALSE))</f>
        <v>Non-profit</v>
      </c>
      <c r="G126" s="40">
        <f>VLOOKUP(A126,Registry!$A$4:$AA$241,21,FALSE)</f>
        <v>19</v>
      </c>
      <c r="H126" s="43" t="s">
        <v>824</v>
      </c>
      <c r="I126" s="37"/>
      <c r="J126" s="37" t="s">
        <v>837</v>
      </c>
      <c r="K126" s="37"/>
      <c r="L126" s="37"/>
      <c r="M126" s="37"/>
      <c r="N126" s="37">
        <f>SUM(Table2[[#This Row],[Maximum Contamination Violations]:[Treatment Violations]])</f>
        <v>0</v>
      </c>
      <c r="O126" s="37" t="s">
        <v>824</v>
      </c>
      <c r="P126" s="37"/>
      <c r="Q126" s="37"/>
    </row>
    <row r="127" spans="1:17" x14ac:dyDescent="0.25">
      <c r="A127" s="38">
        <v>174</v>
      </c>
      <c r="B127" s="40" t="str">
        <f>VLOOKUP(A127,Registry!$A$4:$AA$241,2,FALSE)</f>
        <v>Washington North MHP</v>
      </c>
      <c r="C127" s="40" t="str">
        <f>VLOOKUP(A127,Registry!$A$4:$AA$241,3,FALSE)</f>
        <v>Orange</v>
      </c>
      <c r="D127" s="40" t="str">
        <f>VLOOKUP(A127,Registry!$A$4:$AA$241,4,FALSE)</f>
        <v>Washington</v>
      </c>
      <c r="E127" s="40">
        <f>VLOOKUP(A127,Registry!$A$4:$AA$241,7,FALSE)</f>
        <v>1977</v>
      </c>
      <c r="F127" s="80" t="str">
        <f>IF(VLOOKUP(A127,Registry!$A$4:$AA$241,20,FALSE)=0,"",VLOOKUP(A127,Registry!$A$4:$AA$241,20,FALSE))</f>
        <v>For profit</v>
      </c>
      <c r="G127" s="40">
        <f>VLOOKUP(A127,Registry!$A$4:$AA$241,21,FALSE)</f>
        <v>20</v>
      </c>
      <c r="H127" s="43" t="s">
        <v>830</v>
      </c>
      <c r="I127" s="37">
        <v>5502</v>
      </c>
      <c r="J127" s="37" t="s">
        <v>832</v>
      </c>
      <c r="K127" s="37">
        <v>0</v>
      </c>
      <c r="L127" s="37">
        <v>2</v>
      </c>
      <c r="M127" s="37">
        <v>0</v>
      </c>
      <c r="N127" s="37">
        <f>SUM(Table2[[#This Row],[Maximum Contamination Violations]:[Treatment Violations]])</f>
        <v>2</v>
      </c>
      <c r="O127" s="37" t="s">
        <v>823</v>
      </c>
      <c r="P127" s="37" t="s">
        <v>914</v>
      </c>
      <c r="Q127" s="37" t="s">
        <v>915</v>
      </c>
    </row>
    <row r="128" spans="1:17" x14ac:dyDescent="0.25">
      <c r="A128" s="38">
        <v>19</v>
      </c>
      <c r="B128" s="40" t="str">
        <f>VLOOKUP(A128,Registry!$A$4:$AA$241,2,FALSE)</f>
        <v>Cold Springs Trailer Park</v>
      </c>
      <c r="C128" s="40" t="str">
        <f>VLOOKUP(A128,Registry!$A$4:$AA$241,3,FALSE)</f>
        <v>Orange</v>
      </c>
      <c r="D128" s="40" t="str">
        <f>VLOOKUP(A128,Registry!$A$4:$AA$241,4,FALSE)</f>
        <v>West Fairlee</v>
      </c>
      <c r="E128" s="40">
        <f>VLOOKUP(A128,Registry!$A$4:$AA$241,7,FALSE)</f>
        <v>1950</v>
      </c>
      <c r="F128" s="80" t="str">
        <f>IF(VLOOKUP(A128,Registry!$A$4:$AA$241,20,FALSE)=0,"",VLOOKUP(A128,Registry!$A$4:$AA$241,20,FALSE))</f>
        <v>For profit</v>
      </c>
      <c r="G128" s="40">
        <f>VLOOKUP(A128,Registry!$A$4:$AA$241,21,FALSE)</f>
        <v>16</v>
      </c>
      <c r="H128" s="43" t="s">
        <v>830</v>
      </c>
      <c r="I128" s="37">
        <v>5353</v>
      </c>
      <c r="J128" s="37" t="s">
        <v>838</v>
      </c>
      <c r="K128" s="37"/>
      <c r="L128" s="37"/>
      <c r="M128" s="37"/>
      <c r="N128" s="37">
        <f>SUM(Table2[[#This Row],[Maximum Contamination Violations]:[Treatment Violations]])</f>
        <v>0</v>
      </c>
      <c r="O128" s="37" t="s">
        <v>823</v>
      </c>
      <c r="P128" s="37"/>
      <c r="Q128" s="37"/>
    </row>
    <row r="129" spans="1:17" x14ac:dyDescent="0.25">
      <c r="A129" s="38">
        <v>297</v>
      </c>
      <c r="B129" s="40" t="str">
        <f>VLOOKUP(A129,Registry!$A$4:$AA$241,2,FALSE)</f>
        <v>Bilodeau MHP</v>
      </c>
      <c r="C129" s="40" t="str">
        <f>VLOOKUP(A129,Registry!$A$4:$AA$241,3,FALSE)</f>
        <v>Orange</v>
      </c>
      <c r="D129" s="40" t="str">
        <f>VLOOKUP(A129,Registry!$A$4:$AA$241,4,FALSE)</f>
        <v>Williamstown</v>
      </c>
      <c r="E129" s="40">
        <f>VLOOKUP(A129,Registry!$A$4:$AA$241,7,FALSE)</f>
        <v>1997</v>
      </c>
      <c r="F129" s="80" t="str">
        <f>IF(VLOOKUP(A129,Registry!$A$4:$AA$241,20,FALSE)=0,"",VLOOKUP(A129,Registry!$A$4:$AA$241,20,FALSE))</f>
        <v>For profit</v>
      </c>
      <c r="G129" s="40">
        <f>VLOOKUP(A129,Registry!$A$4:$AA$241,21,FALSE)</f>
        <v>7</v>
      </c>
      <c r="H129" s="43" t="s">
        <v>824</v>
      </c>
      <c r="I129" s="37"/>
      <c r="J129" s="37" t="s">
        <v>898</v>
      </c>
      <c r="K129" s="37"/>
      <c r="L129" s="37"/>
      <c r="M129" s="37"/>
      <c r="N129" s="37">
        <f>SUM(Table2[[#This Row],[Maximum Contamination Violations]:[Treatment Violations]])</f>
        <v>0</v>
      </c>
      <c r="O129" s="37" t="s">
        <v>824</v>
      </c>
      <c r="P129" s="37"/>
      <c r="Q129" s="37"/>
    </row>
    <row r="130" spans="1:17" x14ac:dyDescent="0.25">
      <c r="A130" s="38">
        <v>191</v>
      </c>
      <c r="B130" s="40" t="str">
        <f>VLOOKUP(A130,Registry!$A$4:$AA$241,2,FALSE)</f>
        <v>Buttles Trailer Park</v>
      </c>
      <c r="C130" s="40" t="str">
        <f>VLOOKUP(A130,Registry!$A$4:$AA$241,3,FALSE)</f>
        <v>Orange</v>
      </c>
      <c r="D130" s="40" t="str">
        <f>VLOOKUP(A130,Registry!$A$4:$AA$241,4,FALSE)</f>
        <v>Williamstown</v>
      </c>
      <c r="E130" s="40">
        <f>VLOOKUP(A130,Registry!$A$4:$AA$241,7,FALSE)</f>
        <v>1970</v>
      </c>
      <c r="F130" s="80" t="str">
        <f>IF(VLOOKUP(A130,Registry!$A$4:$AA$241,20,FALSE)=0,"",VLOOKUP(A130,Registry!$A$4:$AA$241,20,FALSE))</f>
        <v>For profit</v>
      </c>
      <c r="G130" s="40">
        <f>VLOOKUP(A130,Registry!$A$4:$AA$241,21,FALSE)</f>
        <v>4</v>
      </c>
      <c r="H130" s="43"/>
      <c r="I130" s="37"/>
      <c r="J130" s="37"/>
      <c r="K130" s="37"/>
      <c r="L130" s="37"/>
      <c r="M130" s="37"/>
      <c r="N130" s="37">
        <f>SUM(Table2[[#This Row],[Maximum Contamination Violations]:[Treatment Violations]])</f>
        <v>0</v>
      </c>
      <c r="O130" s="37"/>
      <c r="P130" s="37"/>
      <c r="Q130" s="37"/>
    </row>
    <row r="131" spans="1:17" x14ac:dyDescent="0.25">
      <c r="A131" s="38">
        <v>306</v>
      </c>
      <c r="B131" s="40" t="str">
        <f>VLOOKUP(A131,Registry!$A$4:$AA$241,2,FALSE)</f>
        <v>Jamieson MHP</v>
      </c>
      <c r="C131" s="40" t="str">
        <f>VLOOKUP(A131,Registry!$A$4:$AA$241,3,FALSE)</f>
        <v>Orange</v>
      </c>
      <c r="D131" s="40" t="str">
        <f>VLOOKUP(A131,Registry!$A$4:$AA$241,4,FALSE)</f>
        <v>Williamstown</v>
      </c>
      <c r="E131" s="40">
        <f>VLOOKUP(A131,Registry!$A$4:$AA$241,7,FALSE)</f>
        <v>1991</v>
      </c>
      <c r="F131" s="80" t="str">
        <f>IF(VLOOKUP(A131,Registry!$A$4:$AA$241,20,FALSE)=0,"",VLOOKUP(A131,Registry!$A$4:$AA$241,20,FALSE))</f>
        <v>For profit</v>
      </c>
      <c r="G131" s="40">
        <f>VLOOKUP(A131,Registry!$A$4:$AA$241,21,FALSE)</f>
        <v>11</v>
      </c>
      <c r="H131" s="43" t="s">
        <v>824</v>
      </c>
      <c r="I131" s="37"/>
      <c r="J131" s="37" t="s">
        <v>898</v>
      </c>
      <c r="K131" s="37"/>
      <c r="L131" s="37"/>
      <c r="M131" s="37"/>
      <c r="N131" s="37">
        <f>SUM(Table2[[#This Row],[Maximum Contamination Violations]:[Treatment Violations]])</f>
        <v>0</v>
      </c>
      <c r="O131" s="37" t="s">
        <v>824</v>
      </c>
      <c r="P131" s="37"/>
      <c r="Q131" s="37"/>
    </row>
    <row r="132" spans="1:17" x14ac:dyDescent="0.25">
      <c r="A132" s="38">
        <v>163</v>
      </c>
      <c r="B132" s="40" t="str">
        <f>VLOOKUP(A132,Registry!$A$4:$AA$241,2,FALSE)</f>
        <v>Limehurst Mobile Home Park</v>
      </c>
      <c r="C132" s="40" t="str">
        <f>VLOOKUP(A132,Registry!$A$4:$AA$241,3,FALSE)</f>
        <v>Orange</v>
      </c>
      <c r="D132" s="40" t="str">
        <f>VLOOKUP(A132,Registry!$A$4:$AA$241,4,FALSE)</f>
        <v>Williamstown</v>
      </c>
      <c r="E132" s="40">
        <f>VLOOKUP(A132,Registry!$A$4:$AA$241,7,FALSE)</f>
        <v>1975</v>
      </c>
      <c r="F132" s="80" t="str">
        <f>IF(VLOOKUP(A132,Registry!$A$4:$AA$241,20,FALSE)=0,"",VLOOKUP(A132,Registry!$A$4:$AA$241,20,FALSE))</f>
        <v>Non-profit</v>
      </c>
      <c r="G132" s="40">
        <f>VLOOKUP(A132,Registry!$A$4:$AA$241,21,FALSE)</f>
        <v>33</v>
      </c>
      <c r="H132" s="43" t="s">
        <v>830</v>
      </c>
      <c r="I132" s="37">
        <v>5518</v>
      </c>
      <c r="J132" s="37" t="s">
        <v>908</v>
      </c>
      <c r="K132" s="37">
        <v>1</v>
      </c>
      <c r="L132" s="37">
        <v>0</v>
      </c>
      <c r="M132" s="37">
        <v>0</v>
      </c>
      <c r="N132" s="37">
        <f>SUM(Table2[[#This Row],[Maximum Contamination Violations]:[Treatment Violations]])</f>
        <v>1</v>
      </c>
      <c r="O132" s="37" t="s">
        <v>823</v>
      </c>
      <c r="P132" s="37" t="s">
        <v>1229</v>
      </c>
      <c r="Q132" s="37"/>
    </row>
    <row r="133" spans="1:17" x14ac:dyDescent="0.25">
      <c r="A133" s="38">
        <v>140</v>
      </c>
      <c r="B133" s="40" t="str">
        <f>VLOOKUP(A133,Registry!$A$4:$AA$241,2,FALSE)</f>
        <v>Northwind Mobile Home Park</v>
      </c>
      <c r="C133" s="40" t="str">
        <f>VLOOKUP(A133,Registry!$A$4:$AA$241,3,FALSE)</f>
        <v>Orange</v>
      </c>
      <c r="D133" s="40" t="str">
        <f>VLOOKUP(A133,Registry!$A$4:$AA$241,4,FALSE)</f>
        <v>Williamstown</v>
      </c>
      <c r="E133" s="40">
        <f>VLOOKUP(A133,Registry!$A$4:$AA$241,7,FALSE)</f>
        <v>1994</v>
      </c>
      <c r="F133" s="80" t="str">
        <f>IF(VLOOKUP(A133,Registry!$A$4:$AA$241,20,FALSE)=0,"",VLOOKUP(A133,Registry!$A$4:$AA$241,20,FALSE))</f>
        <v>Non-profit</v>
      </c>
      <c r="G133" s="40">
        <f>VLOOKUP(A133,Registry!$A$4:$AA$241,21,FALSE)</f>
        <v>6</v>
      </c>
      <c r="H133" s="43" t="s">
        <v>824</v>
      </c>
      <c r="I133" s="37"/>
      <c r="J133" s="37" t="s">
        <v>898</v>
      </c>
      <c r="K133" s="37"/>
      <c r="L133" s="37"/>
      <c r="M133" s="37"/>
      <c r="N133" s="37">
        <f>SUM(Table2[[#This Row],[Maximum Contamination Violations]:[Treatment Violations]])</f>
        <v>0</v>
      </c>
      <c r="O133" s="37" t="s">
        <v>824</v>
      </c>
      <c r="P133" s="37" t="s">
        <v>1240</v>
      </c>
      <c r="Q133" s="37" t="s">
        <v>1246</v>
      </c>
    </row>
    <row r="134" spans="1:17" x14ac:dyDescent="0.25">
      <c r="A134" s="38">
        <v>190</v>
      </c>
      <c r="B134" s="40" t="str">
        <f>VLOOKUP(A134,Registry!$A$4:$AA$241,2,FALSE)</f>
        <v>Fairview Estates</v>
      </c>
      <c r="C134" s="40" t="str">
        <f>VLOOKUP(A134,Registry!$A$4:$AA$241,3,FALSE)</f>
        <v>Orleans</v>
      </c>
      <c r="D134" s="40" t="str">
        <f>VLOOKUP(A134,Registry!$A$4:$AA$241,4,FALSE)</f>
        <v>Barton</v>
      </c>
      <c r="E134" s="40">
        <f>VLOOKUP(A134,Registry!$A$4:$AA$241,7,FALSE)</f>
        <v>1961</v>
      </c>
      <c r="F134" s="80" t="str">
        <f>IF(VLOOKUP(A134,Registry!$A$4:$AA$241,20,FALSE)=0,"",VLOOKUP(A134,Registry!$A$4:$AA$241,20,FALSE))</f>
        <v>For profit</v>
      </c>
      <c r="G134" s="40">
        <f>VLOOKUP(A134,Registry!$A$4:$AA$241,21,FALSE)</f>
        <v>32</v>
      </c>
      <c r="H134" s="43" t="s">
        <v>824</v>
      </c>
      <c r="I134" s="37"/>
      <c r="J134" s="37" t="s">
        <v>898</v>
      </c>
      <c r="K134" s="37"/>
      <c r="L134" s="37"/>
      <c r="M134" s="37"/>
      <c r="N134" s="37">
        <f>SUM(Table2[[#This Row],[Maximum Contamination Violations]:[Treatment Violations]])</f>
        <v>0</v>
      </c>
      <c r="O134" s="37" t="s">
        <v>824</v>
      </c>
      <c r="P134" s="37"/>
      <c r="Q134" s="37"/>
    </row>
    <row r="135" spans="1:17" x14ac:dyDescent="0.25">
      <c r="A135" s="38">
        <v>309</v>
      </c>
      <c r="B135" s="40" t="str">
        <f>VLOOKUP(A135,Registry!$A$4:$AA$241,2,FALSE)</f>
        <v>Kelley MHP</v>
      </c>
      <c r="C135" s="40" t="str">
        <f>VLOOKUP(A135,Registry!$A$4:$AA$241,3,FALSE)</f>
        <v>Orleans</v>
      </c>
      <c r="D135" s="40" t="str">
        <f>VLOOKUP(A135,Registry!$A$4:$AA$241,4,FALSE)</f>
        <v>Coventry</v>
      </c>
      <c r="E135" s="40">
        <f>VLOOKUP(A135,Registry!$A$4:$AA$241,7,FALSE)</f>
        <v>1976</v>
      </c>
      <c r="F135" s="80" t="str">
        <f>IF(VLOOKUP(A135,Registry!$A$4:$AA$241,20,FALSE)=0,"",VLOOKUP(A135,Registry!$A$4:$AA$241,20,FALSE))</f>
        <v>For profit</v>
      </c>
      <c r="G135" s="40">
        <f>VLOOKUP(A135,Registry!$A$4:$AA$241,21,FALSE)</f>
        <v>6</v>
      </c>
      <c r="H135" s="43"/>
      <c r="I135" s="37"/>
      <c r="J135" s="37"/>
      <c r="K135" s="37"/>
      <c r="L135" s="37"/>
      <c r="M135" s="37"/>
      <c r="N135" s="37">
        <f>SUM(Table2[[#This Row],[Maximum Contamination Violations]:[Treatment Violations]])</f>
        <v>0</v>
      </c>
      <c r="O135" s="37"/>
      <c r="P135" s="37"/>
      <c r="Q135" s="37"/>
    </row>
    <row r="136" spans="1:17" x14ac:dyDescent="0.25">
      <c r="A136" s="38">
        <v>286</v>
      </c>
      <c r="B136" s="40" t="str">
        <f>VLOOKUP(A136,Registry!$A$4:$AA$241,2,FALSE)</f>
        <v>Nadeau Trailer Park</v>
      </c>
      <c r="C136" s="40" t="str">
        <f>VLOOKUP(A136,Registry!$A$4:$AA$241,3,FALSE)</f>
        <v>Orleans</v>
      </c>
      <c r="D136" s="40" t="str">
        <f>VLOOKUP(A136,Registry!$A$4:$AA$241,4,FALSE)</f>
        <v>Coventry</v>
      </c>
      <c r="E136" s="40">
        <f>VLOOKUP(A136,Registry!$A$4:$AA$241,7,FALSE)</f>
        <v>1964</v>
      </c>
      <c r="F136" s="80" t="str">
        <f>IF(VLOOKUP(A136,Registry!$A$4:$AA$241,20,FALSE)=0,"",VLOOKUP(A136,Registry!$A$4:$AA$241,20,FALSE))</f>
        <v>For profit</v>
      </c>
      <c r="G136" s="40">
        <f>VLOOKUP(A136,Registry!$A$4:$AA$241,21,FALSE)</f>
        <v>16</v>
      </c>
      <c r="H136" s="43"/>
      <c r="I136" s="37"/>
      <c r="J136" s="37" t="s">
        <v>832</v>
      </c>
      <c r="K136" s="37"/>
      <c r="L136" s="37"/>
      <c r="M136" s="37"/>
      <c r="N136" s="37">
        <f>SUM(Table2[[#This Row],[Maximum Contamination Violations]:[Treatment Violations]])</f>
        <v>0</v>
      </c>
      <c r="O136" s="37" t="s">
        <v>823</v>
      </c>
      <c r="P136" s="37"/>
      <c r="Q136" s="37"/>
    </row>
    <row r="137" spans="1:17" x14ac:dyDescent="0.25">
      <c r="A137" s="38">
        <v>227</v>
      </c>
      <c r="B137" s="40" t="str">
        <f>VLOOKUP(A137,Registry!$A$4:$AA$241,2,FALSE)</f>
        <v>Derby Center Mobile Court</v>
      </c>
      <c r="C137" s="40" t="str">
        <f>VLOOKUP(A137,Registry!$A$4:$AA$241,3,FALSE)</f>
        <v>Orleans</v>
      </c>
      <c r="D137" s="40" t="str">
        <f>VLOOKUP(A137,Registry!$A$4:$AA$241,4,FALSE)</f>
        <v>Derby</v>
      </c>
      <c r="E137" s="40">
        <f>VLOOKUP(A137,Registry!$A$4:$AA$241,7,FALSE)</f>
        <v>1965</v>
      </c>
      <c r="F137" s="80" t="str">
        <f>IF(VLOOKUP(A137,Registry!$A$4:$AA$241,20,FALSE)=0,"",VLOOKUP(A137,Registry!$A$4:$AA$241,20,FALSE))</f>
        <v>For profit</v>
      </c>
      <c r="G137" s="40">
        <f>VLOOKUP(A137,Registry!$A$4:$AA$241,21,FALSE)</f>
        <v>11</v>
      </c>
      <c r="H137" s="43" t="s">
        <v>824</v>
      </c>
      <c r="I137" s="37"/>
      <c r="J137" s="37" t="s">
        <v>918</v>
      </c>
      <c r="K137" s="37"/>
      <c r="L137" s="37"/>
      <c r="M137" s="37"/>
      <c r="N137" s="37">
        <f>SUM(Table2[[#This Row],[Maximum Contamination Violations]:[Treatment Violations]])</f>
        <v>0</v>
      </c>
      <c r="O137" s="37" t="s">
        <v>824</v>
      </c>
      <c r="P137" s="37"/>
      <c r="Q137" s="37"/>
    </row>
    <row r="138" spans="1:17" x14ac:dyDescent="0.25">
      <c r="A138" s="38">
        <v>255</v>
      </c>
      <c r="B138" s="40" t="str">
        <f>VLOOKUP(A138,Registry!$A$4:$AA$241,2,FALSE)</f>
        <v>Derby Mobile Home Park</v>
      </c>
      <c r="C138" s="40" t="str">
        <f>VLOOKUP(A138,Registry!$A$4:$AA$241,3,FALSE)</f>
        <v>Orleans</v>
      </c>
      <c r="D138" s="40" t="str">
        <f>VLOOKUP(A138,Registry!$A$4:$AA$241,4,FALSE)</f>
        <v>Derby</v>
      </c>
      <c r="E138" s="40">
        <f>VLOOKUP(A138,Registry!$A$4:$AA$241,7,FALSE)</f>
        <v>1998</v>
      </c>
      <c r="F138" s="80" t="str">
        <f>IF(VLOOKUP(A138,Registry!$A$4:$AA$241,20,FALSE)=0,"",VLOOKUP(A138,Registry!$A$4:$AA$241,20,FALSE))</f>
        <v>Non-profit</v>
      </c>
      <c r="G138" s="40">
        <f>VLOOKUP(A138,Registry!$A$4:$AA$241,21,FALSE)</f>
        <v>102</v>
      </c>
      <c r="H138" s="43" t="s">
        <v>827</v>
      </c>
      <c r="I138" s="37">
        <v>20744</v>
      </c>
      <c r="J138" s="37" t="s">
        <v>918</v>
      </c>
      <c r="K138" s="37"/>
      <c r="L138" s="37"/>
      <c r="M138" s="37"/>
      <c r="N138" s="37">
        <f>SUM(Table2[[#This Row],[Maximum Contamination Violations]:[Treatment Violations]])</f>
        <v>0</v>
      </c>
      <c r="O138" s="37" t="s">
        <v>824</v>
      </c>
      <c r="P138" s="37" t="s">
        <v>939</v>
      </c>
      <c r="Q138" s="37" t="s">
        <v>940</v>
      </c>
    </row>
    <row r="139" spans="1:17" x14ac:dyDescent="0.25">
      <c r="A139" s="38">
        <v>192</v>
      </c>
      <c r="B139" s="40" t="str">
        <f>VLOOKUP(A139,Registry!$A$4:$AA$241,2,FALSE)</f>
        <v>Shattuck Hill Mobile Home Park</v>
      </c>
      <c r="C139" s="40" t="str">
        <f>VLOOKUP(A139,Registry!$A$4:$AA$241,3,FALSE)</f>
        <v>Orleans</v>
      </c>
      <c r="D139" s="40" t="str">
        <f>VLOOKUP(A139,Registry!$A$4:$AA$241,4,FALSE)</f>
        <v>Derby</v>
      </c>
      <c r="E139" s="40">
        <f>VLOOKUP(A139,Registry!$A$4:$AA$241,7,FALSE)</f>
        <v>1969</v>
      </c>
      <c r="F139" s="80" t="str">
        <f>IF(VLOOKUP(A139,Registry!$A$4:$AA$241,20,FALSE)=0,"",VLOOKUP(A139,Registry!$A$4:$AA$241,20,FALSE))</f>
        <v>Non-profit</v>
      </c>
      <c r="G139" s="40">
        <f>VLOOKUP(A139,Registry!$A$4:$AA$241,21,FALSE)</f>
        <v>48</v>
      </c>
      <c r="H139" s="43" t="s">
        <v>827</v>
      </c>
      <c r="I139" s="37">
        <v>20737</v>
      </c>
      <c r="J139" s="37" t="s">
        <v>918</v>
      </c>
      <c r="K139" s="37"/>
      <c r="L139" s="37"/>
      <c r="M139" s="37"/>
      <c r="N139" s="37">
        <f>SUM(Table2[[#This Row],[Maximum Contamination Violations]:[Treatment Violations]])</f>
        <v>0</v>
      </c>
      <c r="O139" s="37" t="s">
        <v>823</v>
      </c>
      <c r="P139" s="37" t="s">
        <v>1232</v>
      </c>
      <c r="Q139" s="37"/>
    </row>
    <row r="140" spans="1:17" x14ac:dyDescent="0.25">
      <c r="A140" s="38">
        <v>147</v>
      </c>
      <c r="B140" s="40" t="str">
        <f>VLOOKUP(A140,Registry!$A$4:$AA$241,2,FALSE)</f>
        <v>Brookdale Manor LLC</v>
      </c>
      <c r="C140" s="40" t="str">
        <f>VLOOKUP(A140,Registry!$A$4:$AA$241,3,FALSE)</f>
        <v>Rutland</v>
      </c>
      <c r="D140" s="40" t="str">
        <f>VLOOKUP(A140,Registry!$A$4:$AA$241,4,FALSE)</f>
        <v>Brandon</v>
      </c>
      <c r="E140" s="40">
        <f>VLOOKUP(A140,Registry!$A$4:$AA$241,7,FALSE)</f>
        <v>1970</v>
      </c>
      <c r="F140" s="80" t="str">
        <f>IF(VLOOKUP(A140,Registry!$A$4:$AA$241,20,FALSE)=0,"",VLOOKUP(A140,Registry!$A$4:$AA$241,20,FALSE))</f>
        <v>For profit</v>
      </c>
      <c r="G140" s="40">
        <f>VLOOKUP(A140,Registry!$A$4:$AA$241,21,FALSE)</f>
        <v>17</v>
      </c>
      <c r="H140" s="43" t="s">
        <v>824</v>
      </c>
      <c r="I140" s="37"/>
      <c r="J140" s="37" t="s">
        <v>1471</v>
      </c>
      <c r="K140" s="37"/>
      <c r="L140" s="37"/>
      <c r="M140" s="37"/>
      <c r="N140" s="37">
        <f>SUM(Table2[[#This Row],[Maximum Contamination Violations]:[Treatment Violations]])</f>
        <v>0</v>
      </c>
      <c r="O140" s="37" t="s">
        <v>824</v>
      </c>
      <c r="P140" s="37" t="s">
        <v>1227</v>
      </c>
      <c r="Q140" s="37"/>
    </row>
    <row r="141" spans="1:17" x14ac:dyDescent="0.25">
      <c r="A141" s="38">
        <v>150</v>
      </c>
      <c r="B141" s="40" t="str">
        <f>VLOOKUP(A141,Registry!$A$4:$AA$241,2,FALSE)</f>
        <v>Forest Dale Mobile Home Park</v>
      </c>
      <c r="C141" s="40" t="str">
        <f>VLOOKUP(A141,Registry!$A$4:$AA$241,3,FALSE)</f>
        <v>Rutland</v>
      </c>
      <c r="D141" s="40" t="str">
        <f>VLOOKUP(A141,Registry!$A$4:$AA$241,4,FALSE)</f>
        <v>Brandon</v>
      </c>
      <c r="E141" s="40">
        <f>VLOOKUP(A141,Registry!$A$4:$AA$241,7,FALSE)</f>
        <v>1970</v>
      </c>
      <c r="F141" s="80" t="str">
        <f>IF(VLOOKUP(A141,Registry!$A$4:$AA$241,20,FALSE)=0,"",VLOOKUP(A141,Registry!$A$4:$AA$241,20,FALSE))</f>
        <v>For profit</v>
      </c>
      <c r="G141" s="40">
        <f>VLOOKUP(A141,Registry!$A$4:$AA$241,21,FALSE)</f>
        <v>5</v>
      </c>
      <c r="H141" s="43" t="s">
        <v>824</v>
      </c>
      <c r="I141" s="37"/>
      <c r="J141" s="37" t="s">
        <v>1471</v>
      </c>
      <c r="K141" s="37"/>
      <c r="L141" s="37"/>
      <c r="M141" s="37"/>
      <c r="N141" s="37">
        <f>SUM(Table2[[#This Row],[Maximum Contamination Violations]:[Treatment Violations]])</f>
        <v>0</v>
      </c>
      <c r="O141" s="37" t="s">
        <v>824</v>
      </c>
      <c r="P141" s="37"/>
      <c r="Q141" s="37"/>
    </row>
    <row r="142" spans="1:17" x14ac:dyDescent="0.25">
      <c r="A142" s="38">
        <v>313</v>
      </c>
      <c r="B142" s="40" t="str">
        <f>VLOOKUP(A142,Registry!$A$4:$AA$241,2,FALSE)</f>
        <v>Forestdale Manor</v>
      </c>
      <c r="C142" s="40" t="str">
        <f>VLOOKUP(A142,Registry!$A$4:$AA$241,3,FALSE)</f>
        <v>Rutland</v>
      </c>
      <c r="D142" s="40" t="str">
        <f>VLOOKUP(A142,Registry!$A$4:$AA$241,4,FALSE)</f>
        <v>Brandon</v>
      </c>
      <c r="E142" s="40">
        <f>VLOOKUP(A142,Registry!$A$4:$AA$241,7,FALSE)</f>
        <v>1970</v>
      </c>
      <c r="F142" s="80" t="str">
        <f>IF(VLOOKUP(A142,Registry!$A$4:$AA$241,20,FALSE)=0,"",VLOOKUP(A142,Registry!$A$4:$AA$241,20,FALSE))</f>
        <v>For profit</v>
      </c>
      <c r="G142" s="40">
        <f>VLOOKUP(A142,Registry!$A$4:$AA$241,21,FALSE)</f>
        <v>12</v>
      </c>
      <c r="H142" s="43" t="s">
        <v>824</v>
      </c>
      <c r="I142" s="37"/>
      <c r="J142" s="37" t="s">
        <v>1471</v>
      </c>
      <c r="K142" s="37"/>
      <c r="L142" s="37"/>
      <c r="M142" s="37"/>
      <c r="N142" s="37">
        <f>SUM(Table2[[#This Row],[Maximum Contamination Violations]:[Treatment Violations]])</f>
        <v>0</v>
      </c>
      <c r="O142" s="37" t="s">
        <v>824</v>
      </c>
      <c r="P142" s="37"/>
      <c r="Q142" s="37"/>
    </row>
    <row r="143" spans="1:17" x14ac:dyDescent="0.25">
      <c r="A143" s="38">
        <v>220</v>
      </c>
      <c r="B143" s="40" t="str">
        <f>VLOOKUP(A143,Registry!$A$4:$AA$241,2,FALSE)</f>
        <v>Pine Tree Park</v>
      </c>
      <c r="C143" s="40" t="str">
        <f>VLOOKUP(A143,Registry!$A$4:$AA$241,3,FALSE)</f>
        <v>Rutland</v>
      </c>
      <c r="D143" s="40" t="str">
        <f>VLOOKUP(A143,Registry!$A$4:$AA$241,4,FALSE)</f>
        <v>Brandon</v>
      </c>
      <c r="E143" s="40">
        <f>VLOOKUP(A143,Registry!$A$4:$AA$241,7,FALSE)</f>
        <v>1970</v>
      </c>
      <c r="F143" s="80" t="str">
        <f>IF(VLOOKUP(A143,Registry!$A$4:$AA$241,20,FALSE)=0,"",VLOOKUP(A143,Registry!$A$4:$AA$241,20,FALSE))</f>
        <v>For profit</v>
      </c>
      <c r="G143" s="40">
        <f>VLOOKUP(A143,Registry!$A$4:$AA$241,21,FALSE)</f>
        <v>20</v>
      </c>
      <c r="H143" s="43" t="s">
        <v>824</v>
      </c>
      <c r="I143" s="37"/>
      <c r="J143" s="37" t="s">
        <v>1471</v>
      </c>
      <c r="K143" s="37"/>
      <c r="L143" s="37"/>
      <c r="M143" s="37"/>
      <c r="N143" s="37">
        <f>SUM(Table2[[#This Row],[Maximum Contamination Violations]:[Treatment Violations]])</f>
        <v>0</v>
      </c>
      <c r="O143" s="37" t="s">
        <v>836</v>
      </c>
      <c r="P143" s="37"/>
      <c r="Q143" s="37"/>
    </row>
    <row r="144" spans="1:17" x14ac:dyDescent="0.25">
      <c r="A144" s="38">
        <v>210</v>
      </c>
      <c r="B144" s="40" t="str">
        <f>VLOOKUP(A144,Registry!$A$4:$AA$241,2,FALSE)</f>
        <v>Triangle Court MHP</v>
      </c>
      <c r="C144" s="40" t="str">
        <f>VLOOKUP(A144,Registry!$A$4:$AA$241,3,FALSE)</f>
        <v>Rutland</v>
      </c>
      <c r="D144" s="40" t="str">
        <f>VLOOKUP(A144,Registry!$A$4:$AA$241,4,FALSE)</f>
        <v>Brandon</v>
      </c>
      <c r="E144" s="40">
        <f>VLOOKUP(A144,Registry!$A$4:$AA$241,7,FALSE)</f>
        <v>1986</v>
      </c>
      <c r="F144" s="80" t="str">
        <f>IF(VLOOKUP(A144,Registry!$A$4:$AA$241,20,FALSE)=0,"",VLOOKUP(A144,Registry!$A$4:$AA$241,20,FALSE))</f>
        <v>Cooperative</v>
      </c>
      <c r="G144" s="40">
        <f>VLOOKUP(A144,Registry!$A$4:$AA$241,21,FALSE)</f>
        <v>12</v>
      </c>
      <c r="H144" s="112" t="s">
        <v>1256</v>
      </c>
      <c r="I144" s="37"/>
      <c r="J144" s="37"/>
      <c r="K144" s="37"/>
      <c r="L144" s="37"/>
      <c r="M144" s="37"/>
      <c r="N144" s="37">
        <f>SUM(Table2[[#This Row],[Maximum Contamination Violations]:[Treatment Violations]])</f>
        <v>0</v>
      </c>
      <c r="O144" s="37" t="s">
        <v>836</v>
      </c>
      <c r="P144" s="37"/>
      <c r="Q144" s="37"/>
    </row>
    <row r="145" spans="1:17" x14ac:dyDescent="0.25">
      <c r="A145" s="38">
        <v>205</v>
      </c>
      <c r="B145" s="40" t="str">
        <f>VLOOKUP(A145,Registry!$A$4:$AA$241,2,FALSE)</f>
        <v>Valley View MHP</v>
      </c>
      <c r="C145" s="40" t="str">
        <f>VLOOKUP(A145,Registry!$A$4:$AA$241,3,FALSE)</f>
        <v>Rutland</v>
      </c>
      <c r="D145" s="40" t="str">
        <f>VLOOKUP(A145,Registry!$A$4:$AA$241,4,FALSE)</f>
        <v>Brandon</v>
      </c>
      <c r="E145" s="40">
        <f>VLOOKUP(A145,Registry!$A$4:$AA$241,7,FALSE)</f>
        <v>1955</v>
      </c>
      <c r="F145" s="80" t="str">
        <f>IF(VLOOKUP(A145,Registry!$A$4:$AA$241,20,FALSE)=0,"",VLOOKUP(A145,Registry!$A$4:$AA$241,20,FALSE))</f>
        <v>For profit</v>
      </c>
      <c r="G145" s="40">
        <f>VLOOKUP(A145,Registry!$A$4:$AA$241,21,FALSE)</f>
        <v>10</v>
      </c>
      <c r="H145" s="112" t="s">
        <v>1256</v>
      </c>
      <c r="I145" s="37"/>
      <c r="J145" s="37" t="s">
        <v>838</v>
      </c>
      <c r="K145" s="37"/>
      <c r="L145" s="37"/>
      <c r="M145" s="37"/>
      <c r="N145" s="37">
        <f>SUM(Table2[[#This Row],[Maximum Contamination Violations]:[Treatment Violations]])</f>
        <v>0</v>
      </c>
      <c r="O145" s="37" t="s">
        <v>823</v>
      </c>
      <c r="P145" s="37"/>
      <c r="Q145" s="37"/>
    </row>
    <row r="146" spans="1:17" x14ac:dyDescent="0.25">
      <c r="A146" s="38">
        <v>211</v>
      </c>
      <c r="B146" s="40" t="str">
        <f>VLOOKUP(A146,Registry!$A$4:$AA$241,2,FALSE)</f>
        <v>FWMHP, LLC</v>
      </c>
      <c r="C146" s="40" t="str">
        <f>VLOOKUP(A146,Registry!$A$4:$AA$241,3,FALSE)</f>
        <v>Rutland</v>
      </c>
      <c r="D146" s="40" t="str">
        <f>VLOOKUP(A146,Registry!$A$4:$AA$241,4,FALSE)</f>
        <v>Castleton</v>
      </c>
      <c r="E146" s="40">
        <f>VLOOKUP(A146,Registry!$A$4:$AA$241,7,FALSE)</f>
        <v>1970</v>
      </c>
      <c r="F146" s="80" t="str">
        <f>IF(VLOOKUP(A146,Registry!$A$4:$AA$241,20,FALSE)=0,"",VLOOKUP(A146,Registry!$A$4:$AA$241,20,FALSE))</f>
        <v>For profit</v>
      </c>
      <c r="G146" s="40">
        <f>VLOOKUP(A146,Registry!$A$4:$AA$241,21,FALSE)</f>
        <v>44</v>
      </c>
      <c r="H146" s="43" t="s">
        <v>830</v>
      </c>
      <c r="I146" s="37">
        <v>5213</v>
      </c>
      <c r="J146" s="37" t="s">
        <v>927</v>
      </c>
      <c r="K146" s="37"/>
      <c r="L146" s="37"/>
      <c r="M146" s="37"/>
      <c r="N146" s="37">
        <f>SUM(Table2[[#This Row],[Maximum Contamination Violations]:[Treatment Violations]])</f>
        <v>0</v>
      </c>
      <c r="O146" s="37" t="s">
        <v>836</v>
      </c>
      <c r="P146" s="37"/>
      <c r="Q146" s="37"/>
    </row>
    <row r="147" spans="1:17" x14ac:dyDescent="0.25">
      <c r="A147" s="38">
        <v>180</v>
      </c>
      <c r="B147" s="40" t="str">
        <f>VLOOKUP(A147,Registry!$A$4:$AA$241,2,FALSE)</f>
        <v>Windy Hollow Mobile Home Park</v>
      </c>
      <c r="C147" s="40" t="str">
        <f>VLOOKUP(A147,Registry!$A$4:$AA$241,3,FALSE)</f>
        <v>Rutland</v>
      </c>
      <c r="D147" s="40" t="str">
        <f>VLOOKUP(A147,Registry!$A$4:$AA$241,4,FALSE)</f>
        <v>Castleton</v>
      </c>
      <c r="E147" s="40">
        <f>VLOOKUP(A147,Registry!$A$4:$AA$241,7,FALSE)</f>
        <v>1966</v>
      </c>
      <c r="F147" s="80" t="str">
        <f>IF(VLOOKUP(A147,Registry!$A$4:$AA$241,20,FALSE)=0,"",VLOOKUP(A147,Registry!$A$4:$AA$241,20,FALSE))</f>
        <v>Cooperative</v>
      </c>
      <c r="G147" s="40">
        <f>VLOOKUP(A147,Registry!$A$4:$AA$241,21,FALSE)</f>
        <v>44</v>
      </c>
      <c r="H147" s="43" t="s">
        <v>830</v>
      </c>
      <c r="I147" s="37">
        <v>5594</v>
      </c>
      <c r="J147" s="37"/>
      <c r="K147" s="37"/>
      <c r="L147" s="37"/>
      <c r="M147" s="37"/>
      <c r="N147" s="37">
        <f>SUM(Table2[[#This Row],[Maximum Contamination Violations]:[Treatment Violations]])</f>
        <v>0</v>
      </c>
      <c r="O147" s="37" t="s">
        <v>834</v>
      </c>
      <c r="P147" s="37" t="s">
        <v>1477</v>
      </c>
      <c r="Q147" s="37" t="s">
        <v>1208</v>
      </c>
    </row>
    <row r="148" spans="1:17" x14ac:dyDescent="0.25">
      <c r="A148" s="38">
        <v>135</v>
      </c>
      <c r="B148" s="40" t="str">
        <f>VLOOKUP(A148,Registry!$A$4:$AA$241,2,FALSE)</f>
        <v>Coburn Mobile Home Park</v>
      </c>
      <c r="C148" s="40" t="str">
        <f>VLOOKUP(A148,Registry!$A$4:$AA$241,3,FALSE)</f>
        <v>Rutland</v>
      </c>
      <c r="D148" s="40" t="str">
        <f>VLOOKUP(A148,Registry!$A$4:$AA$241,4,FALSE)</f>
        <v>Clarendon</v>
      </c>
      <c r="E148" s="40">
        <f>VLOOKUP(A148,Registry!$A$4:$AA$241,7,FALSE)</f>
        <v>1960</v>
      </c>
      <c r="F148" s="80" t="str">
        <f>IF(VLOOKUP(A148,Registry!$A$4:$AA$241,20,FALSE)=0,"",VLOOKUP(A148,Registry!$A$4:$AA$241,20,FALSE))</f>
        <v>Non-profit</v>
      </c>
      <c r="G148" s="40">
        <f>VLOOKUP(A148,Registry!$A$4:$AA$241,21,FALSE)</f>
        <v>46</v>
      </c>
      <c r="H148" s="43" t="s">
        <v>830</v>
      </c>
      <c r="I148" s="37">
        <v>5347</v>
      </c>
      <c r="J148" s="37" t="s">
        <v>832</v>
      </c>
      <c r="K148" s="37"/>
      <c r="L148" s="37"/>
      <c r="M148" s="37"/>
      <c r="N148" s="37">
        <f>SUM(Table2[[#This Row],[Maximum Contamination Violations]:[Treatment Violations]])</f>
        <v>0</v>
      </c>
      <c r="O148" s="37" t="s">
        <v>823</v>
      </c>
      <c r="P148" s="37" t="s">
        <v>894</v>
      </c>
      <c r="Q148" s="37"/>
    </row>
    <row r="149" spans="1:17" x14ac:dyDescent="0.25">
      <c r="A149" s="38">
        <v>301</v>
      </c>
      <c r="B149" s="40" t="str">
        <f>VLOOKUP(A149,Registry!$A$4:$AA$241,2,FALSE)</f>
        <v>Iroquois Village</v>
      </c>
      <c r="C149" s="40" t="str">
        <f>VLOOKUP(A149,Registry!$A$4:$AA$241,3,FALSE)</f>
        <v>Rutland</v>
      </c>
      <c r="D149" s="40" t="str">
        <f>VLOOKUP(A149,Registry!$A$4:$AA$241,4,FALSE)</f>
        <v>Clarendon</v>
      </c>
      <c r="E149" s="40">
        <f>VLOOKUP(A149,Registry!$A$4:$AA$241,7,FALSE)</f>
        <v>1986</v>
      </c>
      <c r="F149" s="80" t="str">
        <f>IF(VLOOKUP(A149,Registry!$A$4:$AA$241,20,FALSE)=0,"",VLOOKUP(A149,Registry!$A$4:$AA$241,20,FALSE))</f>
        <v>For profit</v>
      </c>
      <c r="G149" s="40">
        <f>VLOOKUP(A149,Registry!$A$4:$AA$241,21,FALSE)</f>
        <v>6</v>
      </c>
      <c r="H149" s="43" t="s">
        <v>1676</v>
      </c>
      <c r="I149" s="37">
        <v>20779</v>
      </c>
      <c r="J149" s="37"/>
      <c r="K149" s="37">
        <v>0</v>
      </c>
      <c r="L149" s="37">
        <v>2</v>
      </c>
      <c r="M149" s="37">
        <v>0</v>
      </c>
      <c r="N149" s="37">
        <f>SUM(Table2[[#This Row],[Maximum Contamination Violations]:[Treatment Violations]])</f>
        <v>2</v>
      </c>
      <c r="O149" s="37" t="s">
        <v>836</v>
      </c>
      <c r="P149" s="37" t="s">
        <v>1249</v>
      </c>
      <c r="Q149" s="37"/>
    </row>
    <row r="150" spans="1:17" x14ac:dyDescent="0.25">
      <c r="A150" s="38">
        <v>302</v>
      </c>
      <c r="B150" s="40" t="str">
        <f>VLOOKUP(A150,Registry!$A$4:$AA$241,2,FALSE)</f>
        <v>Rabtoy MHP</v>
      </c>
      <c r="C150" s="40" t="str">
        <f>VLOOKUP(A150,Registry!$A$4:$AA$241,3,FALSE)</f>
        <v>Rutland</v>
      </c>
      <c r="D150" s="40" t="str">
        <f>VLOOKUP(A150,Registry!$A$4:$AA$241,4,FALSE)</f>
        <v>Clarendon</v>
      </c>
      <c r="E150" s="40">
        <f>VLOOKUP(A150,Registry!$A$4:$AA$241,7,FALSE)</f>
        <v>1969</v>
      </c>
      <c r="F150" s="80" t="str">
        <f>IF(VLOOKUP(A150,Registry!$A$4:$AA$241,20,FALSE)=0,"",VLOOKUP(A150,Registry!$A$4:$AA$241,20,FALSE))</f>
        <v>For profit</v>
      </c>
      <c r="G150" s="40">
        <f>VLOOKUP(A150,Registry!$A$4:$AA$241,21,FALSE)</f>
        <v>9</v>
      </c>
      <c r="H150" s="112" t="s">
        <v>1256</v>
      </c>
      <c r="I150" s="37"/>
      <c r="J150" s="37"/>
      <c r="K150" s="37"/>
      <c r="L150" s="37"/>
      <c r="M150" s="37"/>
      <c r="N150" s="37">
        <f>SUM(Table2[[#This Row],[Maximum Contamination Violations]:[Treatment Violations]])</f>
        <v>0</v>
      </c>
      <c r="O150" s="37" t="s">
        <v>836</v>
      </c>
      <c r="P150" s="37"/>
      <c r="Q150" s="37"/>
    </row>
    <row r="151" spans="1:17" x14ac:dyDescent="0.25">
      <c r="A151" s="38">
        <v>318</v>
      </c>
      <c r="B151" s="40" t="str">
        <f>VLOOKUP(A151,Registry!$A$4:$AA$241,2,FALSE)</f>
        <v>Depot Street Fair Haven MHP</v>
      </c>
      <c r="C151" s="40" t="str">
        <f>VLOOKUP(A151,Registry!$A$4:$AA$241,3,FALSE)</f>
        <v>Rutland</v>
      </c>
      <c r="D151" s="40" t="str">
        <f>VLOOKUP(A151,Registry!$A$4:$AA$241,4,FALSE)</f>
        <v>Fair Haven</v>
      </c>
      <c r="E151" s="40">
        <f>VLOOKUP(A151,Registry!$A$4:$AA$241,7,FALSE)</f>
        <v>1993</v>
      </c>
      <c r="F151" s="80" t="str">
        <f>IF(VLOOKUP(A151,Registry!$A$4:$AA$241,20,FALSE)=0,"",VLOOKUP(A151,Registry!$A$4:$AA$241,20,FALSE))</f>
        <v>For profit</v>
      </c>
      <c r="G151" s="40">
        <f>VLOOKUP(A151,Registry!$A$4:$AA$241,21,FALSE)</f>
        <v>3</v>
      </c>
      <c r="H151" s="43" t="s">
        <v>824</v>
      </c>
      <c r="I151" s="37"/>
      <c r="J151" s="37" t="s">
        <v>905</v>
      </c>
      <c r="K151" s="37"/>
      <c r="L151" s="37"/>
      <c r="M151" s="37"/>
      <c r="N151" s="37">
        <f>SUM(Table2[[#This Row],[Maximum Contamination Violations]:[Treatment Violations]])</f>
        <v>0</v>
      </c>
      <c r="O151" s="37" t="s">
        <v>824</v>
      </c>
      <c r="P151" s="37"/>
      <c r="Q151" s="37"/>
    </row>
    <row r="152" spans="1:17" x14ac:dyDescent="0.25">
      <c r="A152" s="38">
        <v>259</v>
      </c>
      <c r="B152" s="40" t="str">
        <f>VLOOKUP(A152,Registry!$A$4:$AA$241,2,FALSE)</f>
        <v>Green Mountain Mobile Manor</v>
      </c>
      <c r="C152" s="40" t="str">
        <f>VLOOKUP(A152,Registry!$A$4:$AA$241,3,FALSE)</f>
        <v>Rutland</v>
      </c>
      <c r="D152" s="40" t="str">
        <f>VLOOKUP(A152,Registry!$A$4:$AA$241,4,FALSE)</f>
        <v>Fair Haven</v>
      </c>
      <c r="E152" s="40">
        <f>VLOOKUP(A152,Registry!$A$4:$AA$241,7,FALSE)</f>
        <v>1960</v>
      </c>
      <c r="F152" s="80" t="str">
        <f>IF(VLOOKUP(A152,Registry!$A$4:$AA$241,20,FALSE)=0,"",VLOOKUP(A152,Registry!$A$4:$AA$241,20,FALSE))</f>
        <v>For profit</v>
      </c>
      <c r="G152" s="40">
        <f>VLOOKUP(A152,Registry!$A$4:$AA$241,21,FALSE)</f>
        <v>20</v>
      </c>
      <c r="H152" s="43" t="s">
        <v>824</v>
      </c>
      <c r="I152" s="37"/>
      <c r="J152" s="37" t="s">
        <v>905</v>
      </c>
      <c r="K152" s="37"/>
      <c r="L152" s="37"/>
      <c r="M152" s="37"/>
      <c r="N152" s="37">
        <f>SUM(Table2[[#This Row],[Maximum Contamination Violations]:[Treatment Violations]])</f>
        <v>0</v>
      </c>
      <c r="O152" s="37" t="s">
        <v>824</v>
      </c>
      <c r="P152" s="37" t="s">
        <v>941</v>
      </c>
      <c r="Q152" s="37" t="s">
        <v>1383</v>
      </c>
    </row>
    <row r="153" spans="1:17" x14ac:dyDescent="0.25">
      <c r="A153" s="38">
        <v>149</v>
      </c>
      <c r="B153" s="40" t="str">
        <f>VLOOKUP(A153,Registry!$A$4:$AA$241,2,FALSE)</f>
        <v>Haven Meadows</v>
      </c>
      <c r="C153" s="40" t="str">
        <f>VLOOKUP(A153,Registry!$A$4:$AA$241,3,FALSE)</f>
        <v>Rutland</v>
      </c>
      <c r="D153" s="40" t="str">
        <f>VLOOKUP(A153,Registry!$A$4:$AA$241,4,FALSE)</f>
        <v>Fair Haven</v>
      </c>
      <c r="E153" s="40">
        <f>VLOOKUP(A153,Registry!$A$4:$AA$241,7,FALSE)</f>
        <v>1970</v>
      </c>
      <c r="F153" s="80" t="str">
        <f>IF(VLOOKUP(A153,Registry!$A$4:$AA$241,20,FALSE)=0,"",VLOOKUP(A153,Registry!$A$4:$AA$241,20,FALSE))</f>
        <v>Non-profit</v>
      </c>
      <c r="G153" s="40">
        <f>VLOOKUP(A153,Registry!$A$4:$AA$241,21,FALSE)</f>
        <v>18</v>
      </c>
      <c r="H153" s="43" t="s">
        <v>824</v>
      </c>
      <c r="I153" s="37"/>
      <c r="J153" s="37" t="s">
        <v>905</v>
      </c>
      <c r="K153" s="37"/>
      <c r="L153" s="37"/>
      <c r="M153" s="37"/>
      <c r="N153" s="37">
        <f>SUM(Table2[[#This Row],[Maximum Contamination Violations]:[Treatment Violations]])</f>
        <v>0</v>
      </c>
      <c r="O153" s="37" t="s">
        <v>824</v>
      </c>
      <c r="P153" s="37" t="s">
        <v>1226</v>
      </c>
      <c r="Q153" s="37"/>
    </row>
    <row r="154" spans="1:17" x14ac:dyDescent="0.25">
      <c r="A154" s="38">
        <v>288</v>
      </c>
      <c r="B154" s="40" t="str">
        <f>VLOOKUP(A154,Registry!$A$4:$AA$241,2,FALSE)</f>
        <v>Phelps Family Park</v>
      </c>
      <c r="C154" s="40" t="str">
        <f>VLOOKUP(A154,Registry!$A$4:$AA$241,3,FALSE)</f>
        <v>Rutland</v>
      </c>
      <c r="D154" s="40" t="str">
        <f>VLOOKUP(A154,Registry!$A$4:$AA$241,4,FALSE)</f>
        <v>Pittsford</v>
      </c>
      <c r="E154" s="40">
        <f>VLOOKUP(A154,Registry!$A$4:$AA$241,7,FALSE)</f>
        <v>1993</v>
      </c>
      <c r="F154" s="80" t="str">
        <f>IF(VLOOKUP(A154,Registry!$A$4:$AA$241,20,FALSE)=0,"",VLOOKUP(A154,Registry!$A$4:$AA$241,20,FALSE))</f>
        <v>For profit</v>
      </c>
      <c r="G154" s="40">
        <f>VLOOKUP(A154,Registry!$A$4:$AA$241,21,FALSE)</f>
        <v>4</v>
      </c>
      <c r="H154" s="112" t="s">
        <v>1256</v>
      </c>
      <c r="I154" s="37"/>
      <c r="J154" s="37"/>
      <c r="K154" s="37"/>
      <c r="L154" s="37"/>
      <c r="M154" s="37"/>
      <c r="N154" s="37">
        <f>SUM(Table2[[#This Row],[Maximum Contamination Violations]:[Treatment Violations]])</f>
        <v>0</v>
      </c>
      <c r="O154" s="37" t="s">
        <v>823</v>
      </c>
      <c r="P154" s="37"/>
      <c r="Q154" s="37"/>
    </row>
    <row r="155" spans="1:17" x14ac:dyDescent="0.25">
      <c r="A155" s="38">
        <v>184</v>
      </c>
      <c r="B155" s="40" t="str">
        <f>VLOOKUP(A155,Registry!$A$4:$AA$241,2,FALSE)</f>
        <v>Lennox Mobile Home Park</v>
      </c>
      <c r="C155" s="40" t="str">
        <f>VLOOKUP(A155,Registry!$A$4:$AA$241,3,FALSE)</f>
        <v>Rutland</v>
      </c>
      <c r="D155" s="40" t="str">
        <f>VLOOKUP(A155,Registry!$A$4:$AA$241,4,FALSE)</f>
        <v>Poultney</v>
      </c>
      <c r="E155" s="40">
        <f>VLOOKUP(A155,Registry!$A$4:$AA$241,7,FALSE)</f>
        <v>1967</v>
      </c>
      <c r="F155" s="80" t="str">
        <f>IF(VLOOKUP(A155,Registry!$A$4:$AA$241,20,FALSE)=0,"",VLOOKUP(A155,Registry!$A$4:$AA$241,20,FALSE))</f>
        <v>For profit</v>
      </c>
      <c r="G155" s="40">
        <f>VLOOKUP(A155,Registry!$A$4:$AA$241,21,FALSE)</f>
        <v>14</v>
      </c>
      <c r="H155" s="43"/>
      <c r="I155" s="37"/>
      <c r="J155" s="37" t="s">
        <v>908</v>
      </c>
      <c r="K155" s="37"/>
      <c r="L155" s="37"/>
      <c r="M155" s="37"/>
      <c r="N155" s="37">
        <f>SUM(Table2[[#This Row],[Maximum Contamination Violations]:[Treatment Violations]])</f>
        <v>0</v>
      </c>
      <c r="O155" s="37" t="s">
        <v>823</v>
      </c>
      <c r="P155" s="37"/>
      <c r="Q155" s="37"/>
    </row>
    <row r="156" spans="1:17" x14ac:dyDescent="0.25">
      <c r="A156" s="38">
        <v>228</v>
      </c>
      <c r="B156" s="40" t="str">
        <f>VLOOKUP(A156,Registry!$A$4:$AA$241,2,FALSE)</f>
        <v>Allen Street Mobile Home Park</v>
      </c>
      <c r="C156" s="40" t="str">
        <f>VLOOKUP(A156,Registry!$A$4:$AA$241,3,FALSE)</f>
        <v>Rutland</v>
      </c>
      <c r="D156" s="40" t="str">
        <f>VLOOKUP(A156,Registry!$A$4:$AA$241,4,FALSE)</f>
        <v>Rutland</v>
      </c>
      <c r="E156" s="40">
        <f>VLOOKUP(A156,Registry!$A$4:$AA$241,7,FALSE)</f>
        <v>1971</v>
      </c>
      <c r="F156" s="80" t="str">
        <f>IF(VLOOKUP(A156,Registry!$A$4:$AA$241,20,FALSE)=0,"",VLOOKUP(A156,Registry!$A$4:$AA$241,20,FALSE))</f>
        <v>For profit</v>
      </c>
      <c r="G156" s="40">
        <f>VLOOKUP(A156,Registry!$A$4:$AA$241,21,FALSE)</f>
        <v>18</v>
      </c>
      <c r="H156" s="43" t="s">
        <v>824</v>
      </c>
      <c r="I156" s="37"/>
      <c r="J156" s="37" t="s">
        <v>924</v>
      </c>
      <c r="K156" s="37"/>
      <c r="L156" s="37"/>
      <c r="M156" s="37"/>
      <c r="N156" s="37">
        <f>SUM(Table2[[#This Row],[Maximum Contamination Violations]:[Treatment Violations]])</f>
        <v>0</v>
      </c>
      <c r="O156" s="44" t="s">
        <v>824</v>
      </c>
      <c r="P156" s="37"/>
      <c r="Q156" s="37"/>
    </row>
    <row r="157" spans="1:17" x14ac:dyDescent="0.25">
      <c r="A157" s="38">
        <v>212</v>
      </c>
      <c r="B157" s="40" t="str">
        <f>VLOOKUP(A157,Registry!$A$4:$AA$241,2,FALSE)</f>
        <v>Billings Mobile Manor</v>
      </c>
      <c r="C157" s="40" t="str">
        <f>VLOOKUP(A157,Registry!$A$4:$AA$241,3,FALSE)</f>
        <v>Rutland</v>
      </c>
      <c r="D157" s="40" t="str">
        <f>VLOOKUP(A157,Registry!$A$4:$AA$241,4,FALSE)</f>
        <v>Rutland</v>
      </c>
      <c r="E157" s="40">
        <f>VLOOKUP(A157,Registry!$A$4:$AA$241,7,FALSE)</f>
        <v>1964</v>
      </c>
      <c r="F157" s="80" t="str">
        <f>IF(VLOOKUP(A157,Registry!$A$4:$AA$241,20,FALSE)=0,"",VLOOKUP(A157,Registry!$A$4:$AA$241,20,FALSE))</f>
        <v>For profit</v>
      </c>
      <c r="G157" s="40">
        <f>VLOOKUP(A157,Registry!$A$4:$AA$241,21,FALSE)</f>
        <v>36</v>
      </c>
      <c r="H157" s="43" t="s">
        <v>824</v>
      </c>
      <c r="I157" s="37"/>
      <c r="J157" s="37" t="s">
        <v>924</v>
      </c>
      <c r="K157" s="37"/>
      <c r="L157" s="37"/>
      <c r="M157" s="37"/>
      <c r="N157" s="37">
        <f>SUM(Table2[[#This Row],[Maximum Contamination Violations]:[Treatment Violations]])</f>
        <v>0</v>
      </c>
      <c r="O157" s="44" t="s">
        <v>824</v>
      </c>
      <c r="P157" s="37"/>
      <c r="Q157" s="37"/>
    </row>
    <row r="158" spans="1:17" x14ac:dyDescent="0.25">
      <c r="A158" s="38">
        <v>207</v>
      </c>
      <c r="B158" s="40" t="str">
        <f>VLOOKUP(A158,Registry!$A$4:$AA$241,2,FALSE)</f>
        <v>Brookside Mobile Home Park</v>
      </c>
      <c r="C158" s="40" t="str">
        <f>VLOOKUP(A158,Registry!$A$4:$AA$241,3,FALSE)</f>
        <v>Rutland</v>
      </c>
      <c r="D158" s="40" t="str">
        <f>VLOOKUP(A158,Registry!$A$4:$AA$241,4,FALSE)</f>
        <v>Rutland</v>
      </c>
      <c r="E158" s="40">
        <f>VLOOKUP(A158,Registry!$A$4:$AA$241,7,FALSE)</f>
        <v>1978</v>
      </c>
      <c r="F158" s="80" t="str">
        <f>IF(VLOOKUP(A158,Registry!$A$4:$AA$241,20,FALSE)=0,"",VLOOKUP(A158,Registry!$A$4:$AA$241,20,FALSE))</f>
        <v>For profit</v>
      </c>
      <c r="G158" s="40">
        <f>VLOOKUP(A158,Registry!$A$4:$AA$241,21,FALSE)</f>
        <v>26</v>
      </c>
      <c r="H158" s="43" t="s">
        <v>824</v>
      </c>
      <c r="I158" s="37"/>
      <c r="J158" s="37" t="s">
        <v>924</v>
      </c>
      <c r="K158" s="37"/>
      <c r="L158" s="37"/>
      <c r="M158" s="37"/>
      <c r="N158" s="37">
        <f>SUM(Table2[[#This Row],[Maximum Contamination Violations]:[Treatment Violations]])</f>
        <v>0</v>
      </c>
      <c r="O158" s="44" t="s">
        <v>824</v>
      </c>
      <c r="P158" s="37" t="s">
        <v>925</v>
      </c>
      <c r="Q158" s="37"/>
    </row>
    <row r="159" spans="1:17" x14ac:dyDescent="0.25">
      <c r="A159" s="38">
        <v>215</v>
      </c>
      <c r="B159" s="40" t="str">
        <f>VLOOKUP(A159,Registry!$A$4:$AA$241,2,FALSE)</f>
        <v>Dorr Drive Mobile Home Park</v>
      </c>
      <c r="C159" s="40" t="str">
        <f>VLOOKUP(A159,Registry!$A$4:$AA$241,3,FALSE)</f>
        <v>Rutland</v>
      </c>
      <c r="D159" s="40" t="str">
        <f>VLOOKUP(A159,Registry!$A$4:$AA$241,4,FALSE)</f>
        <v>Rutland</v>
      </c>
      <c r="E159" s="40">
        <f>VLOOKUP(A159,Registry!$A$4:$AA$241,7,FALSE)</f>
        <v>1975</v>
      </c>
      <c r="F159" s="80" t="str">
        <f>IF(VLOOKUP(A159,Registry!$A$4:$AA$241,20,FALSE)=0,"",VLOOKUP(A159,Registry!$A$4:$AA$241,20,FALSE))</f>
        <v>For profit</v>
      </c>
      <c r="G159" s="40">
        <f>VLOOKUP(A159,Registry!$A$4:$AA$241,21,FALSE)</f>
        <v>17</v>
      </c>
      <c r="H159" s="43" t="s">
        <v>824</v>
      </c>
      <c r="I159" s="37"/>
      <c r="J159" s="37" t="s">
        <v>924</v>
      </c>
      <c r="K159" s="37"/>
      <c r="L159" s="37"/>
      <c r="M159" s="37"/>
      <c r="N159" s="37">
        <f>SUM(Table2[[#This Row],[Maximum Contamination Violations]:[Treatment Violations]])</f>
        <v>0</v>
      </c>
      <c r="O159" s="44" t="s">
        <v>824</v>
      </c>
      <c r="P159" s="37" t="s">
        <v>1219</v>
      </c>
      <c r="Q159" s="37"/>
    </row>
    <row r="160" spans="1:17" x14ac:dyDescent="0.25">
      <c r="A160" s="38">
        <v>275</v>
      </c>
      <c r="B160" s="40" t="str">
        <f>VLOOKUP(A160,Registry!$A$4:$AA$241,2,FALSE)</f>
        <v>Mussey Street MHP</v>
      </c>
      <c r="C160" s="40" t="str">
        <f>VLOOKUP(A160,Registry!$A$4:$AA$241,3,FALSE)</f>
        <v>Rutland</v>
      </c>
      <c r="D160" s="40" t="str">
        <f>VLOOKUP(A160,Registry!$A$4:$AA$241,4,FALSE)</f>
        <v>Rutland</v>
      </c>
      <c r="E160" s="40">
        <f>VLOOKUP(A160,Registry!$A$4:$AA$241,7,FALSE)</f>
        <v>1993</v>
      </c>
      <c r="F160" s="80" t="str">
        <f>IF(VLOOKUP(A160,Registry!$A$4:$AA$241,20,FALSE)=0,"",VLOOKUP(A160,Registry!$A$4:$AA$241,20,FALSE))</f>
        <v>Non-profit</v>
      </c>
      <c r="G160" s="40">
        <f>VLOOKUP(A160,Registry!$A$4:$AA$241,21,FALSE)</f>
        <v>14</v>
      </c>
      <c r="H160" s="43" t="s">
        <v>824</v>
      </c>
      <c r="I160" s="37"/>
      <c r="J160" s="37" t="s">
        <v>924</v>
      </c>
      <c r="K160" s="37"/>
      <c r="L160" s="37"/>
      <c r="M160" s="37"/>
      <c r="N160" s="37">
        <f>SUM(Table2[[#This Row],[Maximum Contamination Violations]:[Treatment Violations]])</f>
        <v>0</v>
      </c>
      <c r="O160" s="44" t="s">
        <v>824</v>
      </c>
      <c r="P160" s="37" t="s">
        <v>1225</v>
      </c>
      <c r="Q160" s="37"/>
    </row>
    <row r="161" spans="1:17" x14ac:dyDescent="0.25">
      <c r="A161" s="38">
        <v>284</v>
      </c>
      <c r="B161" s="40" t="str">
        <f>VLOOKUP(A161,Registry!$A$4:$AA$241,2,FALSE)</f>
        <v>Mussey Street Park</v>
      </c>
      <c r="C161" s="40" t="str">
        <f>VLOOKUP(A161,Registry!$A$4:$AA$241,3,FALSE)</f>
        <v>Rutland</v>
      </c>
      <c r="D161" s="40" t="str">
        <f>VLOOKUP(A161,Registry!$A$4:$AA$241,4,FALSE)</f>
        <v>Rutland</v>
      </c>
      <c r="E161" s="40">
        <f>VLOOKUP(A161,Registry!$A$4:$AA$241,7,FALSE)</f>
        <v>1970</v>
      </c>
      <c r="F161" s="80" t="str">
        <f>IF(VLOOKUP(A161,Registry!$A$4:$AA$241,20,FALSE)=0,"",VLOOKUP(A161,Registry!$A$4:$AA$241,20,FALSE))</f>
        <v>For profit</v>
      </c>
      <c r="G161" s="40">
        <f>VLOOKUP(A161,Registry!$A$4:$AA$241,21,FALSE)</f>
        <v>4</v>
      </c>
      <c r="H161" s="43" t="s">
        <v>824</v>
      </c>
      <c r="I161" s="37"/>
      <c r="J161" s="37" t="s">
        <v>924</v>
      </c>
      <c r="K161" s="37"/>
      <c r="L161" s="37"/>
      <c r="M161" s="37"/>
      <c r="N161" s="37">
        <f>SUM(Table2[[#This Row],[Maximum Contamination Violations]:[Treatment Violations]])</f>
        <v>0</v>
      </c>
      <c r="O161" s="44" t="s">
        <v>824</v>
      </c>
      <c r="P161" s="37"/>
      <c r="Q161" s="37"/>
    </row>
    <row r="162" spans="1:17" x14ac:dyDescent="0.25">
      <c r="A162" s="38">
        <v>213</v>
      </c>
      <c r="B162" s="40" t="str">
        <f>VLOOKUP(A162,Registry!$A$4:$AA$241,2,FALSE)</f>
        <v>Prestons Park</v>
      </c>
      <c r="C162" s="40" t="str">
        <f>VLOOKUP(A162,Registry!$A$4:$AA$241,3,FALSE)</f>
        <v>Rutland</v>
      </c>
      <c r="D162" s="40" t="str">
        <f>VLOOKUP(A162,Registry!$A$4:$AA$241,4,FALSE)</f>
        <v>Rutland</v>
      </c>
      <c r="E162" s="40">
        <f>VLOOKUP(A162,Registry!$A$4:$AA$241,7,FALSE)</f>
        <v>1980</v>
      </c>
      <c r="F162" s="80" t="str">
        <f>IF(VLOOKUP(A162,Registry!$A$4:$AA$241,20,FALSE)=0,"",VLOOKUP(A162,Registry!$A$4:$AA$241,20,FALSE))</f>
        <v>For profit</v>
      </c>
      <c r="G162" s="40">
        <f>VLOOKUP(A162,Registry!$A$4:$AA$241,21,FALSE)</f>
        <v>12</v>
      </c>
      <c r="H162" s="43" t="s">
        <v>824</v>
      </c>
      <c r="I162" s="37"/>
      <c r="J162" s="37" t="s">
        <v>924</v>
      </c>
      <c r="K162" s="37"/>
      <c r="L162" s="37"/>
      <c r="M162" s="37"/>
      <c r="N162" s="37">
        <f>SUM(Table2[[#This Row],[Maximum Contamination Violations]:[Treatment Violations]])</f>
        <v>0</v>
      </c>
      <c r="O162" s="44" t="s">
        <v>824</v>
      </c>
      <c r="P162" s="37"/>
      <c r="Q162" s="37"/>
    </row>
    <row r="163" spans="1:17" x14ac:dyDescent="0.25">
      <c r="A163" s="38">
        <v>208</v>
      </c>
      <c r="B163" s="40" t="str">
        <f>VLOOKUP(A163,Registry!$A$4:$AA$241,2,FALSE)</f>
        <v>T and C Corporation</v>
      </c>
      <c r="C163" s="40" t="str">
        <f>VLOOKUP(A163,Registry!$A$4:$AA$241,3,FALSE)</f>
        <v>Rutland</v>
      </c>
      <c r="D163" s="40" t="str">
        <f>VLOOKUP(A163,Registry!$A$4:$AA$241,4,FALSE)</f>
        <v>Rutland</v>
      </c>
      <c r="E163" s="40">
        <f>VLOOKUP(A163,Registry!$A$4:$AA$241,7,FALSE)</f>
        <v>1956</v>
      </c>
      <c r="F163" s="80" t="str">
        <f>IF(VLOOKUP(A163,Registry!$A$4:$AA$241,20,FALSE)=0,"",VLOOKUP(A163,Registry!$A$4:$AA$241,20,FALSE))</f>
        <v>For profit</v>
      </c>
      <c r="G163" s="40">
        <f>VLOOKUP(A163,Registry!$A$4:$AA$241,21,FALSE)</f>
        <v>12</v>
      </c>
      <c r="H163" s="43" t="s">
        <v>824</v>
      </c>
      <c r="I163" s="37"/>
      <c r="J163" s="37" t="s">
        <v>924</v>
      </c>
      <c r="K163" s="37"/>
      <c r="L163" s="37"/>
      <c r="M163" s="37"/>
      <c r="N163" s="37">
        <f>SUM(Table2[[#This Row],[Maximum Contamination Violations]:[Treatment Violations]])</f>
        <v>0</v>
      </c>
      <c r="O163" s="44" t="s">
        <v>824</v>
      </c>
      <c r="P163" s="37"/>
      <c r="Q163" s="37"/>
    </row>
    <row r="164" spans="1:17" x14ac:dyDescent="0.25">
      <c r="A164" s="38">
        <v>186</v>
      </c>
      <c r="B164" s="40" t="str">
        <f>VLOOKUP(A164,Registry!$A$4:$AA$241,2,FALSE)</f>
        <v>Lakes End Mobile Home Park</v>
      </c>
      <c r="C164" s="40" t="str">
        <f>VLOOKUP(A164,Registry!$A$4:$AA$241,3,FALSE)</f>
        <v>Rutland</v>
      </c>
      <c r="D164" s="40" t="str">
        <f>VLOOKUP(A164,Registry!$A$4:$AA$241,4,FALSE)</f>
        <v>Wells</v>
      </c>
      <c r="E164" s="40">
        <f>VLOOKUP(A164,Registry!$A$4:$AA$241,7,FALSE)</f>
        <v>1955</v>
      </c>
      <c r="F164" s="80" t="str">
        <f>IF(VLOOKUP(A164,Registry!$A$4:$AA$241,20,FALSE)=0,"",VLOOKUP(A164,Registry!$A$4:$AA$241,20,FALSE))</f>
        <v>For profit</v>
      </c>
      <c r="G164" s="40">
        <f>VLOOKUP(A164,Registry!$A$4:$AA$241,21,FALSE)</f>
        <v>10</v>
      </c>
      <c r="H164" s="112" t="s">
        <v>1256</v>
      </c>
      <c r="I164" s="37"/>
      <c r="J164" s="37" t="s">
        <v>917</v>
      </c>
      <c r="K164" s="37"/>
      <c r="L164" s="37"/>
      <c r="M164" s="37"/>
      <c r="N164" s="37">
        <f>SUM(Table2[[#This Row],[Maximum Contamination Violations]:[Treatment Violations]])</f>
        <v>0</v>
      </c>
      <c r="O164" s="37" t="s">
        <v>836</v>
      </c>
      <c r="P164" s="37"/>
      <c r="Q164" s="37"/>
    </row>
    <row r="165" spans="1:17" x14ac:dyDescent="0.25">
      <c r="A165" s="38">
        <v>159</v>
      </c>
      <c r="B165" s="40" t="str">
        <f>VLOOKUP(A165,Registry!$A$4:$AA$241,2,FALSE)</f>
        <v>Bridge Street MHP</v>
      </c>
      <c r="C165" s="40" t="str">
        <f>VLOOKUP(A165,Registry!$A$4:$AA$241,3,FALSE)</f>
        <v>Washington</v>
      </c>
      <c r="D165" s="40" t="str">
        <f>VLOOKUP(A165,Registry!$A$4:$AA$241,4,FALSE)</f>
        <v>Barre</v>
      </c>
      <c r="E165" s="40">
        <f>VLOOKUP(A165,Registry!$A$4:$AA$241,7,FALSE)</f>
        <v>1955</v>
      </c>
      <c r="F165" s="80" t="str">
        <f>IF(VLOOKUP(A165,Registry!$A$4:$AA$241,20,FALSE)=0,"",VLOOKUP(A165,Registry!$A$4:$AA$241,20,FALSE))</f>
        <v>Non-profit</v>
      </c>
      <c r="G165" s="40">
        <f>VLOOKUP(A165,Registry!$A$4:$AA$241,21,FALSE)</f>
        <v>8</v>
      </c>
      <c r="H165" s="43" t="s">
        <v>824</v>
      </c>
      <c r="I165" s="37"/>
      <c r="J165" s="37" t="s">
        <v>1467</v>
      </c>
      <c r="K165" s="37"/>
      <c r="L165" s="37"/>
      <c r="M165" s="37"/>
      <c r="N165" s="37">
        <f>SUM(Table2[[#This Row],[Maximum Contamination Violations]:[Treatment Violations]])</f>
        <v>0</v>
      </c>
      <c r="O165" s="44" t="s">
        <v>824</v>
      </c>
      <c r="P165" s="37" t="s">
        <v>1250</v>
      </c>
      <c r="Q165" s="37"/>
    </row>
    <row r="166" spans="1:17" x14ac:dyDescent="0.25">
      <c r="A166" s="38">
        <v>161</v>
      </c>
      <c r="B166" s="40" t="str">
        <f>VLOOKUP(A166,Registry!$A$4:$AA$241,2,FALSE)</f>
        <v>East Barre Mobile Home Park</v>
      </c>
      <c r="C166" s="40" t="str">
        <f>VLOOKUP(A166,Registry!$A$4:$AA$241,3,FALSE)</f>
        <v>Washington</v>
      </c>
      <c r="D166" s="40" t="str">
        <f>VLOOKUP(A166,Registry!$A$4:$AA$241,4,FALSE)</f>
        <v>Barre</v>
      </c>
      <c r="E166" s="40">
        <f>VLOOKUP(A166,Registry!$A$4:$AA$241,7,FALSE)</f>
        <v>1955</v>
      </c>
      <c r="F166" s="80" t="str">
        <f>IF(VLOOKUP(A166,Registry!$A$4:$AA$241,20,FALSE)=0,"",VLOOKUP(A166,Registry!$A$4:$AA$241,20,FALSE))</f>
        <v>For profit</v>
      </c>
      <c r="G166" s="40">
        <f>VLOOKUP(A166,Registry!$A$4:$AA$241,21,FALSE)</f>
        <v>7</v>
      </c>
      <c r="H166" s="43" t="s">
        <v>824</v>
      </c>
      <c r="I166" s="37"/>
      <c r="J166" s="37" t="s">
        <v>1467</v>
      </c>
      <c r="K166" s="37"/>
      <c r="L166" s="37"/>
      <c r="M166" s="37"/>
      <c r="N166" s="37">
        <f>SUM(Table2[[#This Row],[Maximum Contamination Violations]:[Treatment Violations]])</f>
        <v>0</v>
      </c>
      <c r="O166" s="44" t="s">
        <v>824</v>
      </c>
      <c r="P166" s="37"/>
      <c r="Q166" s="37"/>
    </row>
    <row r="167" spans="1:17" x14ac:dyDescent="0.25">
      <c r="A167" s="38">
        <v>162</v>
      </c>
      <c r="B167" s="40" t="str">
        <f>VLOOKUP(A167,Registry!$A$4:$AA$241,2,FALSE)</f>
        <v>Pleasant View Mobile Home Park</v>
      </c>
      <c r="C167" s="40" t="str">
        <f>VLOOKUP(A167,Registry!$A$4:$AA$241,3,FALSE)</f>
        <v>Washington</v>
      </c>
      <c r="D167" s="40" t="str">
        <f>VLOOKUP(A167,Registry!$A$4:$AA$241,4,FALSE)</f>
        <v>Barre</v>
      </c>
      <c r="E167" s="40">
        <f>VLOOKUP(A167,Registry!$A$4:$AA$241,7,FALSE)</f>
        <v>1960</v>
      </c>
      <c r="F167" s="80" t="str">
        <f>IF(VLOOKUP(A167,Registry!$A$4:$AA$241,20,FALSE)=0,"",VLOOKUP(A167,Registry!$A$4:$AA$241,20,FALSE))</f>
        <v>For profit</v>
      </c>
      <c r="G167" s="40">
        <f>VLOOKUP(A167,Registry!$A$4:$AA$241,21,FALSE)</f>
        <v>21</v>
      </c>
      <c r="H167" s="43" t="s">
        <v>824</v>
      </c>
      <c r="I167" s="37"/>
      <c r="J167" s="37" t="s">
        <v>1467</v>
      </c>
      <c r="K167" s="37"/>
      <c r="L167" s="37"/>
      <c r="M167" s="37"/>
      <c r="N167" s="37">
        <f>SUM(Table2[[#This Row],[Maximum Contamination Violations]:[Treatment Violations]])</f>
        <v>0</v>
      </c>
      <c r="O167" s="44" t="s">
        <v>824</v>
      </c>
      <c r="P167" s="37"/>
      <c r="Q167" s="37"/>
    </row>
    <row r="168" spans="1:17" x14ac:dyDescent="0.25">
      <c r="A168" s="38">
        <v>131</v>
      </c>
      <c r="B168" s="40" t="str">
        <f>VLOOKUP(A168,Registry!$A$4:$AA$241,2,FALSE)</f>
        <v>Berlin Corner MHP</v>
      </c>
      <c r="C168" s="40" t="str">
        <f>VLOOKUP(A168,Registry!$A$4:$AA$241,3,FALSE)</f>
        <v>Washington</v>
      </c>
      <c r="D168" s="40" t="str">
        <f>VLOOKUP(A168,Registry!$A$4:$AA$241,4,FALSE)</f>
        <v>Berlin</v>
      </c>
      <c r="E168" s="40">
        <f>VLOOKUP(A168,Registry!$A$4:$AA$241,7,FALSE)</f>
        <v>1964</v>
      </c>
      <c r="F168" s="80" t="str">
        <f>IF(VLOOKUP(A168,Registry!$A$4:$AA$241,20,FALSE)=0,"",VLOOKUP(A168,Registry!$A$4:$AA$241,20,FALSE))</f>
        <v>For profit</v>
      </c>
      <c r="G168" s="40">
        <f>VLOOKUP(A168,Registry!$A$4:$AA$241,21,FALSE)</f>
        <v>4</v>
      </c>
      <c r="H168" s="112" t="s">
        <v>1256</v>
      </c>
      <c r="I168" s="37"/>
      <c r="J168" s="37"/>
      <c r="K168" s="37"/>
      <c r="L168" s="37"/>
      <c r="M168" s="37"/>
      <c r="N168" s="37">
        <f>SUM(Table2[[#This Row],[Maximum Contamination Violations]:[Treatment Violations]])</f>
        <v>0</v>
      </c>
      <c r="O168" s="44" t="s">
        <v>824</v>
      </c>
      <c r="P168" s="37"/>
      <c r="Q168" s="37"/>
    </row>
    <row r="169" spans="1:17" x14ac:dyDescent="0.25">
      <c r="A169" s="38">
        <v>154</v>
      </c>
      <c r="B169" s="40" t="str">
        <f>VLOOKUP(A169,Registry!$A$4:$AA$241,2,FALSE)</f>
        <v>Berlin Mobile Home Park</v>
      </c>
      <c r="C169" s="40" t="str">
        <f>VLOOKUP(A169,Registry!$A$4:$AA$241,3,FALSE)</f>
        <v>Washington</v>
      </c>
      <c r="D169" s="40" t="str">
        <f>VLOOKUP(A169,Registry!$A$4:$AA$241,4,FALSE)</f>
        <v>Berlin</v>
      </c>
      <c r="E169" s="40">
        <f>VLOOKUP(A169,Registry!$A$4:$AA$241,7,FALSE)</f>
        <v>1965</v>
      </c>
      <c r="F169" s="80" t="str">
        <f>IF(VLOOKUP(A169,Registry!$A$4:$AA$241,20,FALSE)=0,"",VLOOKUP(A169,Registry!$A$4:$AA$241,20,FALSE))</f>
        <v>For profit</v>
      </c>
      <c r="G169" s="40">
        <f>VLOOKUP(A169,Registry!$A$4:$AA$241,21,FALSE)</f>
        <v>30</v>
      </c>
      <c r="H169" s="43" t="s">
        <v>827</v>
      </c>
      <c r="I169" s="37">
        <v>5256</v>
      </c>
      <c r="J169" s="37" t="s">
        <v>892</v>
      </c>
      <c r="K169" s="37"/>
      <c r="L169" s="37"/>
      <c r="M169" s="37"/>
      <c r="N169" s="37">
        <f>SUM(Table2[[#This Row],[Maximum Contamination Violations]:[Treatment Violations]])</f>
        <v>0</v>
      </c>
      <c r="O169" s="37" t="s">
        <v>824</v>
      </c>
      <c r="P169" s="37"/>
      <c r="Q169" s="37"/>
    </row>
    <row r="170" spans="1:17" x14ac:dyDescent="0.25">
      <c r="A170" s="38">
        <v>157</v>
      </c>
      <c r="B170" s="40" t="str">
        <f>VLOOKUP(A170,Registry!$A$4:$AA$241,2,FALSE)</f>
        <v>Crosstown Road Mobile Home Park</v>
      </c>
      <c r="C170" s="40" t="str">
        <f>VLOOKUP(A170,Registry!$A$4:$AA$241,3,FALSE)</f>
        <v>Washington</v>
      </c>
      <c r="D170" s="40" t="str">
        <f>VLOOKUP(A170,Registry!$A$4:$AA$241,4,FALSE)</f>
        <v>Berlin</v>
      </c>
      <c r="E170" s="40">
        <f>VLOOKUP(A170,Registry!$A$4:$AA$241,7,FALSE)</f>
        <v>1965</v>
      </c>
      <c r="F170" s="80" t="str">
        <f>IF(VLOOKUP(A170,Registry!$A$4:$AA$241,20,FALSE)=0,"",VLOOKUP(A170,Registry!$A$4:$AA$241,20,FALSE))</f>
        <v>For profit</v>
      </c>
      <c r="G170" s="40">
        <f>VLOOKUP(A170,Registry!$A$4:$AA$241,21,FALSE)</f>
        <v>5</v>
      </c>
      <c r="H170" s="112" t="s">
        <v>1256</v>
      </c>
      <c r="I170" s="37"/>
      <c r="J170" s="37"/>
      <c r="K170" s="37"/>
      <c r="L170" s="37"/>
      <c r="M170" s="37"/>
      <c r="N170" s="37">
        <f>SUM(Table2[[#This Row],[Maximum Contamination Violations]:[Treatment Violations]])</f>
        <v>0</v>
      </c>
      <c r="O170" s="37" t="s">
        <v>836</v>
      </c>
      <c r="P170" s="37"/>
      <c r="Q170" s="37"/>
    </row>
    <row r="171" spans="1:17" x14ac:dyDescent="0.25">
      <c r="A171" s="38">
        <v>158</v>
      </c>
      <c r="B171" s="40" t="str">
        <f>VLOOKUP(A171,Registry!$A$4:$AA$241,2,FALSE)</f>
        <v>Eastwood Manor Mobile Home Park</v>
      </c>
      <c r="C171" s="40" t="str">
        <f>VLOOKUP(A171,Registry!$A$4:$AA$241,3,FALSE)</f>
        <v>Washington</v>
      </c>
      <c r="D171" s="40" t="str">
        <f>VLOOKUP(A171,Registry!$A$4:$AA$241,4,FALSE)</f>
        <v>Berlin</v>
      </c>
      <c r="E171" s="40">
        <f>VLOOKUP(A171,Registry!$A$4:$AA$241,7,FALSE)</f>
        <v>1965</v>
      </c>
      <c r="F171" s="80" t="str">
        <f>IF(VLOOKUP(A171,Registry!$A$4:$AA$241,20,FALSE)=0,"",VLOOKUP(A171,Registry!$A$4:$AA$241,20,FALSE))</f>
        <v>For profit</v>
      </c>
      <c r="G171" s="40">
        <f>VLOOKUP(A171,Registry!$A$4:$AA$241,21,FALSE)</f>
        <v>9</v>
      </c>
      <c r="H171" s="112" t="s">
        <v>1256</v>
      </c>
      <c r="I171" s="37"/>
      <c r="J171" s="37"/>
      <c r="K171" s="37"/>
      <c r="L171" s="37"/>
      <c r="M171" s="37"/>
      <c r="N171" s="37">
        <f>SUM(Table2[[#This Row],[Maximum Contamination Violations]:[Treatment Violations]])</f>
        <v>0</v>
      </c>
      <c r="O171" s="44" t="s">
        <v>824</v>
      </c>
      <c r="P171" s="37"/>
      <c r="Q171" s="37"/>
    </row>
    <row r="172" spans="1:17" x14ac:dyDescent="0.25">
      <c r="A172" s="38">
        <v>132</v>
      </c>
      <c r="B172" s="40" t="str">
        <f>VLOOKUP(A172,Registry!$A$4:$AA$241,2,FALSE)</f>
        <v>LaGue Inc.</v>
      </c>
      <c r="C172" s="40" t="str">
        <f>VLOOKUP(A172,Registry!$A$4:$AA$241,3,FALSE)</f>
        <v>Washington</v>
      </c>
      <c r="D172" s="40" t="str">
        <f>VLOOKUP(A172,Registry!$A$4:$AA$241,4,FALSE)</f>
        <v>Berlin</v>
      </c>
      <c r="E172" s="40">
        <f>VLOOKUP(A172,Registry!$A$4:$AA$241,7,FALSE)</f>
        <v>1967</v>
      </c>
      <c r="F172" s="80" t="str">
        <f>IF(VLOOKUP(A172,Registry!$A$4:$AA$241,20,FALSE)=0,"",VLOOKUP(A172,Registry!$A$4:$AA$241,20,FALSE))</f>
        <v>For profit</v>
      </c>
      <c r="G172" s="40">
        <f>VLOOKUP(A172,Registry!$A$4:$AA$241,21,FALSE)</f>
        <v>28</v>
      </c>
      <c r="H172" s="43" t="s">
        <v>824</v>
      </c>
      <c r="I172" s="37"/>
      <c r="J172" s="37" t="s">
        <v>892</v>
      </c>
      <c r="K172" s="37"/>
      <c r="L172" s="37"/>
      <c r="M172" s="37"/>
      <c r="N172" s="37">
        <f>SUM(Table2[[#This Row],[Maximum Contamination Violations]:[Treatment Violations]])</f>
        <v>0</v>
      </c>
      <c r="O172" s="44" t="s">
        <v>824</v>
      </c>
      <c r="P172" s="37"/>
      <c r="Q172" s="37"/>
    </row>
    <row r="173" spans="1:17" x14ac:dyDescent="0.25">
      <c r="A173" s="38">
        <v>155</v>
      </c>
      <c r="B173" s="40" t="str">
        <f>VLOOKUP(A173,Registry!$A$4:$AA$241,2,FALSE)</f>
        <v>River Run Mobile Home Park</v>
      </c>
      <c r="C173" s="40" t="str">
        <f>VLOOKUP(A173,Registry!$A$4:$AA$241,3,FALSE)</f>
        <v>Washington</v>
      </c>
      <c r="D173" s="40" t="str">
        <f>VLOOKUP(A173,Registry!$A$4:$AA$241,4,FALSE)</f>
        <v>Berlin</v>
      </c>
      <c r="E173" s="40">
        <f>VLOOKUP(A173,Registry!$A$4:$AA$241,7,FALSE)</f>
        <v>1965</v>
      </c>
      <c r="F173" s="80" t="str">
        <f>IF(VLOOKUP(A173,Registry!$A$4:$AA$241,20,FALSE)=0,"",VLOOKUP(A173,Registry!$A$4:$AA$241,20,FALSE))</f>
        <v>For profit</v>
      </c>
      <c r="G173" s="40">
        <f>VLOOKUP(A173,Registry!$A$4:$AA$241,21,FALSE)</f>
        <v>35</v>
      </c>
      <c r="H173" s="43" t="s">
        <v>824</v>
      </c>
      <c r="I173" s="37"/>
      <c r="J173" s="37" t="s">
        <v>892</v>
      </c>
      <c r="K173" s="37"/>
      <c r="L173" s="37"/>
      <c r="M173" s="37"/>
      <c r="N173" s="37">
        <f>SUM(Table2[[#This Row],[Maximum Contamination Violations]:[Treatment Violations]])</f>
        <v>0</v>
      </c>
      <c r="O173" s="44" t="s">
        <v>824</v>
      </c>
      <c r="P173" s="37"/>
      <c r="Q173" s="37"/>
    </row>
    <row r="174" spans="1:17" x14ac:dyDescent="0.25">
      <c r="A174" s="38">
        <v>156</v>
      </c>
      <c r="B174" s="40" t="str">
        <f>VLOOKUP(A174,Registry!$A$4:$AA$241,2,FALSE)</f>
        <v>RMC Mobile Home Park</v>
      </c>
      <c r="C174" s="40" t="str">
        <f>VLOOKUP(A174,Registry!$A$4:$AA$241,3,FALSE)</f>
        <v>Washington</v>
      </c>
      <c r="D174" s="40" t="str">
        <f>VLOOKUP(A174,Registry!$A$4:$AA$241,4,FALSE)</f>
        <v>Berlin</v>
      </c>
      <c r="E174" s="40">
        <f>VLOOKUP(A174,Registry!$A$4:$AA$241,7,FALSE)</f>
        <v>1965</v>
      </c>
      <c r="F174" s="80" t="str">
        <f>IF(VLOOKUP(A174,Registry!$A$4:$AA$241,20,FALSE)=0,"",VLOOKUP(A174,Registry!$A$4:$AA$241,20,FALSE))</f>
        <v>For profit</v>
      </c>
      <c r="G174" s="40">
        <f>VLOOKUP(A174,Registry!$A$4:$AA$241,21,FALSE)</f>
        <v>23</v>
      </c>
      <c r="H174" s="43" t="s">
        <v>830</v>
      </c>
      <c r="I174" s="37">
        <v>5344</v>
      </c>
      <c r="J174" s="37" t="s">
        <v>866</v>
      </c>
      <c r="K174" s="37"/>
      <c r="L174" s="37"/>
      <c r="M174" s="37"/>
      <c r="N174" s="37">
        <f>SUM(Table2[[#This Row],[Maximum Contamination Violations]:[Treatment Violations]])</f>
        <v>0</v>
      </c>
      <c r="O174" s="37" t="s">
        <v>836</v>
      </c>
      <c r="P174" s="37" t="s">
        <v>907</v>
      </c>
      <c r="Q174" s="37"/>
    </row>
    <row r="175" spans="1:17" x14ac:dyDescent="0.25">
      <c r="A175" s="38">
        <v>134</v>
      </c>
      <c r="B175" s="40" t="str">
        <f>VLOOKUP(A175,Registry!$A$4:$AA$241,2,FALSE)</f>
        <v>Weston Mobile Home Park</v>
      </c>
      <c r="C175" s="40" t="str">
        <f>VLOOKUP(A175,Registry!$A$4:$AA$241,3,FALSE)</f>
        <v>Washington</v>
      </c>
      <c r="D175" s="40" t="str">
        <f>VLOOKUP(A175,Registry!$A$4:$AA$241,4,FALSE)</f>
        <v>Berlin</v>
      </c>
      <c r="E175" s="40">
        <f>VLOOKUP(A175,Registry!$A$4:$AA$241,7,FALSE)</f>
        <v>1960</v>
      </c>
      <c r="F175" s="80" t="str">
        <f>IF(VLOOKUP(A175,Registry!$A$4:$AA$241,20,FALSE)=0,"",VLOOKUP(A175,Registry!$A$4:$AA$241,20,FALSE))</f>
        <v>Cooperative</v>
      </c>
      <c r="G175" s="40">
        <f>VLOOKUP(A175,Registry!$A$4:$AA$241,21,FALSE)</f>
        <v>83</v>
      </c>
      <c r="H175" s="43" t="s">
        <v>830</v>
      </c>
      <c r="I175" s="37">
        <v>5258</v>
      </c>
      <c r="J175" s="37" t="s">
        <v>893</v>
      </c>
      <c r="K175" s="37">
        <v>0</v>
      </c>
      <c r="L175" s="37">
        <v>1</v>
      </c>
      <c r="M175" s="37">
        <v>0</v>
      </c>
      <c r="N175" s="37">
        <f>SUM(Table2[[#This Row],[Maximum Contamination Violations]:[Treatment Violations]])</f>
        <v>1</v>
      </c>
      <c r="O175" s="37"/>
      <c r="P175" s="37" t="s">
        <v>1478</v>
      </c>
      <c r="Q175" s="37"/>
    </row>
    <row r="176" spans="1:17" x14ac:dyDescent="0.25">
      <c r="A176" s="38">
        <v>176</v>
      </c>
      <c r="B176" s="40" t="str">
        <f>VLOOKUP(A176,Registry!$A$4:$AA$241,2,FALSE)</f>
        <v>Patterson MHP</v>
      </c>
      <c r="C176" s="40" t="str">
        <f>VLOOKUP(A176,Registry!$A$4:$AA$241,3,FALSE)</f>
        <v>Washington</v>
      </c>
      <c r="D176" s="40" t="str">
        <f>VLOOKUP(A176,Registry!$A$4:$AA$241,4,FALSE)</f>
        <v>Duxbury</v>
      </c>
      <c r="E176" s="40">
        <f>VLOOKUP(A176,Registry!$A$4:$AA$241,7,FALSE)</f>
        <v>1959</v>
      </c>
      <c r="F176" s="80" t="str">
        <f>IF(VLOOKUP(A176,Registry!$A$4:$AA$241,20,FALSE)=0,"",VLOOKUP(A176,Registry!$A$4:$AA$241,20,FALSE))</f>
        <v>For profit</v>
      </c>
      <c r="G176" s="40">
        <f>VLOOKUP(A176,Registry!$A$4:$AA$241,21,FALSE)</f>
        <v>24</v>
      </c>
      <c r="H176" s="43" t="s">
        <v>824</v>
      </c>
      <c r="I176" s="37"/>
      <c r="J176" s="37" t="s">
        <v>916</v>
      </c>
      <c r="K176" s="37"/>
      <c r="L176" s="37"/>
      <c r="M176" s="37"/>
      <c r="N176" s="37">
        <f>SUM(Table2[[#This Row],[Maximum Contamination Violations]:[Treatment Violations]])</f>
        <v>0</v>
      </c>
      <c r="O176" s="37" t="s">
        <v>823</v>
      </c>
      <c r="P176" s="37"/>
      <c r="Q176" s="37"/>
    </row>
    <row r="177" spans="1:17" x14ac:dyDescent="0.25">
      <c r="A177" s="38">
        <v>142</v>
      </c>
      <c r="B177" s="40" t="str">
        <f>VLOOKUP(A177,Registry!$A$4:$AA$241,2,FALSE)</f>
        <v>Sandy Pines Mobile Home Park</v>
      </c>
      <c r="C177" s="40" t="str">
        <f>VLOOKUP(A177,Registry!$A$4:$AA$241,3,FALSE)</f>
        <v>Washington</v>
      </c>
      <c r="D177" s="40" t="str">
        <f>VLOOKUP(A177,Registry!$A$4:$AA$241,4,FALSE)</f>
        <v>East Montpelier</v>
      </c>
      <c r="E177" s="40">
        <f>VLOOKUP(A177,Registry!$A$4:$AA$241,7,FALSE)</f>
        <v>1970</v>
      </c>
      <c r="F177" s="80" t="str">
        <f>IF(VLOOKUP(A177,Registry!$A$4:$AA$241,20,FALSE)=0,"",VLOOKUP(A177,Registry!$A$4:$AA$241,20,FALSE))</f>
        <v>Non-profit</v>
      </c>
      <c r="G177" s="40">
        <f>VLOOKUP(A177,Registry!$A$4:$AA$241,21,FALSE)</f>
        <v>56</v>
      </c>
      <c r="H177" s="43" t="s">
        <v>830</v>
      </c>
      <c r="I177" s="37">
        <v>5267</v>
      </c>
      <c r="J177" s="37" t="s">
        <v>899</v>
      </c>
      <c r="K177" s="37">
        <v>0</v>
      </c>
      <c r="L177" s="37">
        <v>1</v>
      </c>
      <c r="M177" s="37">
        <v>0</v>
      </c>
      <c r="N177" s="37">
        <f>SUM(Table2[[#This Row],[Maximum Contamination Violations]:[Treatment Violations]])</f>
        <v>1</v>
      </c>
      <c r="O177" s="37" t="s">
        <v>823</v>
      </c>
      <c r="P177" s="37" t="s">
        <v>900</v>
      </c>
      <c r="Q177" s="37" t="s">
        <v>901</v>
      </c>
    </row>
    <row r="178" spans="1:17" x14ac:dyDescent="0.25">
      <c r="A178" s="38">
        <v>120</v>
      </c>
      <c r="B178" s="40" t="str">
        <f>VLOOKUP(A178,Registry!$A$4:$AA$241,2,FALSE)</f>
        <v>Riverside Mobile Home Park</v>
      </c>
      <c r="C178" s="40" t="str">
        <f>VLOOKUP(A178,Registry!$A$4:$AA$241,3,FALSE)</f>
        <v>Washington</v>
      </c>
      <c r="D178" s="40" t="str">
        <f>VLOOKUP(A178,Registry!$A$4:$AA$241,4,FALSE)</f>
        <v>Moretown</v>
      </c>
      <c r="E178" s="40">
        <f>VLOOKUP(A178,Registry!$A$4:$AA$241,7,FALSE)</f>
        <v>1958</v>
      </c>
      <c r="F178" s="80" t="str">
        <f>IF(VLOOKUP(A178,Registry!$A$4:$AA$241,20,FALSE)=0,"",VLOOKUP(A178,Registry!$A$4:$AA$241,20,FALSE))</f>
        <v>For profit</v>
      </c>
      <c r="G178" s="40">
        <f>VLOOKUP(A178,Registry!$A$4:$AA$241,21,FALSE)</f>
        <v>12</v>
      </c>
      <c r="H178" s="43" t="s">
        <v>830</v>
      </c>
      <c r="I178" s="37">
        <v>5493</v>
      </c>
      <c r="J178" s="37" t="s">
        <v>832</v>
      </c>
      <c r="K178" s="37">
        <v>0</v>
      </c>
      <c r="L178" s="37">
        <v>1</v>
      </c>
      <c r="M178" s="37">
        <v>0</v>
      </c>
      <c r="N178" s="37">
        <f>SUM(Table2[[#This Row],[Maximum Contamination Violations]:[Treatment Violations]])</f>
        <v>1</v>
      </c>
      <c r="O178" s="37" t="s">
        <v>834</v>
      </c>
      <c r="P178" s="37" t="s">
        <v>1214</v>
      </c>
      <c r="Q178" s="37"/>
    </row>
    <row r="179" spans="1:17" x14ac:dyDescent="0.25">
      <c r="A179" s="38">
        <v>171</v>
      </c>
      <c r="B179" s="40" t="str">
        <f>VLOOKUP(A179,Registry!$A$4:$AA$241,2,FALSE)</f>
        <v>94 North Main Mobile Home Park</v>
      </c>
      <c r="C179" s="40" t="str">
        <f>VLOOKUP(A179,Registry!$A$4:$AA$241,3,FALSE)</f>
        <v>Washington</v>
      </c>
      <c r="D179" s="40" t="str">
        <f>VLOOKUP(A179,Registry!$A$4:$AA$241,4,FALSE)</f>
        <v>Northfield</v>
      </c>
      <c r="E179" s="40">
        <f>VLOOKUP(A179,Registry!$A$4:$AA$241,7,FALSE)</f>
        <v>1994</v>
      </c>
      <c r="F179" s="80" t="str">
        <f>IF(VLOOKUP(A179,Registry!$A$4:$AA$241,20,FALSE)=0,"",VLOOKUP(A179,Registry!$A$4:$AA$241,20,FALSE))</f>
        <v>For profit</v>
      </c>
      <c r="G179" s="40">
        <f>VLOOKUP(A179,Registry!$A$4:$AA$241,21,FALSE)</f>
        <v>7</v>
      </c>
      <c r="H179" s="43" t="s">
        <v>824</v>
      </c>
      <c r="I179" s="37"/>
      <c r="J179" s="37" t="s">
        <v>906</v>
      </c>
      <c r="K179" s="37"/>
      <c r="L179" s="37"/>
      <c r="M179" s="37"/>
      <c r="N179" s="37">
        <f>SUM(Table2[[#This Row],[Maximum Contamination Violations]:[Treatment Violations]])</f>
        <v>0</v>
      </c>
      <c r="O179" s="44" t="s">
        <v>824</v>
      </c>
      <c r="P179" s="37"/>
      <c r="Q179" s="37"/>
    </row>
    <row r="180" spans="1:17" x14ac:dyDescent="0.25">
      <c r="A180" s="38">
        <v>307</v>
      </c>
      <c r="B180" s="40" t="str">
        <f>VLOOKUP(A180,Registry!$A$4:$AA$241,2,FALSE)</f>
        <v>99 North Main Mobile Home Park</v>
      </c>
      <c r="C180" s="40" t="str">
        <f>VLOOKUP(A180,Registry!$A$4:$AA$241,3,FALSE)</f>
        <v>Washington</v>
      </c>
      <c r="D180" s="40" t="str">
        <f>VLOOKUP(A180,Registry!$A$4:$AA$241,4,FALSE)</f>
        <v>Northfield</v>
      </c>
      <c r="E180" s="40">
        <f>VLOOKUP(A180,Registry!$A$4:$AA$241,7,FALSE)</f>
        <v>2000</v>
      </c>
      <c r="F180" s="80" t="str">
        <f>IF(VLOOKUP(A180,Registry!$A$4:$AA$241,20,FALSE)=0,"",VLOOKUP(A180,Registry!$A$4:$AA$241,20,FALSE))</f>
        <v>For profit</v>
      </c>
      <c r="G180" s="40">
        <f>VLOOKUP(A180,Registry!$A$4:$AA$241,21,FALSE)</f>
        <v>7</v>
      </c>
      <c r="H180" s="43" t="s">
        <v>824</v>
      </c>
      <c r="I180" s="37"/>
      <c r="J180" s="37" t="s">
        <v>906</v>
      </c>
      <c r="K180" s="37"/>
      <c r="L180" s="37"/>
      <c r="M180" s="37"/>
      <c r="N180" s="37">
        <f>SUM(Table2[[#This Row],[Maximum Contamination Violations]:[Treatment Violations]])</f>
        <v>0</v>
      </c>
      <c r="O180" s="37" t="s">
        <v>824</v>
      </c>
      <c r="P180" s="37"/>
      <c r="Q180" s="37"/>
    </row>
    <row r="181" spans="1:17" x14ac:dyDescent="0.25">
      <c r="A181" s="38">
        <v>153</v>
      </c>
      <c r="B181" s="40" t="str">
        <f>VLOOKUP(A181,Registry!$A$4:$AA$241,2,FALSE)</f>
        <v>Northfield Falls Mobile Home Park</v>
      </c>
      <c r="C181" s="40" t="str">
        <f>VLOOKUP(A181,Registry!$A$4:$AA$241,3,FALSE)</f>
        <v>Washington</v>
      </c>
      <c r="D181" s="40" t="str">
        <f>VLOOKUP(A181,Registry!$A$4:$AA$241,4,FALSE)</f>
        <v>Northfield</v>
      </c>
      <c r="E181" s="40">
        <f>VLOOKUP(A181,Registry!$A$4:$AA$241,7,FALSE)</f>
        <v>1965</v>
      </c>
      <c r="F181" s="80" t="str">
        <f>IF(VLOOKUP(A181,Registry!$A$4:$AA$241,20,FALSE)=0,"",VLOOKUP(A181,Registry!$A$4:$AA$241,20,FALSE))</f>
        <v>For profit</v>
      </c>
      <c r="G181" s="40">
        <f>VLOOKUP(A181,Registry!$A$4:$AA$241,21,FALSE)</f>
        <v>51</v>
      </c>
      <c r="H181" s="43" t="s">
        <v>824</v>
      </c>
      <c r="I181" s="37"/>
      <c r="J181" s="37" t="s">
        <v>906</v>
      </c>
      <c r="K181" s="37"/>
      <c r="L181" s="37"/>
      <c r="M181" s="37"/>
      <c r="N181" s="37">
        <f>SUM(Table2[[#This Row],[Maximum Contamination Violations]:[Treatment Violations]])</f>
        <v>0</v>
      </c>
      <c r="O181" s="37" t="s">
        <v>824</v>
      </c>
      <c r="P181" s="37"/>
      <c r="Q181" s="37"/>
    </row>
    <row r="182" spans="1:17" x14ac:dyDescent="0.25">
      <c r="A182" s="38">
        <v>166</v>
      </c>
      <c r="B182" s="40" t="str">
        <f>VLOOKUP(A182,Registry!$A$4:$AA$241,2,FALSE)</f>
        <v>Smith Mobile Home Park</v>
      </c>
      <c r="C182" s="40" t="str">
        <f>VLOOKUP(A182,Registry!$A$4:$AA$241,3,FALSE)</f>
        <v>Washington</v>
      </c>
      <c r="D182" s="40" t="str">
        <f>VLOOKUP(A182,Registry!$A$4:$AA$241,4,FALSE)</f>
        <v>Northfield</v>
      </c>
      <c r="E182" s="40">
        <f>VLOOKUP(A182,Registry!$A$4:$AA$241,7,FALSE)</f>
        <v>1970</v>
      </c>
      <c r="F182" s="80" t="str">
        <f>IF(VLOOKUP(A182,Registry!$A$4:$AA$241,20,FALSE)=0,"",VLOOKUP(A182,Registry!$A$4:$AA$241,20,FALSE))</f>
        <v>For profit</v>
      </c>
      <c r="G182" s="40">
        <f>VLOOKUP(A182,Registry!$A$4:$AA$241,21,FALSE)</f>
        <v>6</v>
      </c>
      <c r="H182" s="43" t="s">
        <v>824</v>
      </c>
      <c r="I182" s="37"/>
      <c r="J182" s="37" t="s">
        <v>906</v>
      </c>
      <c r="K182" s="37"/>
      <c r="L182" s="37"/>
      <c r="M182" s="37"/>
      <c r="N182" s="37">
        <f>SUM(Table2[[#This Row],[Maximum Contamination Violations]:[Treatment Violations]])</f>
        <v>0</v>
      </c>
      <c r="O182" s="37" t="s">
        <v>824</v>
      </c>
      <c r="P182" s="37" t="s">
        <v>910</v>
      </c>
      <c r="Q182" s="37"/>
    </row>
    <row r="183" spans="1:17" x14ac:dyDescent="0.25">
      <c r="A183" s="38">
        <v>258</v>
      </c>
      <c r="B183" s="40" t="str">
        <f>VLOOKUP(A183,Registry!$A$4:$AA$241,2,FALSE)</f>
        <v>Trombly's Trailer Park</v>
      </c>
      <c r="C183" s="40" t="str">
        <f>VLOOKUP(A183,Registry!$A$4:$AA$241,3,FALSE)</f>
        <v>Washington</v>
      </c>
      <c r="D183" s="40" t="str">
        <f>VLOOKUP(A183,Registry!$A$4:$AA$241,4,FALSE)</f>
        <v>Northfield</v>
      </c>
      <c r="E183" s="40">
        <f>VLOOKUP(A183,Registry!$A$4:$AA$241,7,FALSE)</f>
        <v>1973</v>
      </c>
      <c r="F183" s="80" t="str">
        <f>IF(VLOOKUP(A183,Registry!$A$4:$AA$241,20,FALSE)=0,"",VLOOKUP(A183,Registry!$A$4:$AA$241,20,FALSE))</f>
        <v>For profit</v>
      </c>
      <c r="G183" s="40">
        <f>VLOOKUP(A183,Registry!$A$4:$AA$241,21,FALSE)</f>
        <v>15</v>
      </c>
      <c r="H183" s="43" t="s">
        <v>824</v>
      </c>
      <c r="I183" s="37"/>
      <c r="J183" s="37" t="s">
        <v>906</v>
      </c>
      <c r="K183" s="37"/>
      <c r="L183" s="37"/>
      <c r="M183" s="37"/>
      <c r="N183" s="37">
        <f>SUM(Table2[[#This Row],[Maximum Contamination Violations]:[Treatment Violations]])</f>
        <v>0</v>
      </c>
      <c r="O183" s="37"/>
      <c r="P183" s="37"/>
      <c r="Q183" s="37"/>
    </row>
    <row r="184" spans="1:17" x14ac:dyDescent="0.25">
      <c r="A184" s="38">
        <v>172</v>
      </c>
      <c r="B184" s="40" t="str">
        <f>VLOOKUP(A184,Registry!$A$4:$AA$241,2,FALSE)</f>
        <v>Tucker Mobile Home Park</v>
      </c>
      <c r="C184" s="40" t="str">
        <f>VLOOKUP(A184,Registry!$A$4:$AA$241,3,FALSE)</f>
        <v>Washington</v>
      </c>
      <c r="D184" s="40" t="str">
        <f>VLOOKUP(A184,Registry!$A$4:$AA$241,4,FALSE)</f>
        <v>Northfield</v>
      </c>
      <c r="E184" s="40">
        <f>VLOOKUP(A184,Registry!$A$4:$AA$241,7,FALSE)</f>
        <v>1975</v>
      </c>
      <c r="F184" s="80" t="str">
        <f>IF(VLOOKUP(A184,Registry!$A$4:$AA$241,20,FALSE)=0,"",VLOOKUP(A184,Registry!$A$4:$AA$241,20,FALSE))</f>
        <v>For profit</v>
      </c>
      <c r="G184" s="40">
        <f>VLOOKUP(A184,Registry!$A$4:$AA$241,21,FALSE)</f>
        <v>32</v>
      </c>
      <c r="H184" s="43" t="s">
        <v>824</v>
      </c>
      <c r="I184" s="37"/>
      <c r="J184" s="37" t="s">
        <v>906</v>
      </c>
      <c r="K184" s="37"/>
      <c r="L184" s="37"/>
      <c r="M184" s="37"/>
      <c r="N184" s="37">
        <f>SUM(Table2[[#This Row],[Maximum Contamination Violations]:[Treatment Violations]])</f>
        <v>0</v>
      </c>
      <c r="O184" s="37" t="s">
        <v>823</v>
      </c>
      <c r="P184" s="37" t="s">
        <v>913</v>
      </c>
      <c r="Q184" s="37"/>
    </row>
    <row r="185" spans="1:17" x14ac:dyDescent="0.25">
      <c r="A185" s="38">
        <v>170</v>
      </c>
      <c r="B185" s="40" t="str">
        <f>VLOOKUP(A185,Registry!$A$4:$AA$241,2,FALSE)</f>
        <v>Winch Hill Park</v>
      </c>
      <c r="C185" s="40" t="str">
        <f>VLOOKUP(A185,Registry!$A$4:$AA$241,3,FALSE)</f>
        <v>Washington</v>
      </c>
      <c r="D185" s="40" t="str">
        <f>VLOOKUP(A185,Registry!$A$4:$AA$241,4,FALSE)</f>
        <v>Northfield</v>
      </c>
      <c r="E185" s="40">
        <f>VLOOKUP(A185,Registry!$A$4:$AA$241,7,FALSE)</f>
        <v>1966</v>
      </c>
      <c r="F185" s="80" t="str">
        <f>IF(VLOOKUP(A185,Registry!$A$4:$AA$241,20,FALSE)=0,"",VLOOKUP(A185,Registry!$A$4:$AA$241,20,FALSE))</f>
        <v>For profit</v>
      </c>
      <c r="G185" s="40">
        <f>VLOOKUP(A185,Registry!$A$4:$AA$241,21,FALSE)</f>
        <v>13</v>
      </c>
      <c r="H185" s="112" t="s">
        <v>1256</v>
      </c>
      <c r="I185" s="37"/>
      <c r="J185" s="37"/>
      <c r="K185" s="37"/>
      <c r="L185" s="37"/>
      <c r="M185" s="37"/>
      <c r="N185" s="37">
        <f>SUM(Table2[[#This Row],[Maximum Contamination Violations]:[Treatment Violations]])</f>
        <v>0</v>
      </c>
      <c r="O185" s="37" t="s">
        <v>836</v>
      </c>
      <c r="P185" s="37"/>
      <c r="Q185" s="37"/>
    </row>
    <row r="186" spans="1:17" x14ac:dyDescent="0.25">
      <c r="A186" s="38">
        <v>72</v>
      </c>
      <c r="B186" s="40" t="str">
        <f>VLOOKUP(A186,Registry!$A$4:$AA$241,2,FALSE)</f>
        <v>Verd-Mont</v>
      </c>
      <c r="C186" s="40" t="str">
        <f>VLOOKUP(A186,Registry!$A$4:$AA$241,3,FALSE)</f>
        <v>Washington</v>
      </c>
      <c r="D186" s="40" t="str">
        <f>VLOOKUP(A186,Registry!$A$4:$AA$241,4,FALSE)</f>
        <v>Waitsfield</v>
      </c>
      <c r="E186" s="40">
        <f>VLOOKUP(A186,Registry!$A$4:$AA$241,7,FALSE)</f>
        <v>1968</v>
      </c>
      <c r="F186" s="80" t="str">
        <f>IF(VLOOKUP(A186,Registry!$A$4:$AA$241,20,FALSE)=0,"",VLOOKUP(A186,Registry!$A$4:$AA$241,20,FALSE))</f>
        <v>Non-profit</v>
      </c>
      <c r="G186" s="40">
        <f>VLOOKUP(A186,Registry!$A$4:$AA$241,21,FALSE)</f>
        <v>29</v>
      </c>
      <c r="H186" s="43" t="s">
        <v>830</v>
      </c>
      <c r="I186" s="37">
        <v>5279</v>
      </c>
      <c r="J186" s="37" t="s">
        <v>862</v>
      </c>
      <c r="K186" s="37"/>
      <c r="L186" s="37"/>
      <c r="M186" s="37"/>
      <c r="N186" s="37">
        <f>SUM(Table2[[#This Row],[Maximum Contamination Violations]:[Treatment Violations]])</f>
        <v>0</v>
      </c>
      <c r="O186" s="37" t="s">
        <v>823</v>
      </c>
      <c r="P186" s="37" t="s">
        <v>863</v>
      </c>
      <c r="Q186" s="37"/>
    </row>
    <row r="187" spans="1:17" x14ac:dyDescent="0.25">
      <c r="A187" s="38">
        <v>119</v>
      </c>
      <c r="B187" s="40" t="str">
        <f>VLOOKUP(A187,Registry!$A$4:$AA$241,2,FALSE)</f>
        <v>East Wind Mobile Home Park</v>
      </c>
      <c r="C187" s="40" t="str">
        <f>VLOOKUP(A187,Registry!$A$4:$AA$241,3,FALSE)</f>
        <v>Washington</v>
      </c>
      <c r="D187" s="40" t="str">
        <f>VLOOKUP(A187,Registry!$A$4:$AA$241,4,FALSE)</f>
        <v>Waterbury</v>
      </c>
      <c r="E187" s="40">
        <f>VLOOKUP(A187,Registry!$A$4:$AA$241,7,FALSE)</f>
        <v>1958</v>
      </c>
      <c r="F187" s="80" t="str">
        <f>IF(VLOOKUP(A187,Registry!$A$4:$AA$241,20,FALSE)=0,"",VLOOKUP(A187,Registry!$A$4:$AA$241,20,FALSE))</f>
        <v>For profit</v>
      </c>
      <c r="G187" s="40">
        <f>VLOOKUP(A187,Registry!$A$4:$AA$241,21,FALSE)</f>
        <v>28</v>
      </c>
      <c r="H187" s="43" t="s">
        <v>830</v>
      </c>
      <c r="I187" s="37">
        <v>5287</v>
      </c>
      <c r="J187" s="37" t="s">
        <v>832</v>
      </c>
      <c r="K187" s="37">
        <v>0</v>
      </c>
      <c r="L187" s="37">
        <v>1</v>
      </c>
      <c r="M187" s="37">
        <v>0</v>
      </c>
      <c r="N187" s="37">
        <f>SUM(Table2[[#This Row],[Maximum Contamination Violations]:[Treatment Violations]])</f>
        <v>1</v>
      </c>
      <c r="O187" s="37" t="s">
        <v>823</v>
      </c>
      <c r="P187" s="37"/>
      <c r="Q187" s="37"/>
    </row>
    <row r="188" spans="1:17" x14ac:dyDescent="0.25">
      <c r="A188" s="38">
        <v>272</v>
      </c>
      <c r="B188" s="40" t="str">
        <f>VLOOKUP(A188,Registry!$A$4:$AA$241,2,FALSE)</f>
        <v>Kneeland Flats Mobile Home Park</v>
      </c>
      <c r="C188" s="40" t="str">
        <f>VLOOKUP(A188,Registry!$A$4:$AA$241,3,FALSE)</f>
        <v>Washington</v>
      </c>
      <c r="D188" s="40" t="str">
        <f>VLOOKUP(A188,Registry!$A$4:$AA$241,4,FALSE)</f>
        <v>Waterbury</v>
      </c>
      <c r="E188" s="40">
        <f>VLOOKUP(A188,Registry!$A$4:$AA$241,7,FALSE)</f>
        <v>1967</v>
      </c>
      <c r="F188" s="80" t="str">
        <f>IF(VLOOKUP(A188,Registry!$A$4:$AA$241,20,FALSE)=0,"",VLOOKUP(A188,Registry!$A$4:$AA$241,20,FALSE))</f>
        <v>For profit</v>
      </c>
      <c r="G188" s="40">
        <f>VLOOKUP(A188,Registry!$A$4:$AA$241,21,FALSE)</f>
        <v>67</v>
      </c>
      <c r="H188" s="43" t="s">
        <v>824</v>
      </c>
      <c r="I188" s="37"/>
      <c r="J188" s="37" t="s">
        <v>916</v>
      </c>
      <c r="K188" s="37"/>
      <c r="L188" s="37"/>
      <c r="M188" s="37"/>
      <c r="N188" s="37">
        <f>SUM(Table2[[#This Row],[Maximum Contamination Violations]:[Treatment Violations]])</f>
        <v>0</v>
      </c>
      <c r="O188" s="37" t="s">
        <v>834</v>
      </c>
      <c r="P188" s="37" t="s">
        <v>945</v>
      </c>
      <c r="Q188" s="37" t="s">
        <v>1241</v>
      </c>
    </row>
    <row r="189" spans="1:17" x14ac:dyDescent="0.25">
      <c r="A189" s="38">
        <v>319</v>
      </c>
      <c r="B189" s="40" t="str">
        <f>VLOOKUP(A189,Registry!$A$4:$AA$241,2,FALSE)</f>
        <v>156 Brookline Road</v>
      </c>
      <c r="C189" s="40" t="str">
        <f>VLOOKUP(A189,Registry!$A$4:$AA$241,3,FALSE)</f>
        <v>Windham</v>
      </c>
      <c r="D189" s="40" t="str">
        <f>VLOOKUP(A189,Registry!$A$4:$AA$241,4,FALSE)</f>
        <v>Athens</v>
      </c>
      <c r="E189" s="40">
        <f>VLOOKUP(A189,Registry!$A$4:$AA$241,7,FALSE)</f>
        <v>0</v>
      </c>
      <c r="F189" s="80" t="str">
        <f>IF(VLOOKUP(A189,Registry!$A$4:$AA$241,20,FALSE)=0,"",VLOOKUP(A189,Registry!$A$4:$AA$241,20,FALSE))</f>
        <v>For profit</v>
      </c>
      <c r="G189" s="40">
        <f>VLOOKUP(A189,Registry!$A$4:$AA$241,21,FALSE)</f>
        <v>4</v>
      </c>
      <c r="H189" s="112" t="s">
        <v>1256</v>
      </c>
      <c r="I189" s="37"/>
      <c r="J189" s="37" t="s">
        <v>838</v>
      </c>
      <c r="K189" s="37"/>
      <c r="L189" s="37"/>
      <c r="M189" s="37"/>
      <c r="N189" s="37">
        <f>SUM(Table2[[#This Row],[Maximum Contamination Violations]:[Treatment Violations]])</f>
        <v>0</v>
      </c>
      <c r="O189" s="37" t="s">
        <v>823</v>
      </c>
      <c r="P189" s="37"/>
      <c r="Q189" s="37"/>
    </row>
    <row r="190" spans="1:17" x14ac:dyDescent="0.25">
      <c r="A190" s="38">
        <v>35</v>
      </c>
      <c r="B190" s="40" t="str">
        <f>VLOOKUP(A190,Registry!$A$4:$AA$241,2,FALSE)</f>
        <v>Tenney's Trailer Park</v>
      </c>
      <c r="C190" s="40" t="str">
        <f>VLOOKUP(A190,Registry!$A$4:$AA$241,3,FALSE)</f>
        <v>Windham</v>
      </c>
      <c r="D190" s="40" t="str">
        <f>VLOOKUP(A190,Registry!$A$4:$AA$241,4,FALSE)</f>
        <v>Athens</v>
      </c>
      <c r="E190" s="40">
        <f>VLOOKUP(A190,Registry!$A$4:$AA$241,7,FALSE)</f>
        <v>1960</v>
      </c>
      <c r="F190" s="80" t="str">
        <f>IF(VLOOKUP(A190,Registry!$A$4:$AA$241,20,FALSE)=0,"",VLOOKUP(A190,Registry!$A$4:$AA$241,20,FALSE))</f>
        <v>For profit</v>
      </c>
      <c r="G190" s="40">
        <f>VLOOKUP(A190,Registry!$A$4:$AA$241,21,FALSE)</f>
        <v>5</v>
      </c>
      <c r="H190" s="112" t="s">
        <v>1256</v>
      </c>
      <c r="I190" s="37"/>
      <c r="J190" s="37" t="s">
        <v>838</v>
      </c>
      <c r="K190" s="37"/>
      <c r="L190" s="37"/>
      <c r="M190" s="37"/>
      <c r="N190" s="37">
        <f>SUM(Table2[[#This Row],[Maximum Contamination Violations]:[Treatment Violations]])</f>
        <v>0</v>
      </c>
      <c r="O190" s="37" t="s">
        <v>836</v>
      </c>
      <c r="P190" s="37"/>
      <c r="Q190" s="37"/>
    </row>
    <row r="191" spans="1:17" x14ac:dyDescent="0.25">
      <c r="A191" s="38">
        <v>60</v>
      </c>
      <c r="B191" s="40" t="str">
        <f>VLOOKUP(A191,Registry!$A$4:$AA$241,2,FALSE)</f>
        <v>Black Mountain Park</v>
      </c>
      <c r="C191" s="40" t="str">
        <f>VLOOKUP(A191,Registry!$A$4:$AA$241,3,FALSE)</f>
        <v>Windham</v>
      </c>
      <c r="D191" s="40" t="str">
        <f>VLOOKUP(A191,Registry!$A$4:$AA$241,4,FALSE)</f>
        <v>Brattleboro</v>
      </c>
      <c r="E191" s="40">
        <f>VLOOKUP(A191,Registry!$A$4:$AA$241,7,FALSE)</f>
        <v>1956</v>
      </c>
      <c r="F191" s="80" t="str">
        <f>IF(VLOOKUP(A191,Registry!$A$4:$AA$241,20,FALSE)=0,"",VLOOKUP(A191,Registry!$A$4:$AA$241,20,FALSE))</f>
        <v>Cooperative</v>
      </c>
      <c r="G191" s="40">
        <f>VLOOKUP(A191,Registry!$A$4:$AA$241,21,FALSE)</f>
        <v>29</v>
      </c>
      <c r="H191" s="43" t="s">
        <v>827</v>
      </c>
      <c r="I191" s="37">
        <v>20603</v>
      </c>
      <c r="J191" s="37" t="s">
        <v>856</v>
      </c>
      <c r="K191" s="37">
        <v>0</v>
      </c>
      <c r="L191" s="37">
        <v>1</v>
      </c>
      <c r="M191" s="37">
        <v>0</v>
      </c>
      <c r="N191" s="37">
        <f>SUM(Table2[[#This Row],[Maximum Contamination Violations]:[Treatment Violations]])</f>
        <v>1</v>
      </c>
      <c r="O191" s="37" t="s">
        <v>824</v>
      </c>
      <c r="P191" s="37"/>
      <c r="Q191" s="37" t="s">
        <v>857</v>
      </c>
    </row>
    <row r="192" spans="1:17" x14ac:dyDescent="0.25">
      <c r="A192" s="38">
        <v>137</v>
      </c>
      <c r="B192" s="40" t="str">
        <f>VLOOKUP(A192,Registry!$A$4:$AA$241,2,FALSE)</f>
        <v>Deepwood Mobile Home Park</v>
      </c>
      <c r="C192" s="40" t="str">
        <f>VLOOKUP(A192,Registry!$A$4:$AA$241,3,FALSE)</f>
        <v>Windham</v>
      </c>
      <c r="D192" s="40" t="str">
        <f>VLOOKUP(A192,Registry!$A$4:$AA$241,4,FALSE)</f>
        <v>Brattleboro</v>
      </c>
      <c r="E192" s="40">
        <f>VLOOKUP(A192,Registry!$A$4:$AA$241,7,FALSE)</f>
        <v>1991</v>
      </c>
      <c r="F192" s="80" t="str">
        <f>IF(VLOOKUP(A192,Registry!$A$4:$AA$241,20,FALSE)=0,"",VLOOKUP(A192,Registry!$A$4:$AA$241,20,FALSE))</f>
        <v>Non-profit</v>
      </c>
      <c r="G192" s="40">
        <f>VLOOKUP(A192,Registry!$A$4:$AA$241,21,FALSE)</f>
        <v>44</v>
      </c>
      <c r="H192" s="43" t="s">
        <v>827</v>
      </c>
      <c r="I192" s="37">
        <v>20455</v>
      </c>
      <c r="J192" s="37" t="s">
        <v>856</v>
      </c>
      <c r="K192" s="37"/>
      <c r="L192" s="37"/>
      <c r="M192" s="37"/>
      <c r="N192" s="37">
        <f>SUM(Table2[[#This Row],[Maximum Contamination Violations]:[Treatment Violations]])</f>
        <v>0</v>
      </c>
      <c r="O192" s="37" t="s">
        <v>824</v>
      </c>
      <c r="P192" s="37"/>
      <c r="Q192" s="37"/>
    </row>
    <row r="193" spans="1:17" x14ac:dyDescent="0.25">
      <c r="A193" s="38">
        <v>61</v>
      </c>
      <c r="B193" s="40" t="str">
        <f>VLOOKUP(A193,Registry!$A$4:$AA$241,2,FALSE)</f>
        <v>Glen Park</v>
      </c>
      <c r="C193" s="40" t="str">
        <f>VLOOKUP(A193,Registry!$A$4:$AA$241,3,FALSE)</f>
        <v>Windham</v>
      </c>
      <c r="D193" s="40" t="str">
        <f>VLOOKUP(A193,Registry!$A$4:$AA$241,4,FALSE)</f>
        <v>Brattleboro</v>
      </c>
      <c r="E193" s="40">
        <f>VLOOKUP(A193,Registry!$A$4:$AA$241,7,FALSE)</f>
        <v>1953</v>
      </c>
      <c r="F193" s="80" t="str">
        <f>IF(VLOOKUP(A193,Registry!$A$4:$AA$241,20,FALSE)=0,"",VLOOKUP(A193,Registry!$A$4:$AA$241,20,FALSE))</f>
        <v>Cooperative</v>
      </c>
      <c r="G193" s="40">
        <f>VLOOKUP(A193,Registry!$A$4:$AA$241,21,FALSE)</f>
        <v>21</v>
      </c>
      <c r="H193" s="43" t="s">
        <v>827</v>
      </c>
      <c r="I193" s="37">
        <v>20605</v>
      </c>
      <c r="J193" s="37" t="s">
        <v>856</v>
      </c>
      <c r="K193" s="37"/>
      <c r="L193" s="37"/>
      <c r="M193" s="37"/>
      <c r="N193" s="37">
        <f>SUM(Table2[[#This Row],[Maximum Contamination Violations]:[Treatment Violations]])</f>
        <v>0</v>
      </c>
      <c r="O193" s="37" t="s">
        <v>824</v>
      </c>
      <c r="P193" s="37"/>
      <c r="Q193" s="37"/>
    </row>
    <row r="194" spans="1:17" x14ac:dyDescent="0.25">
      <c r="A194" s="38">
        <v>59</v>
      </c>
      <c r="B194" s="40" t="str">
        <f>VLOOKUP(A194,Registry!$A$4:$AA$241,2,FALSE)</f>
        <v>Mountain Home Park</v>
      </c>
      <c r="C194" s="40" t="str">
        <f>VLOOKUP(A194,Registry!$A$4:$AA$241,3,FALSE)</f>
        <v>Windham</v>
      </c>
      <c r="D194" s="40" t="str">
        <f>VLOOKUP(A194,Registry!$A$4:$AA$241,4,FALSE)</f>
        <v>Brattleboro</v>
      </c>
      <c r="E194" s="40">
        <f>VLOOKUP(A194,Registry!$A$4:$AA$241,7,FALSE)</f>
        <v>1958</v>
      </c>
      <c r="F194" s="80" t="str">
        <f>IF(VLOOKUP(A194,Registry!$A$4:$AA$241,20,FALSE)=0,"",VLOOKUP(A194,Registry!$A$4:$AA$241,20,FALSE))</f>
        <v>Cooperative</v>
      </c>
      <c r="G194" s="40">
        <f>VLOOKUP(A194,Registry!$A$4:$AA$241,21,FALSE)</f>
        <v>262</v>
      </c>
      <c r="H194" s="43" t="s">
        <v>824</v>
      </c>
      <c r="I194" s="37"/>
      <c r="J194" s="37" t="s">
        <v>856</v>
      </c>
      <c r="K194" s="37"/>
      <c r="L194" s="37"/>
      <c r="M194" s="37"/>
      <c r="N194" s="37">
        <f>SUM(Table2[[#This Row],[Maximum Contamination Violations]:[Treatment Violations]])</f>
        <v>0</v>
      </c>
      <c r="O194" s="37" t="s">
        <v>824</v>
      </c>
      <c r="P194" s="37" t="s">
        <v>1254</v>
      </c>
      <c r="Q194" s="37" t="s">
        <v>1216</v>
      </c>
    </row>
    <row r="195" spans="1:17" x14ac:dyDescent="0.25">
      <c r="A195" s="38">
        <v>246</v>
      </c>
      <c r="B195" s="40" t="str">
        <f>VLOOKUP(A195,Registry!$A$4:$AA$241,2,FALSE)</f>
        <v>Charette's Trailer Park</v>
      </c>
      <c r="C195" s="40" t="str">
        <f>VLOOKUP(A195,Registry!$A$4:$AA$241,3,FALSE)</f>
        <v>Windham</v>
      </c>
      <c r="D195" s="40" t="str">
        <f>VLOOKUP(A195,Registry!$A$4:$AA$241,4,FALSE)</f>
        <v>Dummerston</v>
      </c>
      <c r="E195" s="40">
        <f>VLOOKUP(A195,Registry!$A$4:$AA$241,7,FALSE)</f>
        <v>1954</v>
      </c>
      <c r="F195" s="80" t="str">
        <f>IF(VLOOKUP(A195,Registry!$A$4:$AA$241,20,FALSE)=0,"",VLOOKUP(A195,Registry!$A$4:$AA$241,20,FALSE))</f>
        <v>Non-profit</v>
      </c>
      <c r="G195" s="40">
        <f>VLOOKUP(A195,Registry!$A$4:$AA$241,21,FALSE)</f>
        <v>14</v>
      </c>
      <c r="H195" s="43" t="s">
        <v>830</v>
      </c>
      <c r="I195" s="37">
        <v>5621</v>
      </c>
      <c r="J195" s="37" t="s">
        <v>902</v>
      </c>
      <c r="K195" s="37"/>
      <c r="L195" s="37"/>
      <c r="M195" s="37"/>
      <c r="N195" s="37">
        <f>SUM(Table2[[#This Row],[Maximum Contamination Violations]:[Treatment Violations]])</f>
        <v>0</v>
      </c>
      <c r="O195" s="37"/>
      <c r="P195" s="37"/>
      <c r="Q195" s="37"/>
    </row>
    <row r="196" spans="1:17" x14ac:dyDescent="0.25">
      <c r="A196" s="38">
        <v>62</v>
      </c>
      <c r="B196" s="40" t="str">
        <f>VLOOKUP(A196,Registry!$A$4:$AA$241,2,FALSE)</f>
        <v>Northstar MHP</v>
      </c>
      <c r="C196" s="40" t="str">
        <f>VLOOKUP(A196,Registry!$A$4:$AA$241,3,FALSE)</f>
        <v>Windham</v>
      </c>
      <c r="D196" s="40" t="str">
        <f>VLOOKUP(A196,Registry!$A$4:$AA$241,4,FALSE)</f>
        <v>Guilford</v>
      </c>
      <c r="E196" s="40">
        <f>VLOOKUP(A196,Registry!$A$4:$AA$241,7,FALSE)</f>
        <v>1960</v>
      </c>
      <c r="F196" s="80" t="str">
        <f>IF(VLOOKUP(A196,Registry!$A$4:$AA$241,20,FALSE)=0,"",VLOOKUP(A196,Registry!$A$4:$AA$241,20,FALSE))</f>
        <v>For profit</v>
      </c>
      <c r="G196" s="40">
        <f>VLOOKUP(A196,Registry!$A$4:$AA$241,21,FALSE)</f>
        <v>5</v>
      </c>
      <c r="H196" s="112" t="s">
        <v>1256</v>
      </c>
      <c r="I196" s="37"/>
      <c r="J196" s="37" t="s">
        <v>858</v>
      </c>
      <c r="K196" s="37"/>
      <c r="L196" s="37"/>
      <c r="M196" s="37"/>
      <c r="N196" s="37">
        <f>SUM(Table2[[#This Row],[Maximum Contamination Violations]:[Treatment Violations]])</f>
        <v>0</v>
      </c>
      <c r="O196" s="37" t="s">
        <v>836</v>
      </c>
      <c r="P196" s="37"/>
      <c r="Q196" s="37"/>
    </row>
    <row r="197" spans="1:17" x14ac:dyDescent="0.25">
      <c r="A197" s="38">
        <v>43</v>
      </c>
      <c r="B197" s="40" t="str">
        <f>VLOOKUP(A197,Registry!$A$4:$AA$241,2,FALSE)</f>
        <v>Kings Plot, LLC</v>
      </c>
      <c r="C197" s="40" t="str">
        <f>VLOOKUP(A197,Registry!$A$4:$AA$241,3,FALSE)</f>
        <v>Windham</v>
      </c>
      <c r="D197" s="40" t="str">
        <f>VLOOKUP(A197,Registry!$A$4:$AA$241,4,FALSE)</f>
        <v>Jamaica</v>
      </c>
      <c r="E197" s="40">
        <f>VLOOKUP(A197,Registry!$A$4:$AA$241,7,FALSE)</f>
        <v>1980</v>
      </c>
      <c r="F197" s="80" t="str">
        <f>IF(VLOOKUP(A197,Registry!$A$4:$AA$241,20,FALSE)=0,"",VLOOKUP(A197,Registry!$A$4:$AA$241,20,FALSE))</f>
        <v>For profit</v>
      </c>
      <c r="G197" s="40">
        <f>VLOOKUP(A197,Registry!$A$4:$AA$241,21,FALSE)</f>
        <v>10</v>
      </c>
      <c r="H197" s="112" t="s">
        <v>1256</v>
      </c>
      <c r="I197" s="37"/>
      <c r="J197" s="37"/>
      <c r="K197" s="37"/>
      <c r="L197" s="37"/>
      <c r="M197" s="37"/>
      <c r="N197" s="37">
        <f>SUM(Table2[[#This Row],[Maximum Contamination Violations]:[Treatment Violations]])</f>
        <v>0</v>
      </c>
      <c r="O197" s="37" t="s">
        <v>823</v>
      </c>
      <c r="P197" s="37" t="s">
        <v>1222</v>
      </c>
      <c r="Q197" s="37"/>
    </row>
    <row r="198" spans="1:17" x14ac:dyDescent="0.25">
      <c r="A198" s="171">
        <v>63</v>
      </c>
      <c r="B198" s="172" t="str">
        <f>VLOOKUP(A198,Registry!$A$4:$AA$241,2,FALSE)</f>
        <v>West River Park</v>
      </c>
      <c r="C198" s="172" t="str">
        <f>VLOOKUP(A198,Registry!$A$4:$AA$241,3,FALSE)</f>
        <v>Windham</v>
      </c>
      <c r="D198" s="172" t="str">
        <f>VLOOKUP(A198,Registry!$A$4:$AA$241,4,FALSE)</f>
        <v>Jamaica</v>
      </c>
      <c r="E198" s="172">
        <f>VLOOKUP(A198,Registry!$A$4:$AA$241,7,FALSE)</f>
        <v>1937</v>
      </c>
      <c r="F198" s="164" t="str">
        <f>IF(VLOOKUP(A198,Registry!$A$4:$AA$241,20,FALSE)=0,"",VLOOKUP(A198,Registry!$A$4:$AA$241,20,FALSE))</f>
        <v>For profit</v>
      </c>
      <c r="G198" s="172">
        <f>VLOOKUP(A198,Registry!$A$4:$AA$241,21,FALSE)</f>
        <v>22</v>
      </c>
      <c r="H198" s="187"/>
      <c r="I198" s="173"/>
      <c r="J198" s="173"/>
      <c r="K198" s="173"/>
      <c r="L198" s="173"/>
      <c r="M198" s="173"/>
      <c r="N198" s="173"/>
      <c r="O198" s="173"/>
      <c r="P198" s="173"/>
      <c r="Q198" s="173"/>
    </row>
    <row r="199" spans="1:17" x14ac:dyDescent="0.25">
      <c r="A199" s="38">
        <v>248</v>
      </c>
      <c r="B199" s="40" t="str">
        <f>VLOOKUP(A199,Registry!$A$4:$AA$241,2,FALSE)</f>
        <v>Wilkins Trailer Park</v>
      </c>
      <c r="C199" s="40" t="str">
        <f>VLOOKUP(A199,Registry!$A$4:$AA$241,3,FALSE)</f>
        <v>Windham</v>
      </c>
      <c r="D199" s="40" t="str">
        <f>VLOOKUP(A199,Registry!$A$4:$AA$241,4,FALSE)</f>
        <v>Jamaica</v>
      </c>
      <c r="E199" s="40">
        <f>VLOOKUP(A199,Registry!$A$4:$AA$241,7,FALSE)</f>
        <v>1957</v>
      </c>
      <c r="F199" s="80" t="str">
        <f>IF(VLOOKUP(A199,Registry!$A$4:$AA$241,20,FALSE)=0,"",VLOOKUP(A199,Registry!$A$4:$AA$241,20,FALSE))</f>
        <v>For profit</v>
      </c>
      <c r="G199" s="40">
        <f>VLOOKUP(A199,Registry!$A$4:$AA$241,21,FALSE)</f>
        <v>7</v>
      </c>
      <c r="H199" s="112" t="s">
        <v>1256</v>
      </c>
      <c r="I199" s="37"/>
      <c r="J199" s="37"/>
      <c r="K199" s="37"/>
      <c r="L199" s="37"/>
      <c r="M199" s="37"/>
      <c r="N199" s="37">
        <f>SUM(Table2[[#This Row],[Maximum Contamination Violations]:[Treatment Violations]])</f>
        <v>0</v>
      </c>
      <c r="O199" s="37" t="s">
        <v>836</v>
      </c>
      <c r="P199" s="37"/>
      <c r="Q199" s="37"/>
    </row>
    <row r="200" spans="1:17" x14ac:dyDescent="0.25">
      <c r="A200" s="38">
        <v>65</v>
      </c>
      <c r="B200" s="40" t="str">
        <f>VLOOKUP(A200,Registry!$A$4:$AA$241,2,FALSE)</f>
        <v>Locust Hill MHP</v>
      </c>
      <c r="C200" s="40" t="str">
        <f>VLOOKUP(A200,Registry!$A$4:$AA$241,3,FALSE)</f>
        <v>Windham</v>
      </c>
      <c r="D200" s="40" t="str">
        <f>VLOOKUP(A200,Registry!$A$4:$AA$241,4,FALSE)</f>
        <v>Putney</v>
      </c>
      <c r="E200" s="40">
        <f>VLOOKUP(A200,Registry!$A$4:$AA$241,7,FALSE)</f>
        <v>1969</v>
      </c>
      <c r="F200" s="80" t="str">
        <f>IF(VLOOKUP(A200,Registry!$A$4:$AA$241,20,FALSE)=0,"",VLOOKUP(A200,Registry!$A$4:$AA$241,20,FALSE))</f>
        <v>Non-profit</v>
      </c>
      <c r="G200" s="40">
        <f>VLOOKUP(A200,Registry!$A$4:$AA$241,21,FALSE)</f>
        <v>22</v>
      </c>
      <c r="H200" s="43" t="s">
        <v>824</v>
      </c>
      <c r="I200" s="37"/>
      <c r="J200" s="37" t="s">
        <v>859</v>
      </c>
      <c r="K200" s="37"/>
      <c r="L200" s="37"/>
      <c r="M200" s="37"/>
      <c r="N200" s="37">
        <f>SUM(Table2[[#This Row],[Maximum Contamination Violations]:[Treatment Violations]])</f>
        <v>0</v>
      </c>
      <c r="O200" s="37"/>
      <c r="P200" s="37"/>
      <c r="Q200" s="37"/>
    </row>
    <row r="201" spans="1:17" x14ac:dyDescent="0.25">
      <c r="A201" s="38">
        <v>42</v>
      </c>
      <c r="B201" s="40" t="str">
        <f>VLOOKUP(A201,Registry!$A$4:$AA$241,2,FALSE)</f>
        <v>Benson's Park</v>
      </c>
      <c r="C201" s="40" t="str">
        <f>VLOOKUP(A201,Registry!$A$4:$AA$241,3,FALSE)</f>
        <v>Windham</v>
      </c>
      <c r="D201" s="40" t="str">
        <f>VLOOKUP(A201,Registry!$A$4:$AA$241,4,FALSE)</f>
        <v>Rockingham</v>
      </c>
      <c r="E201" s="40">
        <f>VLOOKUP(A201,Registry!$A$4:$AA$241,7,FALSE)</f>
        <v>1960</v>
      </c>
      <c r="F201" s="80" t="str">
        <f>IF(VLOOKUP(A201,Registry!$A$4:$AA$241,20,FALSE)=0,"",VLOOKUP(A201,Registry!$A$4:$AA$241,20,FALSE))</f>
        <v>For profit</v>
      </c>
      <c r="G201" s="40">
        <f>VLOOKUP(A201,Registry!$A$4:$AA$241,21,FALSE)</f>
        <v>7</v>
      </c>
      <c r="H201" s="112" t="s">
        <v>1256</v>
      </c>
      <c r="I201" s="37"/>
      <c r="J201" s="37" t="s">
        <v>838</v>
      </c>
      <c r="K201" s="37"/>
      <c r="L201" s="37"/>
      <c r="M201" s="37"/>
      <c r="N201" s="37">
        <f>SUM(Table2[[#This Row],[Maximum Contamination Violations]:[Treatment Violations]])</f>
        <v>0</v>
      </c>
      <c r="O201" s="37" t="s">
        <v>823</v>
      </c>
      <c r="P201" s="37"/>
      <c r="Q201" s="37"/>
    </row>
    <row r="202" spans="1:17" x14ac:dyDescent="0.25">
      <c r="A202" s="38">
        <v>252</v>
      </c>
      <c r="B202" s="40" t="str">
        <f>VLOOKUP(A202,Registry!$A$4:$AA$241,2,FALSE)</f>
        <v>Evergreen Mobile Home Park</v>
      </c>
      <c r="C202" s="40" t="str">
        <f>VLOOKUP(A202,Registry!$A$4:$AA$241,3,FALSE)</f>
        <v>Windham</v>
      </c>
      <c r="D202" s="40" t="str">
        <f>VLOOKUP(A202,Registry!$A$4:$AA$241,4,FALSE)</f>
        <v>Rockingham</v>
      </c>
      <c r="E202" s="40">
        <f>VLOOKUP(A202,Registry!$A$4:$AA$241,7,FALSE)</f>
        <v>1970</v>
      </c>
      <c r="F202" s="80" t="str">
        <f>IF(VLOOKUP(A202,Registry!$A$4:$AA$241,20,FALSE)=0,"",VLOOKUP(A202,Registry!$A$4:$AA$241,20,FALSE))</f>
        <v>Non-profit</v>
      </c>
      <c r="G202" s="40">
        <f>VLOOKUP(A202,Registry!$A$4:$AA$241,21,FALSE)</f>
        <v>11</v>
      </c>
      <c r="H202" s="43" t="s">
        <v>824</v>
      </c>
      <c r="I202" s="37"/>
      <c r="J202" s="37" t="s">
        <v>937</v>
      </c>
      <c r="K202" s="37"/>
      <c r="L202" s="37"/>
      <c r="M202" s="37"/>
      <c r="N202" s="37">
        <f>SUM(Table2[[#This Row],[Maximum Contamination Violations]:[Treatment Violations]])</f>
        <v>0</v>
      </c>
      <c r="O202" s="37" t="s">
        <v>824</v>
      </c>
      <c r="P202" s="37"/>
      <c r="Q202" s="37"/>
    </row>
    <row r="203" spans="1:17" x14ac:dyDescent="0.25">
      <c r="A203" s="38">
        <v>127</v>
      </c>
      <c r="B203" s="40" t="str">
        <f>VLOOKUP(A203,Registry!$A$4:$AA$241,2,FALSE)</f>
        <v>North Shore Trailer Park</v>
      </c>
      <c r="C203" s="40" t="str">
        <f>VLOOKUP(A203,Registry!$A$4:$AA$241,3,FALSE)</f>
        <v>Windham</v>
      </c>
      <c r="D203" s="40" t="str">
        <f>VLOOKUP(A203,Registry!$A$4:$AA$241,4,FALSE)</f>
        <v>Rockingham</v>
      </c>
      <c r="E203" s="40">
        <f>VLOOKUP(A203,Registry!$A$4:$AA$241,7,FALSE)</f>
        <v>1947</v>
      </c>
      <c r="F203" s="80" t="str">
        <f>IF(VLOOKUP(A203,Registry!$A$4:$AA$241,20,FALSE)=0,"",VLOOKUP(A203,Registry!$A$4:$AA$241,20,FALSE))</f>
        <v>For profit</v>
      </c>
      <c r="G203" s="40">
        <f>VLOOKUP(A203,Registry!$A$4:$AA$241,21,FALSE)</f>
        <v>21</v>
      </c>
      <c r="H203" s="43" t="s">
        <v>830</v>
      </c>
      <c r="I203" s="37">
        <v>5304</v>
      </c>
      <c r="J203" s="37" t="s">
        <v>888</v>
      </c>
      <c r="K203" s="37"/>
      <c r="L203" s="37"/>
      <c r="M203" s="37"/>
      <c r="N203" s="37">
        <f>SUM(Table2[[#This Row],[Maximum Contamination Violations]:[Treatment Violations]])</f>
        <v>0</v>
      </c>
      <c r="O203" s="37"/>
      <c r="P203" s="37"/>
      <c r="Q203" s="37"/>
    </row>
    <row r="204" spans="1:17" x14ac:dyDescent="0.25">
      <c r="A204" s="38">
        <v>56</v>
      </c>
      <c r="B204" s="40" t="str">
        <f>VLOOKUP(A204,Registry!$A$4:$AA$241,2,FALSE)</f>
        <v>Vernon Estates Inc.</v>
      </c>
      <c r="C204" s="40" t="str">
        <f>VLOOKUP(A204,Registry!$A$4:$AA$241,3,FALSE)</f>
        <v>Windham</v>
      </c>
      <c r="D204" s="40" t="str">
        <f>VLOOKUP(A204,Registry!$A$4:$AA$241,4,FALSE)</f>
        <v>Vernon</v>
      </c>
      <c r="E204" s="40">
        <f>VLOOKUP(A204,Registry!$A$4:$AA$241,7,FALSE)</f>
        <v>1991</v>
      </c>
      <c r="F204" s="80" t="str">
        <f>IF(VLOOKUP(A204,Registry!$A$4:$AA$241,20,FALSE)=0,"",VLOOKUP(A204,Registry!$A$4:$AA$241,20,FALSE))</f>
        <v>For profit</v>
      </c>
      <c r="G204" s="40">
        <f>VLOOKUP(A204,Registry!$A$4:$AA$241,21,FALSE)</f>
        <v>10</v>
      </c>
      <c r="H204" s="112" t="s">
        <v>1256</v>
      </c>
      <c r="I204" s="37"/>
      <c r="J204" s="37"/>
      <c r="K204" s="37"/>
      <c r="L204" s="37"/>
      <c r="M204" s="37"/>
      <c r="N204" s="37">
        <f>SUM(Table2[[#This Row],[Maximum Contamination Violations]:[Treatment Violations]])</f>
        <v>0</v>
      </c>
      <c r="O204" s="37" t="s">
        <v>836</v>
      </c>
      <c r="P204" s="37"/>
      <c r="Q204" s="37"/>
    </row>
    <row r="205" spans="1:17" x14ac:dyDescent="0.25">
      <c r="A205" s="38">
        <v>32</v>
      </c>
      <c r="B205" s="40" t="str">
        <f>VLOOKUP(A205,Registry!$A$4:$AA$241,2,FALSE)</f>
        <v>Shady Pines Mobile Home Park</v>
      </c>
      <c r="C205" s="40" t="str">
        <f>VLOOKUP(A205,Registry!$A$4:$AA$241,3,FALSE)</f>
        <v>Windham</v>
      </c>
      <c r="D205" s="40" t="str">
        <f>VLOOKUP(A205,Registry!$A$4:$AA$241,4,FALSE)</f>
        <v>Westminster</v>
      </c>
      <c r="E205" s="40">
        <f>VLOOKUP(A205,Registry!$A$4:$AA$241,7,FALSE)</f>
        <v>1968</v>
      </c>
      <c r="F205" s="80" t="str">
        <f>IF(VLOOKUP(A205,Registry!$A$4:$AA$241,20,FALSE)=0,"",VLOOKUP(A205,Registry!$A$4:$AA$241,20,FALSE))</f>
        <v>Non-profit</v>
      </c>
      <c r="G205" s="40">
        <f>VLOOKUP(A205,Registry!$A$4:$AA$241,21,FALSE)</f>
        <v>28</v>
      </c>
      <c r="H205" s="43" t="s">
        <v>830</v>
      </c>
      <c r="I205" s="37">
        <v>5309</v>
      </c>
      <c r="J205" s="37" t="s">
        <v>844</v>
      </c>
      <c r="K205" s="37"/>
      <c r="L205" s="37"/>
      <c r="M205" s="37"/>
      <c r="N205" s="37">
        <f>SUM(Table2[[#This Row],[Maximum Contamination Violations]:[Treatment Violations]])</f>
        <v>0</v>
      </c>
      <c r="O205" s="37"/>
      <c r="P205" s="37"/>
      <c r="Q205" s="37"/>
    </row>
    <row r="206" spans="1:17" x14ac:dyDescent="0.25">
      <c r="A206" s="38">
        <v>14</v>
      </c>
      <c r="B206" s="40" t="str">
        <f>VLOOKUP(A206,Registry!$A$4:$AA$241,2,FALSE)</f>
        <v>Mountain View Estates</v>
      </c>
      <c r="C206" s="40" t="str">
        <f>VLOOKUP(A206,Registry!$A$4:$AA$241,3,FALSE)</f>
        <v>Windsor</v>
      </c>
      <c r="D206" s="40" t="str">
        <f>VLOOKUP(A206,Registry!$A$4:$AA$241,4,FALSE)</f>
        <v>Bethel</v>
      </c>
      <c r="E206" s="40">
        <f>VLOOKUP(A206,Registry!$A$4:$AA$241,7,FALSE)</f>
        <v>1965</v>
      </c>
      <c r="F206" s="80" t="str">
        <f>IF(VLOOKUP(A206,Registry!$A$4:$AA$241,20,FALSE)=0,"",VLOOKUP(A206,Registry!$A$4:$AA$241,20,FALSE))</f>
        <v>For profit</v>
      </c>
      <c r="G206" s="40">
        <f>VLOOKUP(A206,Registry!$A$4:$AA$241,21,FALSE)</f>
        <v>10</v>
      </c>
      <c r="H206" s="112" t="s">
        <v>1256</v>
      </c>
      <c r="I206" s="37"/>
      <c r="J206" s="37" t="s">
        <v>1212</v>
      </c>
      <c r="K206" s="37"/>
      <c r="L206" s="37"/>
      <c r="M206" s="37"/>
      <c r="N206" s="37">
        <f>SUM(Table2[[#This Row],[Maximum Contamination Violations]:[Treatment Violations]])</f>
        <v>0</v>
      </c>
      <c r="O206" s="37" t="s">
        <v>834</v>
      </c>
      <c r="P206" s="37" t="s">
        <v>1546</v>
      </c>
      <c r="Q206" s="37"/>
    </row>
    <row r="207" spans="1:17" x14ac:dyDescent="0.25">
      <c r="A207" s="38">
        <v>13</v>
      </c>
      <c r="B207" s="40" t="str">
        <f>VLOOKUP(A207,Registry!$A$4:$AA$241,2,FALSE)</f>
        <v>Richards Mobile Home Park</v>
      </c>
      <c r="C207" s="40" t="str">
        <f>VLOOKUP(A207,Registry!$A$4:$AA$241,3,FALSE)</f>
        <v>Windsor</v>
      </c>
      <c r="D207" s="40" t="str">
        <f>VLOOKUP(A207,Registry!$A$4:$AA$241,4,FALSE)</f>
        <v>Bethel</v>
      </c>
      <c r="E207" s="40">
        <f>VLOOKUP(A207,Registry!$A$4:$AA$241,7,FALSE)</f>
        <v>1950</v>
      </c>
      <c r="F207" s="80" t="str">
        <f>IF(VLOOKUP(A207,Registry!$A$4:$AA$241,20,FALSE)=0,"",VLOOKUP(A207,Registry!$A$4:$AA$241,20,FALSE))</f>
        <v>For profit</v>
      </c>
      <c r="G207" s="40">
        <f>VLOOKUP(A207,Registry!$A$4:$AA$241,21,FALSE)</f>
        <v>21</v>
      </c>
      <c r="H207" s="43" t="s">
        <v>824</v>
      </c>
      <c r="I207" s="37"/>
      <c r="J207" s="37" t="s">
        <v>1464</v>
      </c>
      <c r="K207" s="37"/>
      <c r="L207" s="37"/>
      <c r="M207" s="37"/>
      <c r="N207" s="37">
        <f>SUM(Table2[[#This Row],[Maximum Contamination Violations]:[Treatment Violations]])</f>
        <v>0</v>
      </c>
      <c r="O207" s="37" t="s">
        <v>824</v>
      </c>
      <c r="P207" s="37"/>
      <c r="Q207" s="37"/>
    </row>
    <row r="208" spans="1:17" x14ac:dyDescent="0.25">
      <c r="A208" s="38">
        <v>41</v>
      </c>
      <c r="B208" s="40" t="str">
        <f>VLOOKUP(A208,Registry!$A$4:$AA$241,2,FALSE)</f>
        <v>Farrugia Mobile Home Park</v>
      </c>
      <c r="C208" s="40" t="str">
        <f>VLOOKUP(A208,Registry!$A$4:$AA$241,3,FALSE)</f>
        <v>Windsor</v>
      </c>
      <c r="D208" s="40" t="str">
        <f>VLOOKUP(A208,Registry!$A$4:$AA$241,4,FALSE)</f>
        <v>Cavendish</v>
      </c>
      <c r="E208" s="40">
        <f>VLOOKUP(A208,Registry!$A$4:$AA$241,7,FALSE)</f>
        <v>1982</v>
      </c>
      <c r="F208" s="80" t="str">
        <f>IF(VLOOKUP(A208,Registry!$A$4:$AA$241,20,FALSE)=0,"",VLOOKUP(A208,Registry!$A$4:$AA$241,20,FALSE))</f>
        <v>For profit</v>
      </c>
      <c r="G208" s="40">
        <f>VLOOKUP(A208,Registry!$A$4:$AA$241,21,FALSE)</f>
        <v>8</v>
      </c>
      <c r="H208" s="112" t="s">
        <v>1256</v>
      </c>
      <c r="I208" s="37"/>
      <c r="J208" s="37" t="s">
        <v>847</v>
      </c>
      <c r="K208" s="37"/>
      <c r="L208" s="37"/>
      <c r="M208" s="37"/>
      <c r="N208" s="37">
        <f>SUM(Table2[[#This Row],[Maximum Contamination Violations]:[Treatment Violations]])</f>
        <v>0</v>
      </c>
      <c r="O208" s="37" t="s">
        <v>824</v>
      </c>
      <c r="P208" s="37"/>
      <c r="Q208" s="37"/>
    </row>
    <row r="209" spans="1:17" x14ac:dyDescent="0.25">
      <c r="A209" s="38">
        <v>34</v>
      </c>
      <c r="B209" s="40" t="str">
        <f>VLOOKUP(A209,Registry!$A$4:$AA$241,2,FALSE)</f>
        <v>Amsden's Mobile Home Park</v>
      </c>
      <c r="C209" s="40" t="str">
        <f>VLOOKUP(A209,Registry!$A$4:$AA$241,3,FALSE)</f>
        <v>Windsor</v>
      </c>
      <c r="D209" s="40" t="str">
        <f>VLOOKUP(A209,Registry!$A$4:$AA$241,4,FALSE)</f>
        <v>Chester</v>
      </c>
      <c r="E209" s="40">
        <f>VLOOKUP(A209,Registry!$A$4:$AA$241,7,FALSE)</f>
        <v>1960</v>
      </c>
      <c r="F209" s="80" t="str">
        <f>IF(VLOOKUP(A209,Registry!$A$4:$AA$241,20,FALSE)=0,"",VLOOKUP(A209,Registry!$A$4:$AA$241,20,FALSE))</f>
        <v>For profit</v>
      </c>
      <c r="G209" s="40">
        <f>VLOOKUP(A209,Registry!$A$4:$AA$241,21,FALSE)</f>
        <v>3</v>
      </c>
      <c r="H209" s="112" t="s">
        <v>1256</v>
      </c>
      <c r="I209" s="37"/>
      <c r="J209" s="37" t="s">
        <v>838</v>
      </c>
      <c r="K209" s="37"/>
      <c r="L209" s="37"/>
      <c r="M209" s="37"/>
      <c r="N209" s="37">
        <f>SUM(Table2[[#This Row],[Maximum Contamination Violations]:[Treatment Violations]])</f>
        <v>0</v>
      </c>
      <c r="O209" s="37" t="s">
        <v>834</v>
      </c>
      <c r="P209" s="37" t="s">
        <v>845</v>
      </c>
      <c r="Q209" s="37"/>
    </row>
    <row r="210" spans="1:17" x14ac:dyDescent="0.25">
      <c r="A210" s="38">
        <v>36</v>
      </c>
      <c r="B210" s="40" t="str">
        <f>VLOOKUP(A210,Registry!$A$4:$AA$241,2,FALSE)</f>
        <v>Farrar Mobile Home Park</v>
      </c>
      <c r="C210" s="40" t="str">
        <f>VLOOKUP(A210,Registry!$A$4:$AA$241,3,FALSE)</f>
        <v>Windsor</v>
      </c>
      <c r="D210" s="40" t="str">
        <f>VLOOKUP(A210,Registry!$A$4:$AA$241,4,FALSE)</f>
        <v>Chester</v>
      </c>
      <c r="E210" s="40">
        <f>VLOOKUP(A210,Registry!$A$4:$AA$241,7,FALSE)</f>
        <v>1970</v>
      </c>
      <c r="F210" s="80" t="str">
        <f>IF(VLOOKUP(A210,Registry!$A$4:$AA$241,20,FALSE)=0,"",VLOOKUP(A210,Registry!$A$4:$AA$241,20,FALSE))</f>
        <v>For profit</v>
      </c>
      <c r="G210" s="40">
        <f>VLOOKUP(A210,Registry!$A$4:$AA$241,21,FALSE)</f>
        <v>3</v>
      </c>
      <c r="H210" s="43" t="s">
        <v>824</v>
      </c>
      <c r="I210" s="37"/>
      <c r="J210" s="37" t="s">
        <v>1459</v>
      </c>
      <c r="K210" s="37"/>
      <c r="L210" s="37"/>
      <c r="M210" s="37"/>
      <c r="N210" s="37">
        <f>SUM(Table2[[#This Row],[Maximum Contamination Violations]:[Treatment Violations]])</f>
        <v>0</v>
      </c>
      <c r="O210" s="37" t="s">
        <v>824</v>
      </c>
      <c r="P210" s="37"/>
      <c r="Q210" s="37"/>
    </row>
    <row r="211" spans="1:17" x14ac:dyDescent="0.25">
      <c r="A211" s="38">
        <v>7</v>
      </c>
      <c r="B211" s="40" t="str">
        <f>VLOOKUP(A211,Registry!$A$4:$AA$241,2,FALSE)</f>
        <v>Chambers Mobile Home Village</v>
      </c>
      <c r="C211" s="40" t="str">
        <f>VLOOKUP(A211,Registry!$A$4:$AA$241,3,FALSE)</f>
        <v>Windsor</v>
      </c>
      <c r="D211" s="40" t="str">
        <f>VLOOKUP(A211,Registry!$A$4:$AA$241,4,FALSE)</f>
        <v>Hartford</v>
      </c>
      <c r="E211" s="40">
        <f>VLOOKUP(A211,Registry!$A$4:$AA$241,7,FALSE)</f>
        <v>1960</v>
      </c>
      <c r="F211" s="80" t="str">
        <f>IF(VLOOKUP(A211,Registry!$A$4:$AA$241,20,FALSE)=0,"",VLOOKUP(A211,Registry!$A$4:$AA$241,20,FALSE))</f>
        <v>For profit</v>
      </c>
      <c r="G211" s="40">
        <f>VLOOKUP(A211,Registry!$A$4:$AA$241,21,FALSE)</f>
        <v>85</v>
      </c>
      <c r="H211" s="43" t="s">
        <v>827</v>
      </c>
      <c r="I211" s="37">
        <v>20796</v>
      </c>
      <c r="J211" s="37" t="s">
        <v>828</v>
      </c>
      <c r="K211" s="37">
        <v>0</v>
      </c>
      <c r="L211" s="37">
        <v>12</v>
      </c>
      <c r="M211" s="37">
        <v>0</v>
      </c>
      <c r="N211" s="37">
        <f>SUM(Table2[[#This Row],[Maximum Contamination Violations]:[Treatment Violations]])</f>
        <v>12</v>
      </c>
      <c r="O211" s="37" t="s">
        <v>824</v>
      </c>
      <c r="P211" s="37" t="s">
        <v>1318</v>
      </c>
      <c r="Q211" s="37"/>
    </row>
    <row r="212" spans="1:17" x14ac:dyDescent="0.25">
      <c r="A212" s="38">
        <v>234</v>
      </c>
      <c r="B212" s="40" t="str">
        <f>VLOOKUP(A212,Registry!$A$4:$AA$241,2,FALSE)</f>
        <v>Merrimac Mobile Home Park</v>
      </c>
      <c r="C212" s="40" t="str">
        <f>VLOOKUP(A212,Registry!$A$4:$AA$241,3,FALSE)</f>
        <v>Windsor</v>
      </c>
      <c r="D212" s="40" t="str">
        <f>VLOOKUP(A212,Registry!$A$4:$AA$241,4,FALSE)</f>
        <v>Hartford</v>
      </c>
      <c r="E212" s="40">
        <f>VLOOKUP(A212,Registry!$A$4:$AA$241,7,FALSE)</f>
        <v>1968</v>
      </c>
      <c r="F212" s="80" t="str">
        <f>IF(VLOOKUP(A212,Registry!$A$4:$AA$241,20,FALSE)=0,"",VLOOKUP(A212,Registry!$A$4:$AA$241,20,FALSE))</f>
        <v>For profit</v>
      </c>
      <c r="G212" s="40">
        <f>VLOOKUP(A212,Registry!$A$4:$AA$241,21,FALSE)</f>
        <v>47</v>
      </c>
      <c r="H212" s="43" t="s">
        <v>830</v>
      </c>
      <c r="I212" s="37" t="s">
        <v>931</v>
      </c>
      <c r="J212" s="37" t="s">
        <v>932</v>
      </c>
      <c r="K212" s="37">
        <v>0</v>
      </c>
      <c r="L212" s="37">
        <v>3</v>
      </c>
      <c r="M212" s="37">
        <v>0</v>
      </c>
      <c r="N212" s="37">
        <f>SUM(Table2[[#This Row],[Maximum Contamination Violations]:[Treatment Violations]])</f>
        <v>3</v>
      </c>
      <c r="O212" s="37" t="s">
        <v>824</v>
      </c>
      <c r="P212" s="121"/>
      <c r="Q212" s="37"/>
    </row>
    <row r="213" spans="1:17" x14ac:dyDescent="0.25">
      <c r="A213" s="38">
        <v>141</v>
      </c>
      <c r="B213" s="40" t="str">
        <f>VLOOKUP(A213,Registry!$A$4:$AA$241,2,FALSE)</f>
        <v>Olcott Falls Mobile Home Park</v>
      </c>
      <c r="C213" s="40" t="str">
        <f>VLOOKUP(A213,Registry!$A$4:$AA$241,3,FALSE)</f>
        <v>Windsor</v>
      </c>
      <c r="D213" s="40" t="str">
        <f>VLOOKUP(A213,Registry!$A$4:$AA$241,4,FALSE)</f>
        <v>Hartford</v>
      </c>
      <c r="E213" s="40">
        <f>VLOOKUP(A213,Registry!$A$4:$AA$241,7,FALSE)</f>
        <v>0</v>
      </c>
      <c r="F213" s="80" t="str">
        <f>IF(VLOOKUP(A213,Registry!$A$4:$AA$241,20,FALSE)=0,"",VLOOKUP(A213,Registry!$A$4:$AA$241,20,FALSE))</f>
        <v>Non-profit</v>
      </c>
      <c r="G213" s="40">
        <f>VLOOKUP(A213,Registry!$A$4:$AA$241,21,FALSE)</f>
        <v>40</v>
      </c>
      <c r="H213" s="43" t="s">
        <v>824</v>
      </c>
      <c r="I213" s="37"/>
      <c r="J213" s="37" t="s">
        <v>828</v>
      </c>
      <c r="K213" s="37"/>
      <c r="L213" s="37"/>
      <c r="M213" s="37"/>
      <c r="N213" s="37">
        <f>SUM(Table2[[#This Row],[Maximum Contamination Violations]:[Treatment Violations]])</f>
        <v>0</v>
      </c>
      <c r="O213" s="37" t="s">
        <v>824</v>
      </c>
      <c r="P213" s="37"/>
      <c r="Q213" s="37"/>
    </row>
    <row r="214" spans="1:17" x14ac:dyDescent="0.25">
      <c r="A214" s="38">
        <v>200</v>
      </c>
      <c r="B214" s="40" t="str">
        <f>VLOOKUP(A214,Registry!$A$4:$AA$241,2,FALSE)</f>
        <v>Tall Timbers MH Community, LLC</v>
      </c>
      <c r="C214" s="40" t="str">
        <f>VLOOKUP(A214,Registry!$A$4:$AA$241,3,FALSE)</f>
        <v>Windsor</v>
      </c>
      <c r="D214" s="40" t="str">
        <f>VLOOKUP(A214,Registry!$A$4:$AA$241,4,FALSE)</f>
        <v>Hartford</v>
      </c>
      <c r="E214" s="40">
        <f>VLOOKUP(A214,Registry!$A$4:$AA$241,7,FALSE)</f>
        <v>1977</v>
      </c>
      <c r="F214" s="80" t="str">
        <f>IF(VLOOKUP(A214,Registry!$A$4:$AA$241,20,FALSE)=0,"",VLOOKUP(A214,Registry!$A$4:$AA$241,20,FALSE))</f>
        <v>For profit</v>
      </c>
      <c r="G214" s="40">
        <f>VLOOKUP(A214,Registry!$A$4:$AA$241,21,FALSE)</f>
        <v>105</v>
      </c>
      <c r="H214" s="43" t="s">
        <v>830</v>
      </c>
      <c r="I214" s="37">
        <v>5375</v>
      </c>
      <c r="J214" s="37" t="s">
        <v>908</v>
      </c>
      <c r="K214" s="37">
        <v>0</v>
      </c>
      <c r="L214" s="37">
        <v>1</v>
      </c>
      <c r="M214" s="37">
        <v>0</v>
      </c>
      <c r="N214" s="37">
        <f>SUM(Table2[[#This Row],[Maximum Contamination Violations]:[Treatment Violations]])</f>
        <v>1</v>
      </c>
      <c r="O214" s="37" t="s">
        <v>823</v>
      </c>
      <c r="P214" s="37" t="s">
        <v>1255</v>
      </c>
      <c r="Q214" s="37"/>
    </row>
    <row r="215" spans="1:17" x14ac:dyDescent="0.25">
      <c r="A215" s="38">
        <v>15</v>
      </c>
      <c r="B215" s="40" t="str">
        <f>VLOOKUP(A215,Registry!$A$4:$AA$241,2,FALSE)</f>
        <v>Skunk Hollow Mobile Home Park</v>
      </c>
      <c r="C215" s="40" t="str">
        <f>VLOOKUP(A215,Registry!$A$4:$AA$241,3,FALSE)</f>
        <v>Windsor</v>
      </c>
      <c r="D215" s="40" t="str">
        <f>VLOOKUP(A215,Registry!$A$4:$AA$241,4,FALSE)</f>
        <v>Hartland</v>
      </c>
      <c r="E215" s="40">
        <f>VLOOKUP(A215,Registry!$A$4:$AA$241,7,FALSE)</f>
        <v>1951</v>
      </c>
      <c r="F215" s="80" t="str">
        <f>IF(VLOOKUP(A215,Registry!$A$4:$AA$241,20,FALSE)=0,"",VLOOKUP(A215,Registry!$A$4:$AA$241,20,FALSE))</f>
        <v>For profit</v>
      </c>
      <c r="G215" s="40">
        <f>VLOOKUP(A215,Registry!$A$4:$AA$241,21,FALSE)</f>
        <v>9</v>
      </c>
      <c r="H215" s="112" t="s">
        <v>1256</v>
      </c>
      <c r="I215" s="37"/>
      <c r="J215" s="37" t="s">
        <v>835</v>
      </c>
      <c r="K215" s="37"/>
      <c r="L215" s="37"/>
      <c r="M215" s="37"/>
      <c r="N215" s="37">
        <f>SUM(Table2[[#This Row],[Maximum Contamination Violations]:[Treatment Violations]])</f>
        <v>0</v>
      </c>
      <c r="O215" s="44" t="s">
        <v>823</v>
      </c>
      <c r="P215" s="37"/>
      <c r="Q215" s="37"/>
    </row>
    <row r="216" spans="1:17" x14ac:dyDescent="0.25">
      <c r="A216" s="38">
        <v>235</v>
      </c>
      <c r="B216" s="40" t="str">
        <f>VLOOKUP(A216,Registry!$A$4:$AA$241,2,FALSE)</f>
        <v>Woodside Manor</v>
      </c>
      <c r="C216" s="40" t="str">
        <f>VLOOKUP(A216,Registry!$A$4:$AA$241,3,FALSE)</f>
        <v>Windsor</v>
      </c>
      <c r="D216" s="40" t="str">
        <f>VLOOKUP(A216,Registry!$A$4:$AA$241,4,FALSE)</f>
        <v>Hartland</v>
      </c>
      <c r="E216" s="40">
        <f>VLOOKUP(A216,Registry!$A$4:$AA$241,7,FALSE)</f>
        <v>1965</v>
      </c>
      <c r="F216" s="80" t="str">
        <f>IF(VLOOKUP(A216,Registry!$A$4:$AA$241,20,FALSE)=0,"",VLOOKUP(A216,Registry!$A$4:$AA$241,20,FALSE))</f>
        <v>For profit</v>
      </c>
      <c r="G216" s="40">
        <f>VLOOKUP(A216,Registry!$A$4:$AA$241,21,FALSE)</f>
        <v>87</v>
      </c>
      <c r="H216" s="43" t="s">
        <v>830</v>
      </c>
      <c r="I216" s="37">
        <v>5404</v>
      </c>
      <c r="J216" s="37" t="s">
        <v>933</v>
      </c>
      <c r="K216" s="37">
        <v>0</v>
      </c>
      <c r="L216" s="37">
        <v>1</v>
      </c>
      <c r="M216" s="37">
        <v>0</v>
      </c>
      <c r="N216" s="37">
        <f>SUM(Table2[[#This Row],[Maximum Contamination Violations]:[Treatment Violations]])</f>
        <v>1</v>
      </c>
      <c r="O216" s="37" t="s">
        <v>823</v>
      </c>
      <c r="P216" s="37" t="s">
        <v>1238</v>
      </c>
      <c r="Q216" s="37"/>
    </row>
    <row r="217" spans="1:17" x14ac:dyDescent="0.25">
      <c r="A217" s="38">
        <v>37</v>
      </c>
      <c r="B217" s="40" t="str">
        <f>VLOOKUP(A217,Registry!$A$4:$AA$241,2,FALSE)</f>
        <v>Black River Mobile Court</v>
      </c>
      <c r="C217" s="40" t="str">
        <f>VLOOKUP(A217,Registry!$A$4:$AA$241,3,FALSE)</f>
        <v>Windsor</v>
      </c>
      <c r="D217" s="40" t="str">
        <f>VLOOKUP(A217,Registry!$A$4:$AA$241,4,FALSE)</f>
        <v>Ludlow</v>
      </c>
      <c r="E217" s="40">
        <f>VLOOKUP(A217,Registry!$A$4:$AA$241,7,FALSE)</f>
        <v>1967</v>
      </c>
      <c r="F217" s="80" t="str">
        <f>IF(VLOOKUP(A217,Registry!$A$4:$AA$241,20,FALSE)=0,"",VLOOKUP(A217,Registry!$A$4:$AA$241,20,FALSE))</f>
        <v>For profit</v>
      </c>
      <c r="G217" s="40">
        <f>VLOOKUP(A217,Registry!$A$4:$AA$241,21,FALSE)</f>
        <v>15</v>
      </c>
      <c r="H217" s="43" t="s">
        <v>824</v>
      </c>
      <c r="I217" s="37"/>
      <c r="J217" s="37" t="s">
        <v>1465</v>
      </c>
      <c r="K217" s="37"/>
      <c r="L217" s="37"/>
      <c r="M217" s="37"/>
      <c r="N217" s="37">
        <f>SUM(Table2[[#This Row],[Maximum Contamination Violations]:[Treatment Violations]])</f>
        <v>0</v>
      </c>
      <c r="O217" s="37" t="s">
        <v>824</v>
      </c>
      <c r="P217" s="37"/>
      <c r="Q217" s="37"/>
    </row>
    <row r="218" spans="1:17" x14ac:dyDescent="0.25">
      <c r="A218" s="38">
        <v>320</v>
      </c>
      <c r="B218" s="40" t="str">
        <f>VLOOKUP(A218,Registry!$A$4:$AA$241,2,FALSE)</f>
        <v>Hideaway Campground Association, Inc.</v>
      </c>
      <c r="C218" s="40" t="str">
        <f>VLOOKUP(A218,Registry!$A$4:$AA$241,3,FALSE)</f>
        <v>Windsor</v>
      </c>
      <c r="D218" s="40" t="str">
        <f>VLOOKUP(A218,Registry!$A$4:$AA$241,4,FALSE)</f>
        <v>Ludlow</v>
      </c>
      <c r="E218" s="40">
        <f>VLOOKUP(A218,Registry!$A$4:$AA$241,7,FALSE)</f>
        <v>2008</v>
      </c>
      <c r="F218" s="80" t="str">
        <f>IF(VLOOKUP(A218,Registry!$A$4:$AA$241,20,FALSE)=0,"",VLOOKUP(A218,Registry!$A$4:$AA$241,20,FALSE))</f>
        <v>Non-profit</v>
      </c>
      <c r="G218" s="40">
        <f>VLOOKUP(A218,Registry!$A$4:$AA$241,21,FALSE)</f>
        <v>29</v>
      </c>
      <c r="H218" s="43" t="s">
        <v>1213</v>
      </c>
      <c r="I218" s="37">
        <v>20925</v>
      </c>
      <c r="J218" s="37" t="s">
        <v>1212</v>
      </c>
      <c r="K218" s="37"/>
      <c r="L218" s="37"/>
      <c r="M218" s="37"/>
      <c r="N218" s="37">
        <f>SUM(Table2[[#This Row],[Maximum Contamination Violations]:[Treatment Violations]])</f>
        <v>0</v>
      </c>
      <c r="O218" s="37"/>
      <c r="P218" s="37"/>
      <c r="Q218" s="37"/>
    </row>
    <row r="219" spans="1:17" x14ac:dyDescent="0.25">
      <c r="A219" s="38">
        <v>241</v>
      </c>
      <c r="B219" s="40" t="str">
        <f>VLOOKUP(A219,Registry!$A$4:$AA$241,2,FALSE)</f>
        <v>Stryhas Trailer Park</v>
      </c>
      <c r="C219" s="40" t="str">
        <f>VLOOKUP(A219,Registry!$A$4:$AA$241,3,FALSE)</f>
        <v>Windsor</v>
      </c>
      <c r="D219" s="40" t="str">
        <f>VLOOKUP(A219,Registry!$A$4:$AA$241,4,FALSE)</f>
        <v>Ludlow</v>
      </c>
      <c r="E219" s="40">
        <f>VLOOKUP(A219,Registry!$A$4:$AA$241,7,FALSE)</f>
        <v>1972</v>
      </c>
      <c r="F219" s="80" t="str">
        <f>IF(VLOOKUP(A219,Registry!$A$4:$AA$241,20,FALSE)=0,"",VLOOKUP(A219,Registry!$A$4:$AA$241,20,FALSE))</f>
        <v>For profit</v>
      </c>
      <c r="G219" s="40">
        <f>VLOOKUP(A219,Registry!$A$4:$AA$241,21,FALSE)</f>
        <v>11</v>
      </c>
      <c r="H219" s="43" t="s">
        <v>824</v>
      </c>
      <c r="I219" s="37"/>
      <c r="J219" s="37" t="s">
        <v>1465</v>
      </c>
      <c r="K219" s="37"/>
      <c r="L219" s="37"/>
      <c r="M219" s="37"/>
      <c r="N219" s="37">
        <f>SUM(Table2[[#This Row],[Maximum Contamination Violations]:[Treatment Violations]])</f>
        <v>0</v>
      </c>
      <c r="O219" s="37" t="s">
        <v>824</v>
      </c>
      <c r="P219" s="37"/>
      <c r="Q219" s="37"/>
    </row>
    <row r="220" spans="1:17" x14ac:dyDescent="0.25">
      <c r="A220" s="38">
        <v>38</v>
      </c>
      <c r="B220" s="40" t="str">
        <f>VLOOKUP(A220,Registry!$A$4:$AA$241,2,FALSE)</f>
        <v>Tuckerville</v>
      </c>
      <c r="C220" s="40" t="str">
        <f>VLOOKUP(A220,Registry!$A$4:$AA$241,3,FALSE)</f>
        <v>Windsor</v>
      </c>
      <c r="D220" s="40" t="str">
        <f>VLOOKUP(A220,Registry!$A$4:$AA$241,4,FALSE)</f>
        <v>Ludlow</v>
      </c>
      <c r="E220" s="40">
        <f>VLOOKUP(A220,Registry!$A$4:$AA$241,7,FALSE)</f>
        <v>1983</v>
      </c>
      <c r="F220" s="80" t="str">
        <f>IF(VLOOKUP(A220,Registry!$A$4:$AA$241,20,FALSE)=0,"",VLOOKUP(A220,Registry!$A$4:$AA$241,20,FALSE))</f>
        <v>Non-profit</v>
      </c>
      <c r="G220" s="40">
        <f>VLOOKUP(A220,Registry!$A$4:$AA$241,21,FALSE)</f>
        <v>23</v>
      </c>
      <c r="H220" s="43" t="s">
        <v>830</v>
      </c>
      <c r="I220" s="37">
        <v>5637</v>
      </c>
      <c r="J220" s="37" t="s">
        <v>832</v>
      </c>
      <c r="K220" s="37"/>
      <c r="L220" s="37"/>
      <c r="M220" s="37"/>
      <c r="N220" s="37">
        <f>SUM(Table2[[#This Row],[Maximum Contamination Violations]:[Treatment Violations]])</f>
        <v>0</v>
      </c>
      <c r="O220" s="44" t="s">
        <v>823</v>
      </c>
      <c r="P220" s="37" t="s">
        <v>1384</v>
      </c>
      <c r="Q220" s="37" t="s">
        <v>846</v>
      </c>
    </row>
    <row r="221" spans="1:17" x14ac:dyDescent="0.25">
      <c r="A221" s="148">
        <v>327</v>
      </c>
      <c r="B221" s="40" t="str">
        <f>VLOOKUP(A221,Registry!$A$4:$AA$241,2,FALSE)</f>
        <v>Moses MHP</v>
      </c>
      <c r="C221" s="40" t="str">
        <f>VLOOKUP(A221,Registry!$A$4:$AA$241,3,FALSE)</f>
        <v>Windsor</v>
      </c>
      <c r="D221" s="40" t="str">
        <f>VLOOKUP(A221,Registry!$A$4:$AA$241,4,FALSE)</f>
        <v>Royalton</v>
      </c>
      <c r="E221" s="40">
        <f>VLOOKUP(A221,Registry!$A$4:$AA$241,7,FALSE)</f>
        <v>2000</v>
      </c>
      <c r="F221" s="80" t="str">
        <f>IF(VLOOKUP(A221,Registry!$A$4:$AA$241,20,FALSE)=0,"",VLOOKUP(A221,Registry!$A$4:$AA$241,20,FALSE))</f>
        <v>For profit</v>
      </c>
      <c r="G221" s="40">
        <f>VLOOKUP(A221,Registry!$A$4:$AA$241,21,FALSE)</f>
        <v>7</v>
      </c>
      <c r="H221" s="150"/>
      <c r="I221" s="149"/>
      <c r="J221" s="149"/>
      <c r="K221" s="149"/>
      <c r="L221" s="149"/>
      <c r="M221" s="149"/>
      <c r="N221" s="149"/>
      <c r="O221" s="149"/>
      <c r="P221" s="149"/>
      <c r="Q221" s="149"/>
    </row>
    <row r="222" spans="1:17" x14ac:dyDescent="0.25">
      <c r="A222" s="38">
        <v>26</v>
      </c>
      <c r="B222" s="40" t="str">
        <f>VLOOKUP(A222,Registry!$A$4:$AA$241,2,FALSE)</f>
        <v>Overlooked Park</v>
      </c>
      <c r="C222" s="40" t="str">
        <f>VLOOKUP(A222,Registry!$A$4:$AA$241,3,FALSE)</f>
        <v>Windsor</v>
      </c>
      <c r="D222" s="40" t="str">
        <f>VLOOKUP(A222,Registry!$A$4:$AA$241,4,FALSE)</f>
        <v>Royalton</v>
      </c>
      <c r="E222" s="40">
        <f>VLOOKUP(A222,Registry!$A$4:$AA$241,7,FALSE)</f>
        <v>1974</v>
      </c>
      <c r="F222" s="80" t="str">
        <f>IF(VLOOKUP(A222,Registry!$A$4:$AA$241,20,FALSE)=0,"",VLOOKUP(A222,Registry!$A$4:$AA$241,20,FALSE))</f>
        <v>For profit</v>
      </c>
      <c r="G222" s="40">
        <f>VLOOKUP(A222,Registry!$A$4:$AA$241,21,FALSE)</f>
        <v>6</v>
      </c>
      <c r="H222" s="43"/>
      <c r="I222" s="37"/>
      <c r="J222" s="37"/>
      <c r="K222" s="37"/>
      <c r="L222" s="37"/>
      <c r="M222" s="37"/>
      <c r="N222" s="37">
        <f>SUM(Table2[[#This Row],[Maximum Contamination Violations]:[Treatment Violations]])</f>
        <v>0</v>
      </c>
      <c r="O222" s="37"/>
      <c r="P222" s="37" t="s">
        <v>1239</v>
      </c>
      <c r="Q222" s="37"/>
    </row>
    <row r="223" spans="1:17" x14ac:dyDescent="0.25">
      <c r="A223" s="148">
        <v>326</v>
      </c>
      <c r="B223" s="40" t="str">
        <f>VLOOKUP(A223,Registry!$A$4:$AA$241,2,FALSE)</f>
        <v>Pinney Lane MHP</v>
      </c>
      <c r="C223" s="40" t="str">
        <f>VLOOKUP(A223,Registry!$A$4:$AA$241,3,FALSE)</f>
        <v>Windsor</v>
      </c>
      <c r="D223" s="40" t="str">
        <f>VLOOKUP(A223,Registry!$A$4:$AA$241,4,FALSE)</f>
        <v>Royalton</v>
      </c>
      <c r="E223" s="40">
        <f>VLOOKUP(A223,Registry!$A$4:$AA$241,7,FALSE)</f>
        <v>1996</v>
      </c>
      <c r="F223" s="80" t="str">
        <f>IF(VLOOKUP(A223,Registry!$A$4:$AA$241,20,FALSE)=0,"",VLOOKUP(A223,Registry!$A$4:$AA$241,20,FALSE))</f>
        <v>For profit</v>
      </c>
      <c r="G223" s="40">
        <f>VLOOKUP(A223,Registry!$A$4:$AA$241,21,FALSE)</f>
        <v>8</v>
      </c>
      <c r="H223" s="150"/>
      <c r="I223" s="149"/>
      <c r="J223" s="149"/>
      <c r="K223" s="149"/>
      <c r="L223" s="149"/>
      <c r="M223" s="149"/>
      <c r="N223" s="149"/>
      <c r="O223" s="149"/>
      <c r="P223" s="149"/>
      <c r="Q223" s="149"/>
    </row>
    <row r="224" spans="1:17" x14ac:dyDescent="0.25">
      <c r="A224" s="38">
        <v>8</v>
      </c>
      <c r="B224" s="40" t="str">
        <f>VLOOKUP(A224,Registry!$A$4:$AA$241,2,FALSE)</f>
        <v>Riverbend Park</v>
      </c>
      <c r="C224" s="40" t="str">
        <f>VLOOKUP(A224,Registry!$A$4:$AA$241,3,FALSE)</f>
        <v>Windsor</v>
      </c>
      <c r="D224" s="40" t="str">
        <f>VLOOKUP(A224,Registry!$A$4:$AA$241,4,FALSE)</f>
        <v>Royalton</v>
      </c>
      <c r="E224" s="40">
        <f>VLOOKUP(A224,Registry!$A$4:$AA$241,7,FALSE)</f>
        <v>1975</v>
      </c>
      <c r="F224" s="80" t="str">
        <f>IF(VLOOKUP(A224,Registry!$A$4:$AA$241,20,FALSE)=0,"",VLOOKUP(A224,Registry!$A$4:$AA$241,20,FALSE))</f>
        <v>Non-profit</v>
      </c>
      <c r="G224" s="40">
        <f>VLOOKUP(A224,Registry!$A$4:$AA$241,21,FALSE)</f>
        <v>9</v>
      </c>
      <c r="H224" s="43" t="s">
        <v>824</v>
      </c>
      <c r="I224" s="37"/>
      <c r="J224" s="37" t="s">
        <v>1468</v>
      </c>
      <c r="K224" s="37"/>
      <c r="L224" s="37"/>
      <c r="M224" s="37"/>
      <c r="N224" s="37">
        <f>SUM(Table2[[#This Row],[Maximum Contamination Violations]:[Treatment Violations]])</f>
        <v>0</v>
      </c>
      <c r="O224" s="37" t="s">
        <v>824</v>
      </c>
      <c r="P224" s="37"/>
      <c r="Q224" s="37"/>
    </row>
    <row r="225" spans="1:17" x14ac:dyDescent="0.25">
      <c r="A225" s="38">
        <v>29</v>
      </c>
      <c r="B225" s="40" t="str">
        <f>VLOOKUP(A225,Registry!$A$4:$AA$241,2,FALSE)</f>
        <v>Royalton Terrace</v>
      </c>
      <c r="C225" s="40" t="str">
        <f>VLOOKUP(A225,Registry!$A$4:$AA$241,3,FALSE)</f>
        <v>Windsor</v>
      </c>
      <c r="D225" s="40" t="str">
        <f>VLOOKUP(A225,Registry!$A$4:$AA$241,4,FALSE)</f>
        <v>Royalton</v>
      </c>
      <c r="E225" s="40">
        <f>VLOOKUP(A225,Registry!$A$4:$AA$241,7,FALSE)</f>
        <v>1967</v>
      </c>
      <c r="F225" s="80" t="str">
        <f>IF(VLOOKUP(A225,Registry!$A$4:$AA$241,20,FALSE)=0,"",VLOOKUP(A225,Registry!$A$4:$AA$241,20,FALSE))</f>
        <v>For profit</v>
      </c>
      <c r="G225" s="40">
        <f>VLOOKUP(A225,Registry!$A$4:$AA$241,21,FALSE)</f>
        <v>28</v>
      </c>
      <c r="H225" s="43" t="s">
        <v>830</v>
      </c>
      <c r="I225" s="37">
        <v>5331</v>
      </c>
      <c r="J225" s="37" t="s">
        <v>832</v>
      </c>
      <c r="K225" s="37">
        <v>0</v>
      </c>
      <c r="L225" s="37">
        <v>1</v>
      </c>
      <c r="M225" s="37">
        <v>0</v>
      </c>
      <c r="N225" s="37">
        <f>SUM(Table2[[#This Row],[Maximum Contamination Violations]:[Treatment Violations]])</f>
        <v>1</v>
      </c>
      <c r="O225" s="37" t="s">
        <v>834</v>
      </c>
      <c r="P225" s="37" t="s">
        <v>1352</v>
      </c>
      <c r="Q225" s="37"/>
    </row>
    <row r="226" spans="1:17" x14ac:dyDescent="0.25">
      <c r="A226" s="148">
        <v>325</v>
      </c>
      <c r="B226" s="40" t="str">
        <f>VLOOKUP(A226,Registry!$A$4:$AA$241,2,FALSE)</f>
        <v>Thetford Lane MHP</v>
      </c>
      <c r="C226" s="40" t="str">
        <f>VLOOKUP(A226,Registry!$A$4:$AA$241,3,FALSE)</f>
        <v>Windsor</v>
      </c>
      <c r="D226" s="40" t="str">
        <f>VLOOKUP(A226,Registry!$A$4:$AA$241,4,FALSE)</f>
        <v>Royalton</v>
      </c>
      <c r="E226" s="40">
        <f>VLOOKUP(A226,Registry!$A$4:$AA$241,7,FALSE)</f>
        <v>1996</v>
      </c>
      <c r="F226" s="80" t="str">
        <f>IF(VLOOKUP(A226,Registry!$A$4:$AA$241,20,FALSE)=0,"",VLOOKUP(A226,Registry!$A$4:$AA$241,20,FALSE))</f>
        <v>For profit</v>
      </c>
      <c r="G226" s="40">
        <f>VLOOKUP(A226,Registry!$A$4:$AA$241,21,FALSE)</f>
        <v>3</v>
      </c>
      <c r="H226" s="150"/>
      <c r="I226" s="149"/>
      <c r="J226" s="149"/>
      <c r="K226" s="149"/>
      <c r="L226" s="149"/>
      <c r="M226" s="149"/>
      <c r="N226" s="149"/>
      <c r="O226" s="149"/>
      <c r="P226" s="149"/>
      <c r="Q226" s="149"/>
    </row>
    <row r="227" spans="1:17" x14ac:dyDescent="0.25">
      <c r="A227" s="38">
        <v>25</v>
      </c>
      <c r="B227" s="40" t="str">
        <f>VLOOKUP(A227,Registry!$A$4:$AA$241,2,FALSE)</f>
        <v>T and L Mobile Home Park</v>
      </c>
      <c r="C227" s="40" t="str">
        <f>VLOOKUP(A227,Registry!$A$4:$AA$241,3,FALSE)</f>
        <v>Windsor</v>
      </c>
      <c r="D227" s="40" t="str">
        <f>VLOOKUP(A227,Registry!$A$4:$AA$241,4,FALSE)</f>
        <v>Sharon</v>
      </c>
      <c r="E227" s="40">
        <f>VLOOKUP(A227,Registry!$A$4:$AA$241,7,FALSE)</f>
        <v>1970</v>
      </c>
      <c r="F227" s="80" t="str">
        <f>IF(VLOOKUP(A227,Registry!$A$4:$AA$241,20,FALSE)=0,"",VLOOKUP(A227,Registry!$A$4:$AA$241,20,FALSE))</f>
        <v>For profit</v>
      </c>
      <c r="G227" s="40">
        <f>VLOOKUP(A227,Registry!$A$4:$AA$241,21,FALSE)</f>
        <v>10</v>
      </c>
      <c r="H227" s="112" t="s">
        <v>1256</v>
      </c>
      <c r="I227" s="37"/>
      <c r="J227" s="37"/>
      <c r="K227" s="37"/>
      <c r="L227" s="37"/>
      <c r="M227" s="37"/>
      <c r="N227" s="37">
        <f>SUM(Table2[[#This Row],[Maximum Contamination Violations]:[Treatment Violations]])</f>
        <v>0</v>
      </c>
      <c r="O227" s="37" t="s">
        <v>836</v>
      </c>
      <c r="P227" s="37"/>
      <c r="Q227" s="37"/>
    </row>
    <row r="228" spans="1:17" x14ac:dyDescent="0.25">
      <c r="A228" s="38">
        <v>45</v>
      </c>
      <c r="B228" s="40" t="str">
        <f>VLOOKUP(A228,Registry!$A$4:$AA$241,2,FALSE)</f>
        <v>Colonial Manor</v>
      </c>
      <c r="C228" s="40" t="str">
        <f>VLOOKUP(A228,Registry!$A$4:$AA$241,3,FALSE)</f>
        <v>Windsor</v>
      </c>
      <c r="D228" s="40" t="str">
        <f>VLOOKUP(A228,Registry!$A$4:$AA$241,4,FALSE)</f>
        <v>Springfield</v>
      </c>
      <c r="E228" s="40">
        <f>VLOOKUP(A228,Registry!$A$4:$AA$241,7,FALSE)</f>
        <v>1961</v>
      </c>
      <c r="F228" s="80" t="str">
        <f>IF(VLOOKUP(A228,Registry!$A$4:$AA$241,20,FALSE)=0,"",VLOOKUP(A228,Registry!$A$4:$AA$241,20,FALSE))</f>
        <v>For profit</v>
      </c>
      <c r="G228" s="40">
        <f>VLOOKUP(A228,Registry!$A$4:$AA$241,21,FALSE)</f>
        <v>4</v>
      </c>
      <c r="H228" s="112" t="s">
        <v>1256</v>
      </c>
      <c r="I228" s="37"/>
      <c r="J228" s="37" t="s">
        <v>848</v>
      </c>
      <c r="K228" s="37"/>
      <c r="L228" s="37"/>
      <c r="M228" s="37"/>
      <c r="N228" s="37">
        <f>SUM(Table2[[#This Row],[Maximum Contamination Violations]:[Treatment Violations]])</f>
        <v>0</v>
      </c>
      <c r="O228" s="37"/>
      <c r="P228" s="37"/>
      <c r="Q228" s="37"/>
    </row>
    <row r="229" spans="1:17" x14ac:dyDescent="0.25">
      <c r="A229" s="38">
        <v>50</v>
      </c>
      <c r="B229" s="40" t="str">
        <f>VLOOKUP(A229,Registry!$A$4:$AA$241,2,FALSE)</f>
        <v>Halls Mobile Home Park</v>
      </c>
      <c r="C229" s="40" t="str">
        <f>VLOOKUP(A229,Registry!$A$4:$AA$241,3,FALSE)</f>
        <v>Windsor</v>
      </c>
      <c r="D229" s="40" t="str">
        <f>VLOOKUP(A229,Registry!$A$4:$AA$241,4,FALSE)</f>
        <v>Springfield</v>
      </c>
      <c r="E229" s="40">
        <f>VLOOKUP(A229,Registry!$A$4:$AA$241,7,FALSE)</f>
        <v>1958</v>
      </c>
      <c r="F229" s="80" t="str">
        <f>IF(VLOOKUP(A229,Registry!$A$4:$AA$241,20,FALSE)=0,"",VLOOKUP(A229,Registry!$A$4:$AA$241,20,FALSE))</f>
        <v>For profit</v>
      </c>
      <c r="G229" s="40">
        <f>VLOOKUP(A229,Registry!$A$4:$AA$241,21,FALSE)</f>
        <v>13</v>
      </c>
      <c r="H229" s="43" t="s">
        <v>824</v>
      </c>
      <c r="I229" s="37"/>
      <c r="J229" s="37" t="s">
        <v>833</v>
      </c>
      <c r="K229" s="37"/>
      <c r="L229" s="37"/>
      <c r="M229" s="37"/>
      <c r="N229" s="37">
        <f>SUM(Table2[[#This Row],[Maximum Contamination Violations]:[Treatment Violations]])</f>
        <v>0</v>
      </c>
      <c r="O229" s="37" t="s">
        <v>824</v>
      </c>
      <c r="P229" s="37"/>
      <c r="Q229" s="37"/>
    </row>
    <row r="230" spans="1:17" x14ac:dyDescent="0.25">
      <c r="A230" s="38">
        <v>285</v>
      </c>
      <c r="B230" s="40" t="str">
        <f>VLOOKUP(A230,Registry!$A$4:$AA$241,2,FALSE)</f>
        <v>Martin Court MHP</v>
      </c>
      <c r="C230" s="40" t="str">
        <f>VLOOKUP(A230,Registry!$A$4:$AA$241,3,FALSE)</f>
        <v>Windsor</v>
      </c>
      <c r="D230" s="40" t="str">
        <f>VLOOKUP(A230,Registry!$A$4:$AA$241,4,FALSE)</f>
        <v>Springfield</v>
      </c>
      <c r="E230" s="40">
        <f>VLOOKUP(A230,Registry!$A$4:$AA$241,7,FALSE)</f>
        <v>1975</v>
      </c>
      <c r="F230" s="80" t="str">
        <f>IF(VLOOKUP(A230,Registry!$A$4:$AA$241,20,FALSE)=0,"",VLOOKUP(A230,Registry!$A$4:$AA$241,20,FALSE))</f>
        <v>For profit</v>
      </c>
      <c r="G230" s="40">
        <f>VLOOKUP(A230,Registry!$A$4:$AA$241,21,FALSE)</f>
        <v>6</v>
      </c>
      <c r="H230" s="43" t="s">
        <v>824</v>
      </c>
      <c r="I230" s="37"/>
      <c r="J230" s="37" t="s">
        <v>833</v>
      </c>
      <c r="K230" s="37"/>
      <c r="L230" s="37"/>
      <c r="M230" s="37"/>
      <c r="N230" s="37">
        <f>SUM(Table2[[#This Row],[Maximum Contamination Violations]:[Treatment Violations]])</f>
        <v>0</v>
      </c>
      <c r="O230" s="37" t="s">
        <v>824</v>
      </c>
      <c r="P230" s="37"/>
      <c r="Q230" s="37"/>
    </row>
    <row r="231" spans="1:17" x14ac:dyDescent="0.25">
      <c r="A231" s="38">
        <v>242</v>
      </c>
      <c r="B231" s="40" t="str">
        <f>VLOOKUP(A231,Registry!$A$4:$AA$241,2,FALSE)</f>
        <v>Patnode Mobile Home Park</v>
      </c>
      <c r="C231" s="40" t="str">
        <f>VLOOKUP(A231,Registry!$A$4:$AA$241,3,FALSE)</f>
        <v>Windsor</v>
      </c>
      <c r="D231" s="40" t="str">
        <f>VLOOKUP(A231,Registry!$A$4:$AA$241,4,FALSE)</f>
        <v>Springfield</v>
      </c>
      <c r="E231" s="40">
        <f>VLOOKUP(A231,Registry!$A$4:$AA$241,7,FALSE)</f>
        <v>1948</v>
      </c>
      <c r="F231" s="80" t="str">
        <f>IF(VLOOKUP(A231,Registry!$A$4:$AA$241,20,FALSE)=0,"",VLOOKUP(A231,Registry!$A$4:$AA$241,20,FALSE))</f>
        <v>For profit</v>
      </c>
      <c r="G231" s="40">
        <f>VLOOKUP(A231,Registry!$A$4:$AA$241,21,FALSE)</f>
        <v>9</v>
      </c>
      <c r="H231" s="110" t="s">
        <v>824</v>
      </c>
      <c r="I231" s="37"/>
      <c r="J231" s="37" t="s">
        <v>833</v>
      </c>
      <c r="K231" s="37"/>
      <c r="L231" s="37"/>
      <c r="M231" s="37"/>
      <c r="N231" s="37">
        <f>SUM(Table2[[#This Row],[Maximum Contamination Violations]:[Treatment Violations]])</f>
        <v>0</v>
      </c>
      <c r="O231" s="37" t="s">
        <v>824</v>
      </c>
      <c r="P231" s="37"/>
      <c r="Q231" s="37"/>
    </row>
    <row r="232" spans="1:17" x14ac:dyDescent="0.25">
      <c r="A232" s="38">
        <v>273</v>
      </c>
      <c r="B232" s="40" t="str">
        <f>VLOOKUP(A232,Registry!$A$4:$AA$241,2,FALSE)</f>
        <v>Red Maple MHP</v>
      </c>
      <c r="C232" s="40" t="str">
        <f>VLOOKUP(A232,Registry!$A$4:$AA$241,3,FALSE)</f>
        <v>Windsor</v>
      </c>
      <c r="D232" s="40" t="str">
        <f>VLOOKUP(A232,Registry!$A$4:$AA$241,4,FALSE)</f>
        <v>Springfield</v>
      </c>
      <c r="E232" s="40">
        <f>VLOOKUP(A232,Registry!$A$4:$AA$241,7,FALSE)</f>
        <v>1960</v>
      </c>
      <c r="F232" s="80" t="str">
        <f>IF(VLOOKUP(A232,Registry!$A$4:$AA$241,20,FALSE)=0,"",VLOOKUP(A232,Registry!$A$4:$AA$241,20,FALSE))</f>
        <v>Non-profit</v>
      </c>
      <c r="G232" s="40">
        <f>VLOOKUP(A232,Registry!$A$4:$AA$241,21,FALSE)</f>
        <v>7</v>
      </c>
      <c r="H232" s="110" t="s">
        <v>824</v>
      </c>
      <c r="I232" s="37"/>
      <c r="J232" s="37" t="s">
        <v>833</v>
      </c>
      <c r="K232" s="37"/>
      <c r="L232" s="37"/>
      <c r="M232" s="37"/>
      <c r="N232" s="37">
        <f>SUM(Table2[[#This Row],[Maximum Contamination Violations]:[Treatment Violations]])</f>
        <v>0</v>
      </c>
      <c r="O232" s="37" t="s">
        <v>824</v>
      </c>
      <c r="P232" s="37"/>
      <c r="Q232" s="37"/>
    </row>
    <row r="233" spans="1:17" x14ac:dyDescent="0.25">
      <c r="A233" s="38">
        <v>274</v>
      </c>
      <c r="B233" s="40" t="str">
        <f>VLOOKUP(A233,Registry!$A$4:$AA$241,2,FALSE)</f>
        <v>Valley Mobile Home Park</v>
      </c>
      <c r="C233" s="40" t="str">
        <f>VLOOKUP(A233,Registry!$A$4:$AA$241,3,FALSE)</f>
        <v>Windsor</v>
      </c>
      <c r="D233" s="40" t="str">
        <f>VLOOKUP(A233,Registry!$A$4:$AA$241,4,FALSE)</f>
        <v>Springfield</v>
      </c>
      <c r="E233" s="40">
        <f>VLOOKUP(A233,Registry!$A$4:$AA$241,7,FALSE)</f>
        <v>1960</v>
      </c>
      <c r="F233" s="80" t="str">
        <f>IF(VLOOKUP(A233,Registry!$A$4:$AA$241,20,FALSE)=0,"",VLOOKUP(A233,Registry!$A$4:$AA$241,20,FALSE))</f>
        <v>For profit</v>
      </c>
      <c r="G233" s="40">
        <f>VLOOKUP(A233,Registry!$A$4:$AA$241,21,FALSE)</f>
        <v>9</v>
      </c>
      <c r="H233" s="137" t="s">
        <v>1256</v>
      </c>
      <c r="I233" s="37"/>
      <c r="J233" s="37" t="s">
        <v>946</v>
      </c>
      <c r="K233" s="37"/>
      <c r="L233" s="37"/>
      <c r="M233" s="37"/>
      <c r="N233" s="37">
        <f>SUM(Table2[[#This Row],[Maximum Contamination Violations]:[Treatment Violations]])</f>
        <v>0</v>
      </c>
      <c r="O233" s="37" t="s">
        <v>834</v>
      </c>
      <c r="P233" s="37"/>
      <c r="Q233" s="37"/>
    </row>
    <row r="234" spans="1:17" x14ac:dyDescent="0.25">
      <c r="A234" s="38">
        <v>10</v>
      </c>
      <c r="B234" s="40" t="str">
        <f>VLOOKUP(A234,Registry!$A$4:$AA$241,2,FALSE)</f>
        <v>Country Estates Mobile Home Park, LLC</v>
      </c>
      <c r="C234" s="40" t="str">
        <f>VLOOKUP(A234,Registry!$A$4:$AA$241,3,FALSE)</f>
        <v>Windsor</v>
      </c>
      <c r="D234" s="40" t="str">
        <f>VLOOKUP(A234,Registry!$A$4:$AA$241,4,FALSE)</f>
        <v>Weathersfield</v>
      </c>
      <c r="E234" s="40">
        <f>VLOOKUP(A234,Registry!$A$4:$AA$241,7,FALSE)</f>
        <v>1965</v>
      </c>
      <c r="F234" s="80" t="str">
        <f>IF(VLOOKUP(A234,Registry!$A$4:$AA$241,20,FALSE)=0,"",VLOOKUP(A234,Registry!$A$4:$AA$241,20,FALSE))</f>
        <v>For profit</v>
      </c>
      <c r="G234" s="40">
        <f>VLOOKUP(A234,Registry!$A$4:$AA$241,21,FALSE)</f>
        <v>92</v>
      </c>
      <c r="H234" s="110" t="s">
        <v>830</v>
      </c>
      <c r="I234" s="37">
        <v>5339</v>
      </c>
      <c r="J234" s="37" t="s">
        <v>831</v>
      </c>
      <c r="K234" s="37"/>
      <c r="L234" s="37"/>
      <c r="M234" s="37"/>
      <c r="N234" s="37">
        <f>SUM(Table2[[#This Row],[Maximum Contamination Violations]:[Treatment Violations]])</f>
        <v>0</v>
      </c>
      <c r="O234" s="37"/>
      <c r="P234" s="37"/>
      <c r="Q234" s="37"/>
    </row>
    <row r="235" spans="1:17" x14ac:dyDescent="0.25">
      <c r="A235" s="38">
        <v>12</v>
      </c>
      <c r="B235" s="40" t="str">
        <f>VLOOKUP(A235,Registry!$A$4:$AA$241,2,FALSE)</f>
        <v>Frazers Mobile Home Park, LLC</v>
      </c>
      <c r="C235" s="40" t="str">
        <f>VLOOKUP(A235,Registry!$A$4:$AA$241,3,FALSE)</f>
        <v>Windsor</v>
      </c>
      <c r="D235" s="40" t="str">
        <f>VLOOKUP(A235,Registry!$A$4:$AA$241,4,FALSE)</f>
        <v>Weathersfield</v>
      </c>
      <c r="E235" s="40">
        <f>VLOOKUP(A235,Registry!$A$4:$AA$241,7,FALSE)</f>
        <v>1969</v>
      </c>
      <c r="F235" s="80" t="str">
        <f>IF(VLOOKUP(A235,Registry!$A$4:$AA$241,20,FALSE)=0,"",VLOOKUP(A235,Registry!$A$4:$AA$241,20,FALSE))</f>
        <v>For profit</v>
      </c>
      <c r="G235" s="40">
        <f>VLOOKUP(A235,Registry!$A$4:$AA$241,21,FALSE)</f>
        <v>14</v>
      </c>
      <c r="H235" s="110" t="s">
        <v>824</v>
      </c>
      <c r="I235" s="37"/>
      <c r="J235" s="37" t="s">
        <v>833</v>
      </c>
      <c r="K235" s="37"/>
      <c r="L235" s="37"/>
      <c r="M235" s="37"/>
      <c r="N235" s="37">
        <f>SUM(Table2[[#This Row],[Maximum Contamination Violations]:[Treatment Violations]])</f>
        <v>0</v>
      </c>
      <c r="O235" s="37" t="s">
        <v>834</v>
      </c>
      <c r="P235" s="37"/>
      <c r="Q235" s="37"/>
    </row>
    <row r="236" spans="1:17" x14ac:dyDescent="0.25">
      <c r="A236" s="38">
        <v>23</v>
      </c>
      <c r="B236" s="40" t="str">
        <f>VLOOKUP(A236,Registry!$A$4:$AA$241,2,FALSE)</f>
        <v>Markwell Mobile Home Park</v>
      </c>
      <c r="C236" s="40" t="str">
        <f>VLOOKUP(A236,Registry!$A$4:$AA$241,3,FALSE)</f>
        <v>Windsor</v>
      </c>
      <c r="D236" s="40" t="str">
        <f>VLOOKUP(A236,Registry!$A$4:$AA$241,4,FALSE)</f>
        <v>Weathersfield</v>
      </c>
      <c r="E236" s="40">
        <f>VLOOKUP(A236,Registry!$A$4:$AA$241,7,FALSE)</f>
        <v>1967</v>
      </c>
      <c r="F236" s="80" t="str">
        <f>IF(VLOOKUP(A236,Registry!$A$4:$AA$241,20,FALSE)=0,"",VLOOKUP(A236,Registry!$A$4:$AA$241,20,FALSE))</f>
        <v>For profit</v>
      </c>
      <c r="G236" s="40">
        <f>VLOOKUP(A236,Registry!$A$4:$AA$241,21,FALSE)</f>
        <v>8</v>
      </c>
      <c r="H236" s="137" t="s">
        <v>1256</v>
      </c>
      <c r="I236" s="37"/>
      <c r="J236" s="37" t="s">
        <v>839</v>
      </c>
      <c r="K236" s="37"/>
      <c r="L236" s="37"/>
      <c r="M236" s="37"/>
      <c r="N236" s="37">
        <f>SUM(Table2[[#This Row],[Maximum Contamination Violations]:[Treatment Violations]])</f>
        <v>0</v>
      </c>
      <c r="O236" s="37" t="s">
        <v>834</v>
      </c>
      <c r="P236" s="37" t="s">
        <v>1258</v>
      </c>
      <c r="Q236" s="37"/>
    </row>
    <row r="237" spans="1:17" x14ac:dyDescent="0.25">
      <c r="A237" s="38">
        <v>11</v>
      </c>
      <c r="B237" s="40" t="str">
        <f>VLOOKUP(A237,Registry!$A$4:$AA$241,2,FALSE)</f>
        <v>Mountain View Trailer Park</v>
      </c>
      <c r="C237" s="40" t="str">
        <f>VLOOKUP(A237,Registry!$A$4:$AA$241,3,FALSE)</f>
        <v>Windsor</v>
      </c>
      <c r="D237" s="40" t="str">
        <f>VLOOKUP(A237,Registry!$A$4:$AA$241,4,FALSE)</f>
        <v>Weathersfield</v>
      </c>
      <c r="E237" s="40">
        <f>VLOOKUP(A237,Registry!$A$4:$AA$241,7,FALSE)</f>
        <v>1972</v>
      </c>
      <c r="F237" s="80" t="str">
        <f>IF(VLOOKUP(A237,Registry!$A$4:$AA$241,20,FALSE)=0,"",VLOOKUP(A237,Registry!$A$4:$AA$241,20,FALSE))</f>
        <v>For profit</v>
      </c>
      <c r="G237" s="40">
        <f>VLOOKUP(A237,Registry!$A$4:$AA$241,21,FALSE)</f>
        <v>8</v>
      </c>
      <c r="H237" s="137" t="s">
        <v>1256</v>
      </c>
      <c r="I237" s="37"/>
      <c r="J237" s="37" t="s">
        <v>832</v>
      </c>
      <c r="K237" s="37"/>
      <c r="L237" s="37"/>
      <c r="M237" s="37"/>
      <c r="N237" s="37">
        <f>SUM(Table2[[#This Row],[Maximum Contamination Violations]:[Treatment Violations]])</f>
        <v>0</v>
      </c>
      <c r="O237" s="37"/>
      <c r="P237" s="37"/>
      <c r="Q237" s="37"/>
    </row>
    <row r="238" spans="1:17" x14ac:dyDescent="0.25">
      <c r="A238" s="38">
        <v>145</v>
      </c>
      <c r="B238" s="40" t="str">
        <f>VLOOKUP(A238,Registry!$A$4:$AA$241,2,FALSE)</f>
        <v>Windy Hill Acres</v>
      </c>
      <c r="C238" s="40" t="str">
        <f>VLOOKUP(A238,Registry!$A$4:$AA$241,3,FALSE)</f>
        <v>Windsor</v>
      </c>
      <c r="D238" s="40" t="str">
        <f>VLOOKUP(A238,Registry!$A$4:$AA$241,4,FALSE)</f>
        <v>Weathersfield</v>
      </c>
      <c r="E238" s="40">
        <f>VLOOKUP(A238,Registry!$A$4:$AA$241,7,FALSE)</f>
        <v>0</v>
      </c>
      <c r="F238" s="80" t="str">
        <f>IF(VLOOKUP(A238,Registry!$A$4:$AA$241,20,FALSE)=0,"",VLOOKUP(A238,Registry!$A$4:$AA$241,20,FALSE))</f>
        <v>Non-profit</v>
      </c>
      <c r="G238" s="40">
        <f>VLOOKUP(A238,Registry!$A$4:$AA$241,21,FALSE)</f>
        <v>74</v>
      </c>
      <c r="H238" s="110" t="s">
        <v>830</v>
      </c>
      <c r="I238" s="37">
        <v>5399</v>
      </c>
      <c r="J238" s="37" t="s">
        <v>902</v>
      </c>
      <c r="K238" s="37"/>
      <c r="L238" s="37"/>
      <c r="M238" s="37"/>
      <c r="N238" s="37">
        <f>SUM(Table2[[#This Row],[Maximum Contamination Violations]:[Treatment Violations]])</f>
        <v>0</v>
      </c>
      <c r="O238" s="44" t="s">
        <v>823</v>
      </c>
      <c r="P238" s="37" t="s">
        <v>1353</v>
      </c>
      <c r="Q238" s="37"/>
    </row>
    <row r="239" spans="1:17" x14ac:dyDescent="0.25">
      <c r="A239" s="38">
        <v>204</v>
      </c>
      <c r="B239" s="40" t="str">
        <f>VLOOKUP(A239,Registry!$A$4:$AA$241,2,FALSE)</f>
        <v>Bunker Hill Community Co-op</v>
      </c>
      <c r="C239" s="40" t="str">
        <f>VLOOKUP(A239,Registry!$A$4:$AA$241,3,FALSE)</f>
        <v>Windsor</v>
      </c>
      <c r="D239" s="40" t="str">
        <f>VLOOKUP(A239,Registry!$A$4:$AA$241,4,FALSE)</f>
        <v>Windsor</v>
      </c>
      <c r="E239" s="40">
        <f>VLOOKUP(A239,Registry!$A$4:$AA$241,7,FALSE)</f>
        <v>1963</v>
      </c>
      <c r="F239" s="40" t="str">
        <f>IF(VLOOKUP(A239,Registry!$A$4:$AA$241,20,FALSE)=0,"",VLOOKUP(A239,Registry!$A$4:$AA$241,20,FALSE))</f>
        <v>Cooperative</v>
      </c>
      <c r="G239" s="40">
        <f>VLOOKUP(A239,Registry!$A$4:$AA$241,21,FALSE)</f>
        <v>14</v>
      </c>
      <c r="H239" s="110" t="s">
        <v>824</v>
      </c>
      <c r="I239" s="37"/>
      <c r="J239" s="37" t="s">
        <v>1466</v>
      </c>
      <c r="K239" s="37"/>
      <c r="L239" s="37"/>
      <c r="M239" s="37"/>
      <c r="N239" s="37">
        <f>SUM(Table2[[#This Row],[Maximum Contamination Violations]:[Treatment Violations]])</f>
        <v>0</v>
      </c>
      <c r="O239" s="37" t="s">
        <v>824</v>
      </c>
      <c r="P239" s="37"/>
      <c r="Q239" s="37"/>
    </row>
    <row r="240" spans="1:17" x14ac:dyDescent="0.25">
      <c r="A240" s="38">
        <v>122</v>
      </c>
      <c r="B240" s="40" t="str">
        <f>VLOOKUP(A240,Registry!$A$4:$AA$241,2,FALSE)</f>
        <v>Mt Ascutney Mobile Home Park</v>
      </c>
      <c r="C240" s="40" t="str">
        <f>VLOOKUP(A240,Registry!$A$4:$AA$241,3,FALSE)</f>
        <v>Windsor</v>
      </c>
      <c r="D240" s="40" t="str">
        <f>VLOOKUP(A240,Registry!$A$4:$AA$241,4,FALSE)</f>
        <v>Windsor</v>
      </c>
      <c r="E240" s="40">
        <f>VLOOKUP(A240,Registry!$A$4:$AA$241,7,FALSE)</f>
        <v>1957</v>
      </c>
      <c r="F240" s="40" t="str">
        <f>IF(VLOOKUP(A240,Registry!$A$4:$AA$241,20,FALSE)=0,"",VLOOKUP(A240,Registry!$A$4:$AA$241,20,FALSE))</f>
        <v>For profit</v>
      </c>
      <c r="G240" s="40">
        <f>VLOOKUP(A240,Registry!$A$4:$AA$241,21,FALSE)</f>
        <v>16</v>
      </c>
      <c r="H240" s="110" t="s">
        <v>830</v>
      </c>
      <c r="I240" s="37">
        <v>5342</v>
      </c>
      <c r="J240" s="37" t="s">
        <v>832</v>
      </c>
      <c r="K240" s="37">
        <v>1</v>
      </c>
      <c r="L240" s="37">
        <v>1</v>
      </c>
      <c r="M240" s="37">
        <v>0</v>
      </c>
      <c r="N240" s="37">
        <f>SUM(Table2[[#This Row],[Maximum Contamination Violations]:[Treatment Violations]])</f>
        <v>2</v>
      </c>
      <c r="O240" s="44" t="s">
        <v>836</v>
      </c>
      <c r="P240" s="37" t="s">
        <v>1382</v>
      </c>
      <c r="Q240" s="37"/>
    </row>
    <row r="241" spans="1:17" x14ac:dyDescent="0.25">
      <c r="A241" s="38">
        <v>143</v>
      </c>
      <c r="B241" s="40" t="str">
        <f>VLOOKUP(A241,Registry!$A$4:$AA$241,2,FALSE)</f>
        <v>Riverside Mobile Home Park</v>
      </c>
      <c r="C241" s="40" t="str">
        <f>VLOOKUP(A241,Registry!$A$4:$AA$241,3,FALSE)</f>
        <v>Windsor</v>
      </c>
      <c r="D241" s="40" t="str">
        <f>VLOOKUP(A241,Registry!$A$4:$AA$241,4,FALSE)</f>
        <v>Woodstock</v>
      </c>
      <c r="E241" s="40">
        <f>VLOOKUP(A241,Registry!$A$4:$AA$241,7,FALSE)</f>
        <v>0</v>
      </c>
      <c r="F241" s="40" t="str">
        <f>IF(VLOOKUP(A241,Registry!$A$4:$AA$241,20,FALSE)=0,"",VLOOKUP(A241,Registry!$A$4:$AA$241,20,FALSE))</f>
        <v>Non-profit</v>
      </c>
      <c r="G241" s="40">
        <f>VLOOKUP(A241,Registry!$A$4:$AA$241,21,FALSE)</f>
        <v>40</v>
      </c>
      <c r="H241" s="110" t="s">
        <v>824</v>
      </c>
      <c r="I241" s="37">
        <v>5406</v>
      </c>
      <c r="J241" s="37" t="s">
        <v>1469</v>
      </c>
      <c r="K241" s="37"/>
      <c r="L241" s="37"/>
      <c r="M241" s="37"/>
      <c r="N241" s="37">
        <f>SUM(Table2[[#This Row],[Maximum Contamination Violations]:[Treatment Violations]])</f>
        <v>0</v>
      </c>
      <c r="O241" s="44" t="s">
        <v>823</v>
      </c>
      <c r="P241" s="37" t="s">
        <v>1223</v>
      </c>
      <c r="Q241" s="37"/>
    </row>
  </sheetData>
  <mergeCells count="1">
    <mergeCell ref="K2:N2"/>
  </mergeCells>
  <pageMargins left="0.7" right="0.7" top="0.75" bottom="0.75" header="0.3" footer="0.3"/>
  <pageSetup orientation="portrait" horizontalDpi="4294967292" verticalDpi="4294967292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71"/>
  <sheetViews>
    <sheetView topLeftCell="A2" workbookViewId="0">
      <selection activeCell="A3" sqref="A3"/>
    </sheetView>
  </sheetViews>
  <sheetFormatPr defaultColWidth="8.85546875" defaultRowHeight="15" x14ac:dyDescent="0.25"/>
  <cols>
    <col min="1" max="1" width="9.42578125" style="13" customWidth="1"/>
    <col min="2" max="2" width="30.28515625" style="7" bestFit="1" customWidth="1"/>
    <col min="3" max="3" width="11.85546875" style="7" bestFit="1" customWidth="1"/>
    <col min="4" max="4" width="13" style="7" customWidth="1"/>
    <col min="5" max="5" width="15.7109375" style="13" customWidth="1"/>
    <col min="6" max="6" width="22.140625" style="13" customWidth="1"/>
    <col min="7" max="7" width="17.42578125" style="13" customWidth="1"/>
    <col min="8" max="8" width="22.42578125" style="13" customWidth="1"/>
    <col min="9" max="9" width="19.5703125" style="13" bestFit="1" customWidth="1"/>
    <col min="10" max="10" width="9.7109375" style="7" customWidth="1"/>
    <col min="11" max="22" width="10.7109375" style="13" customWidth="1"/>
    <col min="23" max="23" width="15.42578125" style="30" customWidth="1"/>
  </cols>
  <sheetData>
    <row r="1" spans="1:23" ht="18.75" x14ac:dyDescent="0.3">
      <c r="A1" s="6" t="s">
        <v>950</v>
      </c>
      <c r="C1" s="22"/>
      <c r="D1" s="22"/>
      <c r="E1" s="27"/>
      <c r="F1" s="27"/>
      <c r="G1" s="27"/>
      <c r="H1" s="27"/>
      <c r="J1" s="29"/>
      <c r="K1" s="30"/>
      <c r="L1" s="30"/>
      <c r="O1" s="30"/>
      <c r="P1" s="30"/>
      <c r="Q1" s="30"/>
      <c r="R1" s="31"/>
      <c r="S1" s="32"/>
      <c r="T1" s="30"/>
      <c r="U1" s="30"/>
    </row>
    <row r="2" spans="1:23" x14ac:dyDescent="0.25">
      <c r="B2" s="23"/>
      <c r="C2" s="23"/>
      <c r="D2" s="23"/>
      <c r="K2" s="219" t="s">
        <v>951</v>
      </c>
      <c r="L2" s="220"/>
      <c r="M2" s="220"/>
      <c r="N2" s="221"/>
      <c r="O2" s="222" t="s">
        <v>952</v>
      </c>
      <c r="P2" s="223"/>
      <c r="Q2" s="223"/>
      <c r="R2" s="223"/>
      <c r="S2" s="223"/>
      <c r="T2" s="223"/>
      <c r="U2" s="223"/>
      <c r="V2" s="224"/>
    </row>
    <row r="3" spans="1:23" ht="30" x14ac:dyDescent="0.25">
      <c r="A3" s="14" t="s">
        <v>812</v>
      </c>
      <c r="B3" s="14" t="s">
        <v>953</v>
      </c>
      <c r="C3" s="14" t="s">
        <v>1</v>
      </c>
      <c r="D3" s="14" t="s">
        <v>814</v>
      </c>
      <c r="E3" s="14" t="s">
        <v>954</v>
      </c>
      <c r="F3" s="14" t="s">
        <v>955</v>
      </c>
      <c r="G3" s="14" t="s">
        <v>956</v>
      </c>
      <c r="H3" s="14" t="s">
        <v>957</v>
      </c>
      <c r="I3" s="14" t="s">
        <v>958</v>
      </c>
      <c r="J3" s="109" t="s">
        <v>959</v>
      </c>
      <c r="K3" s="15" t="s">
        <v>960</v>
      </c>
      <c r="L3" s="16" t="s">
        <v>961</v>
      </c>
      <c r="M3" s="17" t="s">
        <v>962</v>
      </c>
      <c r="N3" s="18" t="s">
        <v>981</v>
      </c>
      <c r="O3" s="19" t="s">
        <v>963</v>
      </c>
      <c r="P3" s="20" t="s">
        <v>982</v>
      </c>
      <c r="Q3" s="20" t="s">
        <v>964</v>
      </c>
      <c r="R3" s="20" t="s">
        <v>983</v>
      </c>
      <c r="S3" s="20" t="s">
        <v>965</v>
      </c>
      <c r="T3" s="20" t="s">
        <v>984</v>
      </c>
      <c r="U3" s="20" t="s">
        <v>966</v>
      </c>
      <c r="V3" s="21" t="s">
        <v>985</v>
      </c>
      <c r="W3" s="20" t="s">
        <v>1209</v>
      </c>
    </row>
    <row r="4" spans="1:23" x14ac:dyDescent="0.25">
      <c r="A4" s="102">
        <v>97</v>
      </c>
      <c r="B4" s="101" t="str">
        <f>VLOOKUP(A4,Registry!$A$4:$AA$241,2,FALSE)</f>
        <v>Blaises Riverside Rentals, LLC</v>
      </c>
      <c r="C4" s="24" t="str">
        <f>VLOOKUP(A4,Registry!$A$4:$AA$241,3,FALSE)</f>
        <v>Addison</v>
      </c>
      <c r="D4" s="24" t="str">
        <f>VLOOKUP(A4,Registry!$A$4:$AA$241,4,FALSE)</f>
        <v>Bristol</v>
      </c>
      <c r="E4" s="111" t="s">
        <v>972</v>
      </c>
      <c r="F4" s="111" t="s">
        <v>971</v>
      </c>
      <c r="G4" s="111" t="s">
        <v>1018</v>
      </c>
      <c r="H4" s="111" t="s">
        <v>971</v>
      </c>
      <c r="I4" s="28" t="s">
        <v>975</v>
      </c>
      <c r="J4" s="24">
        <f>VLOOKUP(A4,Registry!$A$4:$AA$241,21,FALSE)</f>
        <v>9</v>
      </c>
      <c r="K4" s="28"/>
      <c r="L4" s="104"/>
      <c r="M4" s="105">
        <v>5</v>
      </c>
      <c r="N4" s="104">
        <f t="shared" ref="N4:N35" si="0">M4/J4</f>
        <v>0.55555555555555558</v>
      </c>
      <c r="O4" s="35">
        <v>0</v>
      </c>
      <c r="P4" s="104">
        <f t="shared" ref="P4:P35" si="1">IF(O4/J4&gt;1,1,O4/J4)</f>
        <v>0</v>
      </c>
      <c r="Q4" s="35">
        <v>1</v>
      </c>
      <c r="R4" s="104">
        <f t="shared" ref="R4:R35" si="2">IF(Q4/J4&gt;1,1,Q4/J4)</f>
        <v>0.1111111111111111</v>
      </c>
      <c r="S4" s="35">
        <v>0</v>
      </c>
      <c r="T4" s="104">
        <f t="shared" ref="T4:T35" si="3">IF(S4/J4&gt;1,1,S4/J4)</f>
        <v>0</v>
      </c>
      <c r="U4" s="35">
        <f t="shared" ref="U4:U35" si="4">SUM(O4+Q4+S4)</f>
        <v>1</v>
      </c>
      <c r="V4" s="108">
        <f t="shared" ref="V4:V35" si="5">IF(U4/J4&gt;1,1,U4/J4)</f>
        <v>0.1111111111111111</v>
      </c>
      <c r="W4" s="34" t="s">
        <v>972</v>
      </c>
    </row>
    <row r="5" spans="1:23" x14ac:dyDescent="0.25">
      <c r="A5" s="102">
        <v>114</v>
      </c>
      <c r="B5" s="101" t="str">
        <f>VLOOKUP(A5,Registry!$A$4:$AA$241,2,FALSE)</f>
        <v>Brookside Mobile Home Park</v>
      </c>
      <c r="C5" s="24" t="str">
        <f>VLOOKUP(A5,Registry!$A$4:$AA$241,3,FALSE)</f>
        <v>Addison</v>
      </c>
      <c r="D5" s="24" t="str">
        <f>VLOOKUP(A5,Registry!$A$4:$AA$241,4,FALSE)</f>
        <v>Starksboro</v>
      </c>
      <c r="E5" s="28" t="s">
        <v>972</v>
      </c>
      <c r="F5" s="28" t="s">
        <v>976</v>
      </c>
      <c r="G5" s="28" t="s">
        <v>1018</v>
      </c>
      <c r="H5" s="28" t="s">
        <v>971</v>
      </c>
      <c r="I5" s="28" t="s">
        <v>975</v>
      </c>
      <c r="J5" s="24">
        <f>VLOOKUP(A5,Registry!$A$4:$AA$241,21,FALSE)</f>
        <v>48</v>
      </c>
      <c r="K5" s="28"/>
      <c r="L5" s="104"/>
      <c r="M5" s="105">
        <v>0</v>
      </c>
      <c r="N5" s="104">
        <f t="shared" si="0"/>
        <v>0</v>
      </c>
      <c r="O5" s="35">
        <v>0</v>
      </c>
      <c r="P5" s="104">
        <f t="shared" si="1"/>
        <v>0</v>
      </c>
      <c r="Q5" s="35">
        <v>0</v>
      </c>
      <c r="R5" s="104">
        <f t="shared" si="2"/>
        <v>0</v>
      </c>
      <c r="S5" s="35">
        <v>0</v>
      </c>
      <c r="T5" s="104">
        <f t="shared" si="3"/>
        <v>0</v>
      </c>
      <c r="U5" s="35">
        <f t="shared" si="4"/>
        <v>0</v>
      </c>
      <c r="V5" s="108">
        <f t="shared" si="5"/>
        <v>0</v>
      </c>
      <c r="W5" s="34" t="s">
        <v>972</v>
      </c>
    </row>
    <row r="6" spans="1:23" x14ac:dyDescent="0.25">
      <c r="A6" s="102">
        <v>217</v>
      </c>
      <c r="B6" s="101" t="str">
        <f>VLOOKUP(A6,Registry!$A$4:$AA$241,2,FALSE)</f>
        <v>Hillside Manor Park</v>
      </c>
      <c r="C6" s="24" t="str">
        <f>VLOOKUP(A6,Registry!$A$4:$AA$241,3,FALSE)</f>
        <v>Addison</v>
      </c>
      <c r="D6" s="24" t="str">
        <f>VLOOKUP(A6,Registry!$A$4:$AA$241,4,FALSE)</f>
        <v>Starksboro</v>
      </c>
      <c r="E6" s="28" t="s">
        <v>972</v>
      </c>
      <c r="F6" s="28" t="s">
        <v>971</v>
      </c>
      <c r="G6" s="28" t="s">
        <v>1018</v>
      </c>
      <c r="H6" s="28" t="s">
        <v>971</v>
      </c>
      <c r="I6" s="28" t="s">
        <v>975</v>
      </c>
      <c r="J6" s="24">
        <f>VLOOKUP(A6,Registry!$A$4:$AA$241,21,FALSE)</f>
        <v>29</v>
      </c>
      <c r="K6" s="28"/>
      <c r="L6" s="104"/>
      <c r="M6" s="105">
        <v>7</v>
      </c>
      <c r="N6" s="104">
        <f t="shared" si="0"/>
        <v>0.2413793103448276</v>
      </c>
      <c r="O6" s="35">
        <v>0</v>
      </c>
      <c r="P6" s="104">
        <f t="shared" si="1"/>
        <v>0</v>
      </c>
      <c r="Q6" s="35">
        <v>2</v>
      </c>
      <c r="R6" s="104">
        <f t="shared" si="2"/>
        <v>6.8965517241379309E-2</v>
      </c>
      <c r="S6" s="35">
        <v>0</v>
      </c>
      <c r="T6" s="104">
        <f t="shared" si="3"/>
        <v>0</v>
      </c>
      <c r="U6" s="35">
        <f t="shared" si="4"/>
        <v>2</v>
      </c>
      <c r="V6" s="108">
        <f t="shared" si="5"/>
        <v>6.8965517241379309E-2</v>
      </c>
      <c r="W6" s="34" t="s">
        <v>972</v>
      </c>
    </row>
    <row r="7" spans="1:23" x14ac:dyDescent="0.25">
      <c r="A7" s="102">
        <v>218</v>
      </c>
      <c r="B7" s="101" t="str">
        <f>VLOOKUP(A7,Registry!$A$4:$AA$241,2,FALSE)</f>
        <v>Lazy Brook Park</v>
      </c>
      <c r="C7" s="24" t="str">
        <f>VLOOKUP(A7,Registry!$A$4:$AA$241,3,FALSE)</f>
        <v>Addison</v>
      </c>
      <c r="D7" s="24" t="str">
        <f>VLOOKUP(A7,Registry!$A$4:$AA$241,4,FALSE)</f>
        <v>Starksboro</v>
      </c>
      <c r="E7" s="28" t="s">
        <v>972</v>
      </c>
      <c r="F7" s="28" t="s">
        <v>971</v>
      </c>
      <c r="G7" s="28" t="s">
        <v>1018</v>
      </c>
      <c r="H7" s="28" t="s">
        <v>971</v>
      </c>
      <c r="I7" s="28" t="s">
        <v>975</v>
      </c>
      <c r="J7" s="24">
        <f>VLOOKUP(A7,Registry!$A$4:$AA$241,21,FALSE)</f>
        <v>51</v>
      </c>
      <c r="K7" s="28"/>
      <c r="L7" s="104"/>
      <c r="M7" s="105">
        <v>18</v>
      </c>
      <c r="N7" s="104">
        <f t="shared" si="0"/>
        <v>0.35294117647058826</v>
      </c>
      <c r="O7" s="35">
        <v>0</v>
      </c>
      <c r="P7" s="104">
        <f t="shared" si="1"/>
        <v>0</v>
      </c>
      <c r="Q7" s="35">
        <v>12</v>
      </c>
      <c r="R7" s="104">
        <f t="shared" si="2"/>
        <v>0.23529411764705882</v>
      </c>
      <c r="S7" s="35">
        <v>0</v>
      </c>
      <c r="T7" s="104">
        <f t="shared" si="3"/>
        <v>0</v>
      </c>
      <c r="U7" s="35">
        <f t="shared" si="4"/>
        <v>12</v>
      </c>
      <c r="V7" s="108">
        <f t="shared" si="5"/>
        <v>0.23529411764705882</v>
      </c>
      <c r="W7" s="34" t="s">
        <v>972</v>
      </c>
    </row>
    <row r="8" spans="1:23" x14ac:dyDescent="0.25">
      <c r="A8" s="102">
        <v>219</v>
      </c>
      <c r="B8" s="101" t="str">
        <f>VLOOKUP(A8,Registry!$A$4:$AA$241,2,FALSE)</f>
        <v>Otter Creek Park</v>
      </c>
      <c r="C8" s="24" t="str">
        <f>VLOOKUP(A8,Registry!$A$4:$AA$241,3,FALSE)</f>
        <v>Addison</v>
      </c>
      <c r="D8" s="24" t="str">
        <f>VLOOKUP(A8,Registry!$A$4:$AA$241,4,FALSE)</f>
        <v>Vergennes</v>
      </c>
      <c r="E8" s="28" t="s">
        <v>972</v>
      </c>
      <c r="F8" s="28" t="s">
        <v>976</v>
      </c>
      <c r="G8" s="28" t="s">
        <v>1018</v>
      </c>
      <c r="H8" s="28" t="s">
        <v>971</v>
      </c>
      <c r="I8" s="28" t="s">
        <v>975</v>
      </c>
      <c r="J8" s="24">
        <f>VLOOKUP(A8,Registry!$A$4:$AA$241,21,FALSE)</f>
        <v>73</v>
      </c>
      <c r="K8" s="28"/>
      <c r="L8" s="104"/>
      <c r="M8" s="105">
        <v>0</v>
      </c>
      <c r="N8" s="104">
        <f t="shared" si="0"/>
        <v>0</v>
      </c>
      <c r="O8" s="35">
        <v>0</v>
      </c>
      <c r="P8" s="104">
        <f t="shared" si="1"/>
        <v>0</v>
      </c>
      <c r="Q8" s="35">
        <v>0</v>
      </c>
      <c r="R8" s="104">
        <f t="shared" si="2"/>
        <v>0</v>
      </c>
      <c r="S8" s="35">
        <v>0</v>
      </c>
      <c r="T8" s="104">
        <f t="shared" si="3"/>
        <v>0</v>
      </c>
      <c r="U8" s="35">
        <f t="shared" si="4"/>
        <v>0</v>
      </c>
      <c r="V8" s="108">
        <f t="shared" si="5"/>
        <v>0</v>
      </c>
      <c r="W8" s="34" t="s">
        <v>972</v>
      </c>
    </row>
    <row r="9" spans="1:23" x14ac:dyDescent="0.25">
      <c r="A9" s="102">
        <v>206</v>
      </c>
      <c r="B9" s="101" t="str">
        <f>VLOOKUP(A9,Registry!$A$4:$AA$241,2,FALSE)</f>
        <v>Mears Mobile Home Park</v>
      </c>
      <c r="C9" s="24" t="str">
        <f>VLOOKUP(A9,Registry!$A$4:$AA$241,3,FALSE)</f>
        <v>Bennington</v>
      </c>
      <c r="D9" s="24" t="str">
        <f>VLOOKUP(A9,Registry!$A$4:$AA$241,4,FALSE)</f>
        <v>Arlington</v>
      </c>
      <c r="E9" s="28" t="s">
        <v>972</v>
      </c>
      <c r="F9" s="28" t="s">
        <v>971</v>
      </c>
      <c r="G9" s="28" t="s">
        <v>976</v>
      </c>
      <c r="H9" s="28" t="s">
        <v>963</v>
      </c>
      <c r="I9" s="28" t="s">
        <v>970</v>
      </c>
      <c r="J9" s="24">
        <f>VLOOKUP(A9,Registry!$A$4:$AA$241,21,FALSE)</f>
        <v>5</v>
      </c>
      <c r="K9" s="28">
        <v>0</v>
      </c>
      <c r="L9" s="104">
        <f>IF(K9/J9&gt;1,1,K9/J9)</f>
        <v>0</v>
      </c>
      <c r="M9" s="105">
        <v>0</v>
      </c>
      <c r="N9" s="104">
        <f t="shared" si="0"/>
        <v>0</v>
      </c>
      <c r="O9" s="35">
        <v>0</v>
      </c>
      <c r="P9" s="104">
        <f t="shared" si="1"/>
        <v>0</v>
      </c>
      <c r="Q9" s="35">
        <v>4</v>
      </c>
      <c r="R9" s="104">
        <f t="shared" si="2"/>
        <v>0.8</v>
      </c>
      <c r="S9" s="35">
        <v>0</v>
      </c>
      <c r="T9" s="104">
        <f t="shared" si="3"/>
        <v>0</v>
      </c>
      <c r="U9" s="35">
        <f t="shared" si="4"/>
        <v>4</v>
      </c>
      <c r="V9" s="108">
        <f t="shared" si="5"/>
        <v>0.8</v>
      </c>
      <c r="W9" s="34" t="s">
        <v>972</v>
      </c>
    </row>
    <row r="10" spans="1:23" x14ac:dyDescent="0.25">
      <c r="A10" s="102">
        <v>3</v>
      </c>
      <c r="B10" s="101" t="str">
        <f>VLOOKUP(A10,Registry!$A$4:$AA$241,2,FALSE)</f>
        <v>Catamount Mobile Home Park</v>
      </c>
      <c r="C10" s="24" t="str">
        <f>VLOOKUP(A10,Registry!$A$4:$AA$241,3,FALSE)</f>
        <v>Bennington</v>
      </c>
      <c r="D10" s="24" t="str">
        <f>VLOOKUP(A10,Registry!$A$4:$AA$241,4,FALSE)</f>
        <v>Bennington</v>
      </c>
      <c r="E10" s="28" t="s">
        <v>972</v>
      </c>
      <c r="F10" s="28" t="s">
        <v>976</v>
      </c>
      <c r="G10" s="28" t="s">
        <v>1018</v>
      </c>
      <c r="H10" s="28" t="s">
        <v>971</v>
      </c>
      <c r="I10" s="28" t="s">
        <v>1210</v>
      </c>
      <c r="J10" s="24">
        <f>VLOOKUP(A10,Registry!$A$4:$AA$241,21,FALSE)</f>
        <v>36</v>
      </c>
      <c r="K10" s="28"/>
      <c r="L10" s="104"/>
      <c r="M10" s="105">
        <v>0</v>
      </c>
      <c r="N10" s="104">
        <f t="shared" si="0"/>
        <v>0</v>
      </c>
      <c r="O10" s="35">
        <v>0</v>
      </c>
      <c r="P10" s="104">
        <f t="shared" si="1"/>
        <v>0</v>
      </c>
      <c r="Q10" s="35">
        <v>0</v>
      </c>
      <c r="R10" s="104">
        <f t="shared" si="2"/>
        <v>0</v>
      </c>
      <c r="S10" s="35">
        <v>0</v>
      </c>
      <c r="T10" s="104">
        <f t="shared" si="3"/>
        <v>0</v>
      </c>
      <c r="U10" s="35">
        <f t="shared" si="4"/>
        <v>0</v>
      </c>
      <c r="V10" s="108">
        <f t="shared" si="5"/>
        <v>0</v>
      </c>
      <c r="W10" s="34" t="s">
        <v>972</v>
      </c>
    </row>
    <row r="11" spans="1:23" x14ac:dyDescent="0.25">
      <c r="A11" s="102">
        <v>311</v>
      </c>
      <c r="B11" s="101" t="str">
        <f>VLOOKUP(A11,Registry!$A$4:$AA$241,2,FALSE)</f>
        <v>Smith's Way</v>
      </c>
      <c r="C11" s="24" t="str">
        <f>VLOOKUP(A11,Registry!$A$4:$AA$241,3,FALSE)</f>
        <v>Bennington</v>
      </c>
      <c r="D11" s="24" t="str">
        <f>VLOOKUP(A11,Registry!$A$4:$AA$241,4,FALSE)</f>
        <v>Bennington</v>
      </c>
      <c r="E11" s="28" t="s">
        <v>972</v>
      </c>
      <c r="F11" s="28" t="s">
        <v>971</v>
      </c>
      <c r="G11" s="28" t="s">
        <v>968</v>
      </c>
      <c r="H11" s="28" t="s">
        <v>971</v>
      </c>
      <c r="I11" s="28" t="s">
        <v>969</v>
      </c>
      <c r="J11" s="24">
        <f>VLOOKUP(A11,Registry!$A$4:$AA$241,21,FALSE)</f>
        <v>3</v>
      </c>
      <c r="K11" s="28">
        <v>4</v>
      </c>
      <c r="L11" s="104">
        <f>IF(K11/J11&gt;1,1,K11/J11)</f>
        <v>1</v>
      </c>
      <c r="M11" s="105">
        <v>1</v>
      </c>
      <c r="N11" s="104">
        <f t="shared" si="0"/>
        <v>0.33333333333333331</v>
      </c>
      <c r="O11" s="35">
        <v>0</v>
      </c>
      <c r="P11" s="104">
        <f t="shared" si="1"/>
        <v>0</v>
      </c>
      <c r="Q11" s="35">
        <v>4</v>
      </c>
      <c r="R11" s="104">
        <f t="shared" si="2"/>
        <v>1</v>
      </c>
      <c r="S11" s="35">
        <v>0</v>
      </c>
      <c r="T11" s="104">
        <f t="shared" si="3"/>
        <v>0</v>
      </c>
      <c r="U11" s="35">
        <f t="shared" si="4"/>
        <v>4</v>
      </c>
      <c r="V11" s="108">
        <f t="shared" si="5"/>
        <v>1</v>
      </c>
      <c r="W11" s="34" t="s">
        <v>972</v>
      </c>
    </row>
    <row r="12" spans="1:23" x14ac:dyDescent="0.25">
      <c r="A12" s="102">
        <v>151</v>
      </c>
      <c r="B12" s="101" t="str">
        <f>VLOOKUP(A12,Registry!$A$4:$AA$241,2,FALSE)</f>
        <v>White Birches Mobile Home Park</v>
      </c>
      <c r="C12" s="24" t="str">
        <f>VLOOKUP(A12,Registry!$A$4:$AA$241,3,FALSE)</f>
        <v>Bennington</v>
      </c>
      <c r="D12" s="24" t="str">
        <f>VLOOKUP(A12,Registry!$A$4:$AA$241,4,FALSE)</f>
        <v>Bennington</v>
      </c>
      <c r="E12" s="28" t="s">
        <v>972</v>
      </c>
      <c r="F12" s="28" t="s">
        <v>976</v>
      </c>
      <c r="G12" s="28" t="s">
        <v>1018</v>
      </c>
      <c r="H12" s="28" t="s">
        <v>971</v>
      </c>
      <c r="I12" s="28" t="s">
        <v>1210</v>
      </c>
      <c r="J12" s="24">
        <f>VLOOKUP(A12,Registry!$A$4:$AA$241,21,FALSE)</f>
        <v>52</v>
      </c>
      <c r="K12" s="28"/>
      <c r="L12" s="104"/>
      <c r="M12" s="105">
        <v>0</v>
      </c>
      <c r="N12" s="104">
        <f t="shared" si="0"/>
        <v>0</v>
      </c>
      <c r="O12" s="35">
        <v>0</v>
      </c>
      <c r="P12" s="104">
        <f t="shared" si="1"/>
        <v>0</v>
      </c>
      <c r="Q12" s="35">
        <v>0</v>
      </c>
      <c r="R12" s="104">
        <f t="shared" si="2"/>
        <v>0</v>
      </c>
      <c r="S12" s="35">
        <v>0</v>
      </c>
      <c r="T12" s="104">
        <f t="shared" si="3"/>
        <v>0</v>
      </c>
      <c r="U12" s="35">
        <f t="shared" si="4"/>
        <v>0</v>
      </c>
      <c r="V12" s="108">
        <f t="shared" si="5"/>
        <v>0</v>
      </c>
      <c r="W12" s="34" t="s">
        <v>972</v>
      </c>
    </row>
    <row r="13" spans="1:23" x14ac:dyDescent="0.25">
      <c r="A13" s="102">
        <v>233</v>
      </c>
      <c r="B13" s="101" t="str">
        <f>VLOOKUP(A13,Registry!$A$4:$AA$241,2,FALSE)</f>
        <v>Willows Mobile Home Park</v>
      </c>
      <c r="C13" s="24" t="str">
        <f>VLOOKUP(A13,Registry!$A$4:$AA$241,3,FALSE)</f>
        <v>Bennington</v>
      </c>
      <c r="D13" s="24" t="str">
        <f>VLOOKUP(A13,Registry!$A$4:$AA$241,4,FALSE)</f>
        <v>Bennington</v>
      </c>
      <c r="E13" s="28" t="s">
        <v>972</v>
      </c>
      <c r="F13" s="28" t="s">
        <v>978</v>
      </c>
      <c r="G13" s="28" t="s">
        <v>1018</v>
      </c>
      <c r="H13" s="28" t="s">
        <v>978</v>
      </c>
      <c r="I13" s="28" t="s">
        <v>1210</v>
      </c>
      <c r="J13" s="24">
        <f>VLOOKUP(A13,Registry!$A$4:$AA$241,21,FALSE)</f>
        <v>24</v>
      </c>
      <c r="K13" s="28"/>
      <c r="L13" s="104"/>
      <c r="M13" s="105">
        <v>3</v>
      </c>
      <c r="N13" s="104">
        <f t="shared" si="0"/>
        <v>0.125</v>
      </c>
      <c r="O13" s="35">
        <v>0</v>
      </c>
      <c r="P13" s="104">
        <f t="shared" si="1"/>
        <v>0</v>
      </c>
      <c r="Q13" s="35">
        <v>0</v>
      </c>
      <c r="R13" s="104">
        <f t="shared" si="2"/>
        <v>0</v>
      </c>
      <c r="S13" s="35">
        <v>24</v>
      </c>
      <c r="T13" s="104">
        <f t="shared" si="3"/>
        <v>1</v>
      </c>
      <c r="U13" s="35">
        <f t="shared" si="4"/>
        <v>24</v>
      </c>
      <c r="V13" s="108">
        <f t="shared" si="5"/>
        <v>1</v>
      </c>
      <c r="W13" s="34" t="s">
        <v>972</v>
      </c>
    </row>
    <row r="14" spans="1:23" x14ac:dyDescent="0.25">
      <c r="A14" s="174">
        <v>328</v>
      </c>
      <c r="B14" s="188" t="str">
        <f>VLOOKUP(A14,Registry!$A$4:$AA$241,2,FALSE)</f>
        <v>Dorr Mobile Home Park 2</v>
      </c>
      <c r="C14" s="175" t="str">
        <f>VLOOKUP(A14,Registry!$A$4:$AA$241,3,FALSE)</f>
        <v>Bennington</v>
      </c>
      <c r="D14" s="175" t="str">
        <f>VLOOKUP(A14,Registry!$A$4:$AA$241,4,FALSE)</f>
        <v>Manchester</v>
      </c>
      <c r="E14" s="176"/>
      <c r="F14" s="176"/>
      <c r="G14" s="176"/>
      <c r="H14" s="176"/>
      <c r="I14" s="176"/>
      <c r="J14" s="175">
        <f>VLOOKUP(A14,Registry!$A$4:$AA$241,21,FALSE)</f>
        <v>25</v>
      </c>
      <c r="K14" s="176"/>
      <c r="L14" s="177"/>
      <c r="M14" s="178"/>
      <c r="N14" s="177">
        <f t="shared" si="0"/>
        <v>0</v>
      </c>
      <c r="O14" s="179"/>
      <c r="P14" s="177">
        <f t="shared" si="1"/>
        <v>0</v>
      </c>
      <c r="Q14" s="179"/>
      <c r="R14" s="177">
        <f t="shared" si="2"/>
        <v>0</v>
      </c>
      <c r="S14" s="179"/>
      <c r="T14" s="177">
        <f t="shared" si="3"/>
        <v>0</v>
      </c>
      <c r="U14" s="179">
        <f t="shared" si="4"/>
        <v>0</v>
      </c>
      <c r="V14" s="177">
        <f t="shared" si="5"/>
        <v>0</v>
      </c>
      <c r="W14" s="180"/>
    </row>
    <row r="15" spans="1:23" x14ac:dyDescent="0.25">
      <c r="A15" s="174">
        <v>329</v>
      </c>
      <c r="B15" s="188" t="str">
        <f>VLOOKUP(A15,Registry!$A$4:$AA$241,2,FALSE)</f>
        <v>Dorr Mobile Home Park 3</v>
      </c>
      <c r="C15" s="175" t="str">
        <f>VLOOKUP(A15,Registry!$A$4:$AA$241,3,FALSE)</f>
        <v>Bennington</v>
      </c>
      <c r="D15" s="175" t="str">
        <f>VLOOKUP(A15,Registry!$A$4:$AA$241,4,FALSE)</f>
        <v>Manchester</v>
      </c>
      <c r="E15" s="176"/>
      <c r="F15" s="176"/>
      <c r="G15" s="176"/>
      <c r="H15" s="176"/>
      <c r="I15" s="176"/>
      <c r="J15" s="175">
        <f>VLOOKUP(A15,Registry!$A$4:$AA$241,21,FALSE)</f>
        <v>4</v>
      </c>
      <c r="K15" s="176"/>
      <c r="L15" s="177"/>
      <c r="M15" s="178"/>
      <c r="N15" s="177">
        <f t="shared" si="0"/>
        <v>0</v>
      </c>
      <c r="O15" s="179"/>
      <c r="P15" s="177">
        <f t="shared" si="1"/>
        <v>0</v>
      </c>
      <c r="Q15" s="179"/>
      <c r="R15" s="177">
        <f t="shared" si="2"/>
        <v>0</v>
      </c>
      <c r="S15" s="179"/>
      <c r="T15" s="177">
        <f t="shared" si="3"/>
        <v>0</v>
      </c>
      <c r="U15" s="179">
        <f t="shared" si="4"/>
        <v>0</v>
      </c>
      <c r="V15" s="177">
        <f t="shared" si="5"/>
        <v>0</v>
      </c>
      <c r="W15" s="180"/>
    </row>
    <row r="16" spans="1:23" x14ac:dyDescent="0.25">
      <c r="A16" s="102">
        <v>54</v>
      </c>
      <c r="B16" s="101" t="str">
        <f>VLOOKUP(A16,Registry!$A$4:$AA$241,2,FALSE)</f>
        <v>Burdick and Burdick Trailer Park</v>
      </c>
      <c r="C16" s="24" t="str">
        <f>VLOOKUP(A16,Registry!$A$4:$AA$241,3,FALSE)</f>
        <v>Bennington</v>
      </c>
      <c r="D16" s="24" t="str">
        <f>VLOOKUP(A16,Registry!$A$4:$AA$241,4,FALSE)</f>
        <v>Pownal</v>
      </c>
      <c r="E16" s="28" t="s">
        <v>972</v>
      </c>
      <c r="F16" s="28" t="s">
        <v>971</v>
      </c>
      <c r="G16" s="28" t="s">
        <v>1018</v>
      </c>
      <c r="H16" s="28" t="s">
        <v>971</v>
      </c>
      <c r="I16" s="28" t="s">
        <v>1210</v>
      </c>
      <c r="J16" s="24">
        <f>VLOOKUP(A16,Registry!$A$4:$AA$241,21,FALSE)</f>
        <v>15</v>
      </c>
      <c r="K16" s="28"/>
      <c r="L16" s="104"/>
      <c r="M16" s="105">
        <v>1</v>
      </c>
      <c r="N16" s="104">
        <f t="shared" si="0"/>
        <v>6.6666666666666666E-2</v>
      </c>
      <c r="O16" s="35">
        <v>0</v>
      </c>
      <c r="P16" s="104">
        <f t="shared" si="1"/>
        <v>0</v>
      </c>
      <c r="Q16" s="35">
        <v>14</v>
      </c>
      <c r="R16" s="104">
        <f t="shared" si="2"/>
        <v>0.93333333333333335</v>
      </c>
      <c r="S16" s="35">
        <v>2</v>
      </c>
      <c r="T16" s="104">
        <f t="shared" si="3"/>
        <v>0.13333333333333333</v>
      </c>
      <c r="U16" s="35">
        <f t="shared" si="4"/>
        <v>16</v>
      </c>
      <c r="V16" s="108">
        <f t="shared" si="5"/>
        <v>1</v>
      </c>
      <c r="W16" s="34" t="s">
        <v>972</v>
      </c>
    </row>
    <row r="17" spans="1:23" x14ac:dyDescent="0.25">
      <c r="A17" s="102">
        <v>51</v>
      </c>
      <c r="B17" s="101" t="str">
        <f>VLOOKUP(A17,Registry!$A$4:$AA$241,2,FALSE)</f>
        <v>Cozy Meadow</v>
      </c>
      <c r="C17" s="24" t="str">
        <f>VLOOKUP(A17,Registry!$A$4:$AA$241,3,FALSE)</f>
        <v>Bennington</v>
      </c>
      <c r="D17" s="24" t="str">
        <f>VLOOKUP(A17,Registry!$A$4:$AA$241,4,FALSE)</f>
        <v>Pownal</v>
      </c>
      <c r="E17" s="28" t="s">
        <v>972</v>
      </c>
      <c r="F17" s="28" t="s">
        <v>971</v>
      </c>
      <c r="G17" s="28" t="s">
        <v>1018</v>
      </c>
      <c r="H17" s="28" t="s">
        <v>971</v>
      </c>
      <c r="I17" s="28" t="s">
        <v>1210</v>
      </c>
      <c r="J17" s="24">
        <f>VLOOKUP(A17,Registry!$A$4:$AA$241,21,FALSE)</f>
        <v>43</v>
      </c>
      <c r="K17" s="28"/>
      <c r="L17" s="104"/>
      <c r="M17" s="105">
        <v>0</v>
      </c>
      <c r="N17" s="104">
        <f t="shared" si="0"/>
        <v>0</v>
      </c>
      <c r="O17" s="35">
        <v>0</v>
      </c>
      <c r="P17" s="104">
        <f t="shared" si="1"/>
        <v>0</v>
      </c>
      <c r="Q17" s="35">
        <v>1</v>
      </c>
      <c r="R17" s="104">
        <f t="shared" si="2"/>
        <v>2.3255813953488372E-2</v>
      </c>
      <c r="S17" s="35">
        <v>0</v>
      </c>
      <c r="T17" s="104">
        <f t="shared" si="3"/>
        <v>0</v>
      </c>
      <c r="U17" s="35">
        <f t="shared" si="4"/>
        <v>1</v>
      </c>
      <c r="V17" s="108">
        <f t="shared" si="5"/>
        <v>2.3255813953488372E-2</v>
      </c>
      <c r="W17" s="34" t="s">
        <v>972</v>
      </c>
    </row>
    <row r="18" spans="1:23" x14ac:dyDescent="0.25">
      <c r="A18" s="102">
        <v>6</v>
      </c>
      <c r="B18" s="101" t="str">
        <f>VLOOKUP(A18,Registry!$A$4:$AA$241,2,FALSE)</f>
        <v>Green Mountain Mobile Home Park</v>
      </c>
      <c r="C18" s="24" t="str">
        <f>VLOOKUP(A18,Registry!$A$4:$AA$241,3,FALSE)</f>
        <v>Bennington</v>
      </c>
      <c r="D18" s="24" t="str">
        <f>VLOOKUP(A18,Registry!$A$4:$AA$241,4,FALSE)</f>
        <v>Pownal</v>
      </c>
      <c r="E18" s="28" t="s">
        <v>967</v>
      </c>
      <c r="F18" s="28" t="s">
        <v>971</v>
      </c>
      <c r="G18" s="28" t="s">
        <v>1018</v>
      </c>
      <c r="H18" s="28" t="s">
        <v>971</v>
      </c>
      <c r="I18" s="28" t="s">
        <v>1210</v>
      </c>
      <c r="J18" s="24">
        <f>VLOOKUP(A18,Registry!$A$4:$AA$241,21,FALSE)</f>
        <v>42</v>
      </c>
      <c r="K18" s="28"/>
      <c r="L18" s="104"/>
      <c r="M18" s="105">
        <v>0</v>
      </c>
      <c r="N18" s="104">
        <f t="shared" si="0"/>
        <v>0</v>
      </c>
      <c r="O18" s="35">
        <v>0</v>
      </c>
      <c r="P18" s="104">
        <f t="shared" si="1"/>
        <v>0</v>
      </c>
      <c r="Q18" s="35">
        <v>33</v>
      </c>
      <c r="R18" s="104">
        <f t="shared" si="2"/>
        <v>0.7857142857142857</v>
      </c>
      <c r="S18" s="35">
        <v>0</v>
      </c>
      <c r="T18" s="104">
        <f t="shared" si="3"/>
        <v>0</v>
      </c>
      <c r="U18" s="35">
        <f t="shared" si="4"/>
        <v>33</v>
      </c>
      <c r="V18" s="108">
        <f t="shared" si="5"/>
        <v>0.7857142857142857</v>
      </c>
      <c r="W18" s="34" t="s">
        <v>972</v>
      </c>
    </row>
    <row r="19" spans="1:23" x14ac:dyDescent="0.25">
      <c r="A19" s="102">
        <v>146</v>
      </c>
      <c r="B19" s="101" t="str">
        <f>VLOOKUP(A19,Registry!$A$4:$AA$241,2,FALSE)</f>
        <v>Pownal Estates MHP</v>
      </c>
      <c r="C19" s="24" t="str">
        <f>VLOOKUP(A19,Registry!$A$4:$AA$241,3,FALSE)</f>
        <v>Bennington</v>
      </c>
      <c r="D19" s="24" t="str">
        <f>VLOOKUP(A19,Registry!$A$4:$AA$241,4,FALSE)</f>
        <v>Pownal</v>
      </c>
      <c r="E19" s="28" t="s">
        <v>972</v>
      </c>
      <c r="F19" s="28" t="s">
        <v>971</v>
      </c>
      <c r="G19" s="28" t="s">
        <v>1018</v>
      </c>
      <c r="H19" s="28" t="s">
        <v>971</v>
      </c>
      <c r="I19" s="28" t="s">
        <v>1210</v>
      </c>
      <c r="J19" s="24">
        <f>VLOOKUP(A19,Registry!$A$4:$AA$241,21,FALSE)</f>
        <v>56</v>
      </c>
      <c r="K19" s="28"/>
      <c r="L19" s="104"/>
      <c r="M19" s="105">
        <v>0</v>
      </c>
      <c r="N19" s="104">
        <f t="shared" si="0"/>
        <v>0</v>
      </c>
      <c r="O19" s="35">
        <v>0</v>
      </c>
      <c r="P19" s="104">
        <f t="shared" si="1"/>
        <v>0</v>
      </c>
      <c r="Q19" s="35">
        <v>53</v>
      </c>
      <c r="R19" s="104">
        <f t="shared" si="2"/>
        <v>0.9464285714285714</v>
      </c>
      <c r="S19" s="35">
        <v>0</v>
      </c>
      <c r="T19" s="104">
        <f t="shared" si="3"/>
        <v>0</v>
      </c>
      <c r="U19" s="35">
        <f t="shared" si="4"/>
        <v>53</v>
      </c>
      <c r="V19" s="108">
        <f t="shared" si="5"/>
        <v>0.9464285714285714</v>
      </c>
      <c r="W19" s="34" t="s">
        <v>972</v>
      </c>
    </row>
    <row r="20" spans="1:23" x14ac:dyDescent="0.25">
      <c r="A20" s="102">
        <v>52</v>
      </c>
      <c r="B20" s="101" t="str">
        <f>VLOOKUP(A20,Registry!$A$4:$AA$241,2,FALSE)</f>
        <v>Royal Pine Villa Mobile Home Court</v>
      </c>
      <c r="C20" s="24" t="str">
        <f>VLOOKUP(A20,Registry!$A$4:$AA$241,3,FALSE)</f>
        <v>Bennington</v>
      </c>
      <c r="D20" s="24" t="str">
        <f>VLOOKUP(A20,Registry!$A$4:$AA$241,4,FALSE)</f>
        <v>Pownal</v>
      </c>
      <c r="E20" s="28" t="s">
        <v>972</v>
      </c>
      <c r="F20" s="28" t="s">
        <v>971</v>
      </c>
      <c r="G20" s="28" t="s">
        <v>1018</v>
      </c>
      <c r="H20" s="28" t="s">
        <v>971</v>
      </c>
      <c r="I20" s="28" t="s">
        <v>1210</v>
      </c>
      <c r="J20" s="24">
        <f>VLOOKUP(A20,Registry!$A$4:$AA$241,21,FALSE)</f>
        <v>36</v>
      </c>
      <c r="K20" s="28"/>
      <c r="L20" s="104"/>
      <c r="M20" s="105">
        <v>7</v>
      </c>
      <c r="N20" s="104">
        <f t="shared" si="0"/>
        <v>0.19444444444444445</v>
      </c>
      <c r="O20" s="35">
        <v>0</v>
      </c>
      <c r="P20" s="104">
        <f t="shared" si="1"/>
        <v>0</v>
      </c>
      <c r="Q20" s="35">
        <v>25</v>
      </c>
      <c r="R20" s="104">
        <f t="shared" si="2"/>
        <v>0.69444444444444442</v>
      </c>
      <c r="S20" s="35">
        <v>0</v>
      </c>
      <c r="T20" s="104">
        <f t="shared" si="3"/>
        <v>0</v>
      </c>
      <c r="U20" s="35">
        <f t="shared" si="4"/>
        <v>25</v>
      </c>
      <c r="V20" s="108">
        <f t="shared" si="5"/>
        <v>0.69444444444444442</v>
      </c>
      <c r="W20" s="34" t="s">
        <v>972</v>
      </c>
    </row>
    <row r="21" spans="1:23" x14ac:dyDescent="0.25">
      <c r="A21" s="102">
        <v>196</v>
      </c>
      <c r="B21" s="101" t="str">
        <f>VLOOKUP(A21,Registry!$A$4:$AA$241,2,FALSE)</f>
        <v>Riverview Estates</v>
      </c>
      <c r="C21" s="24" t="str">
        <f>VLOOKUP(A21,Registry!$A$4:$AA$241,3,FALSE)</f>
        <v>Caledonia</v>
      </c>
      <c r="D21" s="24" t="str">
        <f>VLOOKUP(A21,Registry!$A$4:$AA$241,4,FALSE)</f>
        <v>Lyndon</v>
      </c>
      <c r="E21" s="28" t="s">
        <v>967</v>
      </c>
      <c r="F21" s="28" t="s">
        <v>963</v>
      </c>
      <c r="G21" s="28" t="s">
        <v>1018</v>
      </c>
      <c r="H21" s="28" t="s">
        <v>977</v>
      </c>
      <c r="I21" s="28" t="s">
        <v>979</v>
      </c>
      <c r="J21" s="24">
        <f>VLOOKUP(A21,Registry!$A$4:$AA$241,21,FALSE)</f>
        <v>34</v>
      </c>
      <c r="K21" s="28"/>
      <c r="L21" s="104"/>
      <c r="M21" s="105">
        <v>8</v>
      </c>
      <c r="N21" s="104">
        <f t="shared" si="0"/>
        <v>0.23529411764705882</v>
      </c>
      <c r="O21" s="28">
        <v>3</v>
      </c>
      <c r="P21" s="104">
        <f t="shared" si="1"/>
        <v>8.8235294117647065E-2</v>
      </c>
      <c r="Q21" s="28">
        <v>16</v>
      </c>
      <c r="R21" s="104">
        <f t="shared" si="2"/>
        <v>0.47058823529411764</v>
      </c>
      <c r="S21" s="28">
        <v>0</v>
      </c>
      <c r="T21" s="104">
        <f t="shared" si="3"/>
        <v>0</v>
      </c>
      <c r="U21" s="35">
        <f t="shared" si="4"/>
        <v>19</v>
      </c>
      <c r="V21" s="108">
        <f t="shared" si="5"/>
        <v>0.55882352941176472</v>
      </c>
      <c r="W21" s="34" t="s">
        <v>972</v>
      </c>
    </row>
    <row r="22" spans="1:23" x14ac:dyDescent="0.25">
      <c r="A22" s="102">
        <v>81</v>
      </c>
      <c r="B22" s="101" t="str">
        <f>VLOOKUP(A22,Registry!$A$4:$AA$241,2,FALSE)</f>
        <v>Woodland Shores Park RLLP</v>
      </c>
      <c r="C22" s="24" t="str">
        <f>VLOOKUP(A22,Registry!$A$4:$AA$241,3,FALSE)</f>
        <v>Chittenden</v>
      </c>
      <c r="D22" s="24" t="str">
        <f>VLOOKUP(A22,Registry!$A$4:$AA$241,4,FALSE)</f>
        <v>Colchester</v>
      </c>
      <c r="E22" s="28" t="s">
        <v>972</v>
      </c>
      <c r="F22" s="28" t="s">
        <v>976</v>
      </c>
      <c r="G22" s="28" t="s">
        <v>976</v>
      </c>
      <c r="H22" s="28" t="s">
        <v>971</v>
      </c>
      <c r="I22" s="28" t="s">
        <v>970</v>
      </c>
      <c r="J22" s="24">
        <f>VLOOKUP(A22,Registry!$A$4:$AA$241,21,FALSE)</f>
        <v>56</v>
      </c>
      <c r="K22" s="28">
        <v>0</v>
      </c>
      <c r="L22" s="104">
        <f>IF(K22/J22&gt;1,1,K22/J22)</f>
        <v>0</v>
      </c>
      <c r="M22" s="105">
        <v>0</v>
      </c>
      <c r="N22" s="104">
        <f t="shared" si="0"/>
        <v>0</v>
      </c>
      <c r="O22" s="35">
        <v>0</v>
      </c>
      <c r="P22" s="104">
        <f t="shared" si="1"/>
        <v>0</v>
      </c>
      <c r="Q22" s="35">
        <v>0</v>
      </c>
      <c r="R22" s="104">
        <f t="shared" si="2"/>
        <v>0</v>
      </c>
      <c r="S22" s="35">
        <v>0</v>
      </c>
      <c r="T22" s="104">
        <f t="shared" si="3"/>
        <v>0</v>
      </c>
      <c r="U22" s="35">
        <f t="shared" si="4"/>
        <v>0</v>
      </c>
      <c r="V22" s="108">
        <f t="shared" si="5"/>
        <v>0</v>
      </c>
      <c r="W22" s="34" t="s">
        <v>972</v>
      </c>
    </row>
    <row r="23" spans="1:23" x14ac:dyDescent="0.25">
      <c r="A23" s="102">
        <v>238</v>
      </c>
      <c r="B23" s="101" t="str">
        <f>VLOOKUP(A23,Registry!$A$4:$AA$241,2,FALSE)</f>
        <v>Riverview Commons</v>
      </c>
      <c r="C23" s="24" t="str">
        <f>VLOOKUP(A23,Registry!$A$4:$AA$241,3,FALSE)</f>
        <v>Chittenden</v>
      </c>
      <c r="D23" s="24" t="str">
        <f>VLOOKUP(A23,Registry!$A$4:$AA$241,4,FALSE)</f>
        <v>Richmond</v>
      </c>
      <c r="E23" s="28" t="s">
        <v>972</v>
      </c>
      <c r="F23" s="28" t="s">
        <v>971</v>
      </c>
      <c r="G23" s="28" t="s">
        <v>976</v>
      </c>
      <c r="H23" s="28" t="s">
        <v>971</v>
      </c>
      <c r="I23" s="28" t="s">
        <v>970</v>
      </c>
      <c r="J23" s="24">
        <f>VLOOKUP(A23,Registry!$A$4:$AA$241,21,FALSE)</f>
        <v>150</v>
      </c>
      <c r="K23" s="28">
        <v>0</v>
      </c>
      <c r="L23" s="104">
        <f>IF(K23/J23&gt;1,1,K23/J23)</f>
        <v>0</v>
      </c>
      <c r="M23" s="105">
        <v>0</v>
      </c>
      <c r="N23" s="104">
        <f t="shared" si="0"/>
        <v>0</v>
      </c>
      <c r="O23" s="35">
        <v>0</v>
      </c>
      <c r="P23" s="104">
        <f t="shared" si="1"/>
        <v>0</v>
      </c>
      <c r="Q23" s="35">
        <v>48</v>
      </c>
      <c r="R23" s="104">
        <f t="shared" si="2"/>
        <v>0.32</v>
      </c>
      <c r="S23" s="35">
        <v>2</v>
      </c>
      <c r="T23" s="104">
        <f t="shared" si="3"/>
        <v>1.3333333333333334E-2</v>
      </c>
      <c r="U23" s="35">
        <f t="shared" si="4"/>
        <v>50</v>
      </c>
      <c r="V23" s="108">
        <f t="shared" si="5"/>
        <v>0.33333333333333331</v>
      </c>
      <c r="W23" s="34" t="s">
        <v>972</v>
      </c>
    </row>
    <row r="24" spans="1:23" x14ac:dyDescent="0.25">
      <c r="A24" s="102">
        <v>199</v>
      </c>
      <c r="B24" s="101" t="str">
        <f>VLOOKUP(A24,Registry!$A$4:$AA$241,2,FALSE)</f>
        <v>Begin Riverside Park</v>
      </c>
      <c r="C24" s="24" t="str">
        <f>VLOOKUP(A24,Registry!$A$4:$AA$241,3,FALSE)</f>
        <v>Essex</v>
      </c>
      <c r="D24" s="24" t="str">
        <f>VLOOKUP(A24,Registry!$A$4:$AA$241,4,FALSE)</f>
        <v>Canaan</v>
      </c>
      <c r="E24" s="28" t="s">
        <v>972</v>
      </c>
      <c r="F24" s="28" t="s">
        <v>971</v>
      </c>
      <c r="G24" s="28" t="s">
        <v>1018</v>
      </c>
      <c r="H24" s="28" t="s">
        <v>971</v>
      </c>
      <c r="I24" s="28" t="s">
        <v>979</v>
      </c>
      <c r="J24" s="24">
        <f>VLOOKUP(A24,Registry!$A$4:$AA$241,21,FALSE)</f>
        <v>18</v>
      </c>
      <c r="K24" s="28"/>
      <c r="L24" s="104"/>
      <c r="M24" s="105">
        <v>2</v>
      </c>
      <c r="N24" s="104">
        <f t="shared" si="0"/>
        <v>0.1111111111111111</v>
      </c>
      <c r="O24" s="28">
        <v>0</v>
      </c>
      <c r="P24" s="104">
        <f t="shared" si="1"/>
        <v>0</v>
      </c>
      <c r="Q24" s="28">
        <v>2</v>
      </c>
      <c r="R24" s="104">
        <f t="shared" si="2"/>
        <v>0.1111111111111111</v>
      </c>
      <c r="S24" s="28">
        <v>0</v>
      </c>
      <c r="T24" s="104">
        <f t="shared" si="3"/>
        <v>0</v>
      </c>
      <c r="U24" s="35">
        <f t="shared" si="4"/>
        <v>2</v>
      </c>
      <c r="V24" s="108">
        <f t="shared" si="5"/>
        <v>0.1111111111111111</v>
      </c>
      <c r="W24" s="34" t="s">
        <v>972</v>
      </c>
    </row>
    <row r="25" spans="1:23" x14ac:dyDescent="0.25">
      <c r="A25" s="102">
        <v>74</v>
      </c>
      <c r="B25" s="101" t="str">
        <f>VLOOKUP(A25,Registry!$A$4:$AA$241,2,FALSE)</f>
        <v>Concord Estates MHP</v>
      </c>
      <c r="C25" s="24" t="str">
        <f>VLOOKUP(A25,Registry!$A$4:$AA$241,3,FALSE)</f>
        <v>Essex</v>
      </c>
      <c r="D25" s="24" t="str">
        <f>VLOOKUP(A25,Registry!$A$4:$AA$241,4,FALSE)</f>
        <v>Concord</v>
      </c>
      <c r="E25" s="28" t="s">
        <v>972</v>
      </c>
      <c r="F25" s="28" t="s">
        <v>980</v>
      </c>
      <c r="G25" s="28" t="s">
        <v>1018</v>
      </c>
      <c r="H25" s="28" t="s">
        <v>977</v>
      </c>
      <c r="I25" s="28" t="s">
        <v>979</v>
      </c>
      <c r="J25" s="24">
        <f>VLOOKUP(A25,Registry!$A$4:$AA$241,21,FALSE)</f>
        <v>24</v>
      </c>
      <c r="K25" s="28"/>
      <c r="L25" s="104"/>
      <c r="M25" s="105">
        <v>3</v>
      </c>
      <c r="N25" s="104">
        <f t="shared" si="0"/>
        <v>0.125</v>
      </c>
      <c r="O25" s="35">
        <v>0</v>
      </c>
      <c r="P25" s="104">
        <f t="shared" si="1"/>
        <v>0</v>
      </c>
      <c r="Q25" s="35">
        <v>2</v>
      </c>
      <c r="R25" s="104">
        <f t="shared" si="2"/>
        <v>8.3333333333333329E-2</v>
      </c>
      <c r="S25" s="35">
        <v>0</v>
      </c>
      <c r="T25" s="104">
        <f t="shared" si="3"/>
        <v>0</v>
      </c>
      <c r="U25" s="35">
        <f t="shared" si="4"/>
        <v>2</v>
      </c>
      <c r="V25" s="108">
        <f t="shared" si="5"/>
        <v>8.3333333333333329E-2</v>
      </c>
      <c r="W25" s="34" t="s">
        <v>972</v>
      </c>
    </row>
    <row r="26" spans="1:23" x14ac:dyDescent="0.25">
      <c r="A26" s="102">
        <v>71</v>
      </c>
      <c r="B26" s="101" t="str">
        <f>VLOOKUP(A26,Registry!$A$4:$AA$241,2,FALSE)</f>
        <v>Pine Haven Estates A</v>
      </c>
      <c r="C26" s="24" t="str">
        <f>VLOOKUP(A26,Registry!$A$4:$AA$241,3,FALSE)</f>
        <v>Franklin</v>
      </c>
      <c r="D26" s="24" t="str">
        <f>VLOOKUP(A26,Registry!$A$4:$AA$241,4,FALSE)</f>
        <v>Richford</v>
      </c>
      <c r="E26" s="28" t="s">
        <v>972</v>
      </c>
      <c r="F26" s="28" t="s">
        <v>971</v>
      </c>
      <c r="G26" s="28" t="s">
        <v>1018</v>
      </c>
      <c r="H26" s="28" t="s">
        <v>971</v>
      </c>
      <c r="I26" s="28" t="s">
        <v>975</v>
      </c>
      <c r="J26" s="24">
        <f>VLOOKUP(A26,Registry!$A$4:$AA$241,21,FALSE)</f>
        <v>10</v>
      </c>
      <c r="K26" s="28"/>
      <c r="L26" s="104"/>
      <c r="M26" s="105">
        <v>0</v>
      </c>
      <c r="N26" s="104">
        <f t="shared" si="0"/>
        <v>0</v>
      </c>
      <c r="O26" s="35">
        <v>0</v>
      </c>
      <c r="P26" s="104">
        <f t="shared" si="1"/>
        <v>0</v>
      </c>
      <c r="Q26" s="35">
        <v>2</v>
      </c>
      <c r="R26" s="104">
        <f t="shared" si="2"/>
        <v>0.2</v>
      </c>
      <c r="S26" s="35">
        <v>0</v>
      </c>
      <c r="T26" s="104">
        <f t="shared" si="3"/>
        <v>0</v>
      </c>
      <c r="U26" s="35">
        <f t="shared" si="4"/>
        <v>2</v>
      </c>
      <c r="V26" s="108">
        <f t="shared" si="5"/>
        <v>0.2</v>
      </c>
      <c r="W26" s="34" t="s">
        <v>972</v>
      </c>
    </row>
    <row r="27" spans="1:23" x14ac:dyDescent="0.25">
      <c r="A27" s="102">
        <v>118</v>
      </c>
      <c r="B27" s="101" t="str">
        <f>VLOOKUP(A27,Registry!$A$4:$AA$241,2,FALSE)</f>
        <v>Brierwood Mobile Home Park</v>
      </c>
      <c r="C27" s="24" t="str">
        <f>VLOOKUP(A27,Registry!$A$4:$AA$241,3,FALSE)</f>
        <v>Franklin</v>
      </c>
      <c r="D27" s="24" t="str">
        <f>VLOOKUP(A27,Registry!$A$4:$AA$241,4,FALSE)</f>
        <v>St. Albans</v>
      </c>
      <c r="E27" s="28" t="s">
        <v>972</v>
      </c>
      <c r="F27" s="28" t="s">
        <v>978</v>
      </c>
      <c r="G27" s="28" t="s">
        <v>976</v>
      </c>
      <c r="H27" s="28" t="s">
        <v>978</v>
      </c>
      <c r="I27" s="28" t="s">
        <v>975</v>
      </c>
      <c r="J27" s="24">
        <f>VLOOKUP(A27,Registry!$A$4:$AA$241,21,FALSE)</f>
        <v>30</v>
      </c>
      <c r="K27" s="28"/>
      <c r="L27" s="104"/>
      <c r="M27" s="105">
        <v>0</v>
      </c>
      <c r="N27" s="104">
        <f t="shared" si="0"/>
        <v>0</v>
      </c>
      <c r="O27" s="35">
        <v>0</v>
      </c>
      <c r="P27" s="104">
        <f t="shared" si="1"/>
        <v>0</v>
      </c>
      <c r="Q27" s="35">
        <v>0</v>
      </c>
      <c r="R27" s="104">
        <f t="shared" si="2"/>
        <v>0</v>
      </c>
      <c r="S27" s="35">
        <v>26</v>
      </c>
      <c r="T27" s="104">
        <f t="shared" si="3"/>
        <v>0.8666666666666667</v>
      </c>
      <c r="U27" s="35">
        <f t="shared" si="4"/>
        <v>26</v>
      </c>
      <c r="V27" s="108">
        <f t="shared" si="5"/>
        <v>0.8666666666666667</v>
      </c>
      <c r="W27" s="34" t="s">
        <v>972</v>
      </c>
    </row>
    <row r="28" spans="1:23" x14ac:dyDescent="0.25">
      <c r="A28" s="102">
        <v>121</v>
      </c>
      <c r="B28" s="101" t="str">
        <f>VLOOKUP(A28,Registry!$A$4:$AA$241,2,FALSE)</f>
        <v>Highland Heights MHP</v>
      </c>
      <c r="C28" s="24" t="str">
        <f>VLOOKUP(A28,Registry!$A$4:$AA$241,3,FALSE)</f>
        <v>Lamoille</v>
      </c>
      <c r="D28" s="24" t="str">
        <f>VLOOKUP(A28,Registry!$A$4:$AA$241,4,FALSE)</f>
        <v>Johnson</v>
      </c>
      <c r="E28" s="28" t="s">
        <v>972</v>
      </c>
      <c r="F28" s="28" t="s">
        <v>971</v>
      </c>
      <c r="G28" s="28" t="s">
        <v>1018</v>
      </c>
      <c r="H28" s="28" t="s">
        <v>971</v>
      </c>
      <c r="I28" s="28" t="s">
        <v>975</v>
      </c>
      <c r="J28" s="24">
        <f>VLOOKUP(A28,Registry!$A$4:$AA$241,21,FALSE)</f>
        <v>46</v>
      </c>
      <c r="K28" s="28"/>
      <c r="L28" s="104"/>
      <c r="M28" s="105">
        <v>0</v>
      </c>
      <c r="N28" s="104">
        <f t="shared" si="0"/>
        <v>0</v>
      </c>
      <c r="O28" s="35">
        <v>0</v>
      </c>
      <c r="P28" s="104">
        <f t="shared" si="1"/>
        <v>0</v>
      </c>
      <c r="Q28" s="35">
        <v>21</v>
      </c>
      <c r="R28" s="104">
        <f t="shared" si="2"/>
        <v>0.45652173913043476</v>
      </c>
      <c r="S28" s="35">
        <v>0</v>
      </c>
      <c r="T28" s="104">
        <f t="shared" si="3"/>
        <v>0</v>
      </c>
      <c r="U28" s="35">
        <f t="shared" si="4"/>
        <v>21</v>
      </c>
      <c r="V28" s="108">
        <f t="shared" si="5"/>
        <v>0.45652173913043476</v>
      </c>
      <c r="W28" s="34" t="s">
        <v>972</v>
      </c>
    </row>
    <row r="29" spans="1:23" x14ac:dyDescent="0.25">
      <c r="A29" s="102">
        <v>167</v>
      </c>
      <c r="B29" s="101" t="str">
        <f>VLOOKUP(A29,Registry!$A$4:$AA$241,2,FALSE)</f>
        <v>Johnson Mobile Home Park</v>
      </c>
      <c r="C29" s="24" t="str">
        <f>VLOOKUP(A29,Registry!$A$4:$AA$241,3,FALSE)</f>
        <v>Lamoille</v>
      </c>
      <c r="D29" s="24" t="str">
        <f>VLOOKUP(A29,Registry!$A$4:$AA$241,4,FALSE)</f>
        <v>Johnson</v>
      </c>
      <c r="E29" s="28" t="s">
        <v>972</v>
      </c>
      <c r="F29" s="28" t="s">
        <v>971</v>
      </c>
      <c r="G29" s="28" t="s">
        <v>1018</v>
      </c>
      <c r="H29" s="28" t="s">
        <v>971</v>
      </c>
      <c r="I29" s="28" t="s">
        <v>975</v>
      </c>
      <c r="J29" s="24">
        <f>VLOOKUP(A29,Registry!$A$4:$AA$241,21,FALSE)</f>
        <v>33</v>
      </c>
      <c r="K29" s="28"/>
      <c r="L29" s="104"/>
      <c r="M29" s="105">
        <v>0</v>
      </c>
      <c r="N29" s="104">
        <f t="shared" si="0"/>
        <v>0</v>
      </c>
      <c r="O29" s="35">
        <v>0</v>
      </c>
      <c r="P29" s="104">
        <f t="shared" si="1"/>
        <v>0</v>
      </c>
      <c r="Q29" s="35">
        <v>4</v>
      </c>
      <c r="R29" s="104">
        <f t="shared" si="2"/>
        <v>0.12121212121212122</v>
      </c>
      <c r="S29" s="35">
        <v>0</v>
      </c>
      <c r="T29" s="104">
        <f t="shared" si="3"/>
        <v>0</v>
      </c>
      <c r="U29" s="35">
        <f t="shared" si="4"/>
        <v>4</v>
      </c>
      <c r="V29" s="108">
        <f t="shared" si="5"/>
        <v>0.12121212121212122</v>
      </c>
      <c r="W29" s="34" t="s">
        <v>1211</v>
      </c>
    </row>
    <row r="30" spans="1:23" x14ac:dyDescent="0.25">
      <c r="A30" s="102">
        <v>133</v>
      </c>
      <c r="B30" s="101" t="str">
        <f>VLOOKUP(A30,Registry!$A$4:$AA$241,2,FALSE)</f>
        <v>Whistle Stop Mobile Home Park</v>
      </c>
      <c r="C30" s="24" t="str">
        <f>VLOOKUP(A30,Registry!$A$4:$AA$241,3,FALSE)</f>
        <v>Orange</v>
      </c>
      <c r="D30" s="24" t="str">
        <f>VLOOKUP(A30,Registry!$A$4:$AA$241,4,FALSE)</f>
        <v>Bradford</v>
      </c>
      <c r="E30" s="28" t="s">
        <v>972</v>
      </c>
      <c r="F30" s="28" t="s">
        <v>976</v>
      </c>
      <c r="G30" s="28" t="s">
        <v>1018</v>
      </c>
      <c r="H30" s="28" t="s">
        <v>976</v>
      </c>
      <c r="I30" s="28" t="s">
        <v>975</v>
      </c>
      <c r="J30" s="24">
        <f>VLOOKUP(A30,Registry!$A$4:$AA$241,21,FALSE)</f>
        <v>12</v>
      </c>
      <c r="K30" s="28"/>
      <c r="L30" s="104"/>
      <c r="M30" s="105">
        <v>0</v>
      </c>
      <c r="N30" s="104">
        <f t="shared" si="0"/>
        <v>0</v>
      </c>
      <c r="O30" s="35">
        <v>0</v>
      </c>
      <c r="P30" s="104">
        <f t="shared" si="1"/>
        <v>0</v>
      </c>
      <c r="Q30" s="35">
        <v>0</v>
      </c>
      <c r="R30" s="104">
        <f t="shared" si="2"/>
        <v>0</v>
      </c>
      <c r="S30" s="35">
        <v>0</v>
      </c>
      <c r="T30" s="104">
        <f t="shared" si="3"/>
        <v>0</v>
      </c>
      <c r="U30" s="35">
        <f t="shared" si="4"/>
        <v>0</v>
      </c>
      <c r="V30" s="108">
        <f t="shared" si="5"/>
        <v>0</v>
      </c>
      <c r="W30" s="34" t="s">
        <v>1211</v>
      </c>
    </row>
    <row r="31" spans="1:23" x14ac:dyDescent="0.25">
      <c r="A31" s="102">
        <v>78</v>
      </c>
      <c r="B31" s="101" t="str">
        <f>VLOOKUP(A31,Registry!$A$4:$AA$241,2,FALSE)</f>
        <v>Mobile Acres Mobile Home Park</v>
      </c>
      <c r="C31" s="24" t="str">
        <f>VLOOKUP(A31,Registry!$A$4:$AA$241,3,FALSE)</f>
        <v>Orange</v>
      </c>
      <c r="D31" s="24" t="str">
        <f>VLOOKUP(A31,Registry!$A$4:$AA$241,4,FALSE)</f>
        <v>Braintree</v>
      </c>
      <c r="E31" s="28" t="s">
        <v>972</v>
      </c>
      <c r="F31" s="28" t="s">
        <v>971</v>
      </c>
      <c r="G31" s="28" t="s">
        <v>1018</v>
      </c>
      <c r="H31" s="28" t="s">
        <v>971</v>
      </c>
      <c r="I31" s="28" t="s">
        <v>975</v>
      </c>
      <c r="J31" s="24">
        <f>VLOOKUP(A31,Registry!$A$4:$AA$241,21,FALSE)</f>
        <v>95</v>
      </c>
      <c r="K31" s="28"/>
      <c r="L31" s="104"/>
      <c r="M31" s="105">
        <v>0</v>
      </c>
      <c r="N31" s="104">
        <f t="shared" si="0"/>
        <v>0</v>
      </c>
      <c r="O31" s="35">
        <v>0</v>
      </c>
      <c r="P31" s="104">
        <f t="shared" si="1"/>
        <v>0</v>
      </c>
      <c r="Q31" s="35">
        <v>2</v>
      </c>
      <c r="R31" s="104">
        <f t="shared" si="2"/>
        <v>2.1052631578947368E-2</v>
      </c>
      <c r="S31" s="35">
        <v>0</v>
      </c>
      <c r="T31" s="104">
        <f t="shared" si="3"/>
        <v>0</v>
      </c>
      <c r="U31" s="35">
        <f t="shared" si="4"/>
        <v>2</v>
      </c>
      <c r="V31" s="108">
        <f t="shared" si="5"/>
        <v>2.1052631578947368E-2</v>
      </c>
      <c r="W31" s="34" t="s">
        <v>972</v>
      </c>
    </row>
    <row r="32" spans="1:23" x14ac:dyDescent="0.25">
      <c r="A32" s="102">
        <v>21</v>
      </c>
      <c r="B32" s="101" t="str">
        <f>VLOOKUP(A32,Registry!$A$4:$AA$241,2,FALSE)</f>
        <v>Cowdrey MHP</v>
      </c>
      <c r="C32" s="24" t="str">
        <f>VLOOKUP(A32,Registry!$A$4:$AA$241,3,FALSE)</f>
        <v>Orange</v>
      </c>
      <c r="D32" s="24" t="str">
        <f>VLOOKUP(A32,Registry!$A$4:$AA$241,4,FALSE)</f>
        <v>Randolph</v>
      </c>
      <c r="E32" s="28" t="s">
        <v>972</v>
      </c>
      <c r="F32" s="28" t="s">
        <v>963</v>
      </c>
      <c r="G32" s="28" t="s">
        <v>968</v>
      </c>
      <c r="H32" s="28" t="s">
        <v>963</v>
      </c>
      <c r="I32" s="28" t="s">
        <v>975</v>
      </c>
      <c r="J32" s="24">
        <f>VLOOKUP(A32,Registry!$A$4:$AA$241,21,FALSE)</f>
        <v>10</v>
      </c>
      <c r="K32" s="28">
        <v>11</v>
      </c>
      <c r="L32" s="104">
        <f>IF(K32/J32&gt;1,1,K32/J32)</f>
        <v>1</v>
      </c>
      <c r="M32" s="105">
        <v>6</v>
      </c>
      <c r="N32" s="104">
        <f t="shared" si="0"/>
        <v>0.6</v>
      </c>
      <c r="O32" s="35">
        <v>3</v>
      </c>
      <c r="P32" s="104">
        <f t="shared" si="1"/>
        <v>0.3</v>
      </c>
      <c r="Q32" s="35">
        <v>0</v>
      </c>
      <c r="R32" s="104">
        <f t="shared" si="2"/>
        <v>0</v>
      </c>
      <c r="S32" s="35">
        <v>0</v>
      </c>
      <c r="T32" s="104">
        <f t="shared" si="3"/>
        <v>0</v>
      </c>
      <c r="U32" s="35">
        <f t="shared" si="4"/>
        <v>3</v>
      </c>
      <c r="V32" s="108">
        <f t="shared" si="5"/>
        <v>0.3</v>
      </c>
      <c r="W32" s="34" t="s">
        <v>972</v>
      </c>
    </row>
    <row r="33" spans="1:23" x14ac:dyDescent="0.25">
      <c r="A33" s="102">
        <v>306</v>
      </c>
      <c r="B33" s="101" t="str">
        <f>VLOOKUP(A33,Registry!$A$4:$AA$241,2,FALSE)</f>
        <v>Jamieson MHP</v>
      </c>
      <c r="C33" s="24" t="str">
        <f>VLOOKUP(A33,Registry!$A$4:$AA$241,3,FALSE)</f>
        <v>Orange</v>
      </c>
      <c r="D33" s="24" t="str">
        <f>VLOOKUP(A33,Registry!$A$4:$AA$241,4,FALSE)</f>
        <v>Williamstown</v>
      </c>
      <c r="E33" s="28" t="s">
        <v>972</v>
      </c>
      <c r="F33" s="28" t="s">
        <v>976</v>
      </c>
      <c r="G33" s="28" t="s">
        <v>973</v>
      </c>
      <c r="H33" s="28" t="s">
        <v>976</v>
      </c>
      <c r="I33" s="28" t="s">
        <v>975</v>
      </c>
      <c r="J33" s="24">
        <f>VLOOKUP(A33,Registry!$A$4:$AA$241,21,FALSE)</f>
        <v>11</v>
      </c>
      <c r="K33" s="28">
        <v>6</v>
      </c>
      <c r="L33" s="104">
        <f>IF(K33/J33&gt;1,1,K33/J33)</f>
        <v>0.54545454545454541</v>
      </c>
      <c r="M33" s="105">
        <v>10</v>
      </c>
      <c r="N33" s="104">
        <f t="shared" si="0"/>
        <v>0.90909090909090906</v>
      </c>
      <c r="O33" s="35">
        <v>0</v>
      </c>
      <c r="P33" s="104">
        <f t="shared" si="1"/>
        <v>0</v>
      </c>
      <c r="Q33" s="35">
        <v>0</v>
      </c>
      <c r="R33" s="104">
        <f t="shared" si="2"/>
        <v>0</v>
      </c>
      <c r="S33" s="35">
        <v>0</v>
      </c>
      <c r="T33" s="104">
        <f t="shared" si="3"/>
        <v>0</v>
      </c>
      <c r="U33" s="35">
        <f t="shared" si="4"/>
        <v>0</v>
      </c>
      <c r="V33" s="108">
        <f t="shared" si="5"/>
        <v>0</v>
      </c>
      <c r="W33" s="34" t="s">
        <v>972</v>
      </c>
    </row>
    <row r="34" spans="1:23" x14ac:dyDescent="0.25">
      <c r="A34" s="102">
        <v>150</v>
      </c>
      <c r="B34" s="101" t="str">
        <f>VLOOKUP(A34,Registry!$A$4:$AA$241,2,FALSE)</f>
        <v>Forest Dale Mobile Home Park</v>
      </c>
      <c r="C34" s="24" t="str">
        <f>VLOOKUP(A34,Registry!$A$4:$AA$241,3,FALSE)</f>
        <v>Rutland</v>
      </c>
      <c r="D34" s="24" t="str">
        <f>VLOOKUP(A34,Registry!$A$4:$AA$241,4,FALSE)</f>
        <v>Brandon</v>
      </c>
      <c r="E34" s="28" t="s">
        <v>967</v>
      </c>
      <c r="F34" s="28" t="s">
        <v>963</v>
      </c>
      <c r="G34" s="28" t="s">
        <v>1018</v>
      </c>
      <c r="H34" s="28" t="s">
        <v>963</v>
      </c>
      <c r="I34" s="28" t="s">
        <v>970</v>
      </c>
      <c r="J34" s="24">
        <f>VLOOKUP(A34,Registry!$A$4:$AA$241,21,FALSE)</f>
        <v>5</v>
      </c>
      <c r="K34" s="28"/>
      <c r="L34" s="104"/>
      <c r="M34" s="105">
        <v>5</v>
      </c>
      <c r="N34" s="104">
        <f t="shared" si="0"/>
        <v>1</v>
      </c>
      <c r="O34" s="35">
        <v>2</v>
      </c>
      <c r="P34" s="104">
        <f t="shared" si="1"/>
        <v>0.4</v>
      </c>
      <c r="Q34" s="35">
        <v>4</v>
      </c>
      <c r="R34" s="104">
        <f t="shared" si="2"/>
        <v>0.8</v>
      </c>
      <c r="S34" s="35">
        <v>0</v>
      </c>
      <c r="T34" s="104">
        <f t="shared" si="3"/>
        <v>0</v>
      </c>
      <c r="U34" s="35">
        <f t="shared" si="4"/>
        <v>6</v>
      </c>
      <c r="V34" s="108">
        <f t="shared" si="5"/>
        <v>1</v>
      </c>
      <c r="W34" s="34" t="s">
        <v>972</v>
      </c>
    </row>
    <row r="35" spans="1:23" x14ac:dyDescent="0.25">
      <c r="A35" s="102">
        <v>211</v>
      </c>
      <c r="B35" s="101" t="str">
        <f>VLOOKUP(A35,Registry!$A$4:$AA$241,2,FALSE)</f>
        <v>FWMHP, LLC</v>
      </c>
      <c r="C35" s="24" t="str">
        <f>VLOOKUP(A35,Registry!$A$4:$AA$241,3,FALSE)</f>
        <v>Rutland</v>
      </c>
      <c r="D35" s="24" t="str">
        <f>VLOOKUP(A35,Registry!$A$4:$AA$241,4,FALSE)</f>
        <v>Castleton</v>
      </c>
      <c r="E35" s="28" t="s">
        <v>967</v>
      </c>
      <c r="F35" s="28" t="s">
        <v>963</v>
      </c>
      <c r="G35" s="28" t="s">
        <v>1018</v>
      </c>
      <c r="H35" s="28" t="s">
        <v>963</v>
      </c>
      <c r="I35" s="28" t="s">
        <v>970</v>
      </c>
      <c r="J35" s="24">
        <f>VLOOKUP(A35,Registry!$A$4:$AA$241,21,FALSE)</f>
        <v>44</v>
      </c>
      <c r="K35" s="28"/>
      <c r="L35" s="104"/>
      <c r="M35" s="105">
        <v>8</v>
      </c>
      <c r="N35" s="104">
        <f t="shared" si="0"/>
        <v>0.18181818181818182</v>
      </c>
      <c r="O35" s="35">
        <v>1</v>
      </c>
      <c r="P35" s="104">
        <f t="shared" si="1"/>
        <v>2.2727272727272728E-2</v>
      </c>
      <c r="Q35" s="35">
        <v>1</v>
      </c>
      <c r="R35" s="104">
        <f t="shared" si="2"/>
        <v>2.2727272727272728E-2</v>
      </c>
      <c r="S35" s="35">
        <v>5</v>
      </c>
      <c r="T35" s="104">
        <f t="shared" si="3"/>
        <v>0.11363636363636363</v>
      </c>
      <c r="U35" s="35">
        <f t="shared" si="4"/>
        <v>7</v>
      </c>
      <c r="V35" s="108">
        <f t="shared" si="5"/>
        <v>0.15909090909090909</v>
      </c>
      <c r="W35" s="34" t="s">
        <v>972</v>
      </c>
    </row>
    <row r="36" spans="1:23" x14ac:dyDescent="0.25">
      <c r="A36" s="102">
        <v>228</v>
      </c>
      <c r="B36" s="101" t="str">
        <f>VLOOKUP(A36,Registry!$A$4:$AA$241,2,FALSE)</f>
        <v>Allen Street Mobile Home Park</v>
      </c>
      <c r="C36" s="24" t="str">
        <f>VLOOKUP(A36,Registry!$A$4:$AA$241,3,FALSE)</f>
        <v>Rutland</v>
      </c>
      <c r="D36" s="24" t="str">
        <f>VLOOKUP(A36,Registry!$A$4:$AA$241,4,FALSE)</f>
        <v>Rutland</v>
      </c>
      <c r="E36" s="28" t="s">
        <v>972</v>
      </c>
      <c r="F36" s="28" t="s">
        <v>978</v>
      </c>
      <c r="G36" s="28" t="s">
        <v>976</v>
      </c>
      <c r="H36" s="28" t="s">
        <v>978</v>
      </c>
      <c r="I36" s="28" t="s">
        <v>970</v>
      </c>
      <c r="J36" s="24">
        <f>VLOOKUP(A36,Registry!$A$4:$AA$241,21,FALSE)</f>
        <v>18</v>
      </c>
      <c r="K36" s="28">
        <v>0</v>
      </c>
      <c r="L36" s="104">
        <f>IF(K36/J36&gt;1,1,K36/J36)</f>
        <v>0</v>
      </c>
      <c r="M36" s="105">
        <v>0</v>
      </c>
      <c r="N36" s="104">
        <f t="shared" ref="N36:N67" si="6">M36/J36</f>
        <v>0</v>
      </c>
      <c r="O36" s="35">
        <v>0</v>
      </c>
      <c r="P36" s="104">
        <f t="shared" ref="P36:P67" si="7">IF(O36/J36&gt;1,1,O36/J36)</f>
        <v>0</v>
      </c>
      <c r="Q36" s="35">
        <v>0</v>
      </c>
      <c r="R36" s="104">
        <f t="shared" ref="R36:R67" si="8">IF(Q36/J36&gt;1,1,Q36/J36)</f>
        <v>0</v>
      </c>
      <c r="S36" s="35">
        <v>1</v>
      </c>
      <c r="T36" s="104">
        <f t="shared" ref="T36:T67" si="9">IF(S36/J36&gt;1,1,S36/J36)</f>
        <v>5.5555555555555552E-2</v>
      </c>
      <c r="U36" s="35">
        <f t="shared" ref="U36:U71" si="10">SUM(O36+Q36+S36)</f>
        <v>1</v>
      </c>
      <c r="V36" s="108">
        <f t="shared" ref="V36:V67" si="11">IF(U36/J36&gt;1,1,U36/J36)</f>
        <v>5.5555555555555552E-2</v>
      </c>
      <c r="W36" s="34" t="s">
        <v>972</v>
      </c>
    </row>
    <row r="37" spans="1:23" x14ac:dyDescent="0.25">
      <c r="A37" s="102">
        <v>207</v>
      </c>
      <c r="B37" s="101" t="str">
        <f>VLOOKUP(A37,Registry!$A$4:$AA$241,2,FALSE)</f>
        <v>Brookside Mobile Home Park</v>
      </c>
      <c r="C37" s="24" t="str">
        <f>VLOOKUP(A37,Registry!$A$4:$AA$241,3,FALSE)</f>
        <v>Rutland</v>
      </c>
      <c r="D37" s="24" t="str">
        <f>VLOOKUP(A37,Registry!$A$4:$AA$241,4,FALSE)</f>
        <v>Rutland</v>
      </c>
      <c r="E37" s="28" t="s">
        <v>972</v>
      </c>
      <c r="F37" s="28" t="s">
        <v>971</v>
      </c>
      <c r="G37" s="28" t="s">
        <v>974</v>
      </c>
      <c r="H37" s="28" t="s">
        <v>971</v>
      </c>
      <c r="I37" s="28" t="s">
        <v>970</v>
      </c>
      <c r="J37" s="24">
        <f>VLOOKUP(A37,Registry!$A$4:$AA$241,21,FALSE)</f>
        <v>26</v>
      </c>
      <c r="K37" s="28">
        <v>2</v>
      </c>
      <c r="L37" s="104">
        <f>IF(K37/J37&gt;1,1,K37/J37)</f>
        <v>7.6923076923076927E-2</v>
      </c>
      <c r="M37" s="105">
        <v>6</v>
      </c>
      <c r="N37" s="104">
        <f t="shared" si="6"/>
        <v>0.23076923076923078</v>
      </c>
      <c r="O37" s="35">
        <v>0</v>
      </c>
      <c r="P37" s="104">
        <f t="shared" si="7"/>
        <v>0</v>
      </c>
      <c r="Q37" s="35">
        <v>1</v>
      </c>
      <c r="R37" s="104">
        <f t="shared" si="8"/>
        <v>3.8461538461538464E-2</v>
      </c>
      <c r="S37" s="35">
        <v>0</v>
      </c>
      <c r="T37" s="104">
        <f t="shared" si="9"/>
        <v>0</v>
      </c>
      <c r="U37" s="35">
        <f t="shared" si="10"/>
        <v>1</v>
      </c>
      <c r="V37" s="108">
        <f t="shared" si="11"/>
        <v>3.8461538461538464E-2</v>
      </c>
      <c r="W37" s="34" t="s">
        <v>972</v>
      </c>
    </row>
    <row r="38" spans="1:23" x14ac:dyDescent="0.25">
      <c r="A38" s="102">
        <v>215</v>
      </c>
      <c r="B38" s="101" t="str">
        <f>VLOOKUP(A38,Registry!$A$4:$AA$241,2,FALSE)</f>
        <v>Dorr Drive Mobile Home Park</v>
      </c>
      <c r="C38" s="24" t="str">
        <f>VLOOKUP(A38,Registry!$A$4:$AA$241,3,FALSE)</f>
        <v>Rutland</v>
      </c>
      <c r="D38" s="24" t="str">
        <f>VLOOKUP(A38,Registry!$A$4:$AA$241,4,FALSE)</f>
        <v>Rutland</v>
      </c>
      <c r="E38" s="28" t="s">
        <v>972</v>
      </c>
      <c r="F38" s="28" t="s">
        <v>971</v>
      </c>
      <c r="G38" s="28" t="s">
        <v>1018</v>
      </c>
      <c r="H38" s="28" t="s">
        <v>971</v>
      </c>
      <c r="I38" s="28" t="s">
        <v>970</v>
      </c>
      <c r="J38" s="24">
        <f>VLOOKUP(A38,Registry!$A$4:$AA$241,21,FALSE)</f>
        <v>17</v>
      </c>
      <c r="K38" s="28"/>
      <c r="L38" s="104"/>
      <c r="M38" s="105">
        <v>0</v>
      </c>
      <c r="N38" s="104">
        <f t="shared" si="6"/>
        <v>0</v>
      </c>
      <c r="O38" s="35">
        <v>0</v>
      </c>
      <c r="P38" s="104">
        <f t="shared" si="7"/>
        <v>0</v>
      </c>
      <c r="Q38" s="35">
        <v>2</v>
      </c>
      <c r="R38" s="104">
        <f t="shared" si="8"/>
        <v>0.11764705882352941</v>
      </c>
      <c r="S38" s="35">
        <v>4</v>
      </c>
      <c r="T38" s="104">
        <f t="shared" si="9"/>
        <v>0.23529411764705882</v>
      </c>
      <c r="U38" s="35">
        <f t="shared" si="10"/>
        <v>6</v>
      </c>
      <c r="V38" s="108">
        <f t="shared" si="11"/>
        <v>0.35294117647058826</v>
      </c>
      <c r="W38" s="34" t="s">
        <v>972</v>
      </c>
    </row>
    <row r="39" spans="1:23" x14ac:dyDescent="0.25">
      <c r="A39" s="102">
        <v>186</v>
      </c>
      <c r="B39" s="101" t="str">
        <f>VLOOKUP(A39,Registry!$A$4:$AA$241,2,FALSE)</f>
        <v>Lakes End Mobile Home Park</v>
      </c>
      <c r="C39" s="24" t="str">
        <f>VLOOKUP(A39,Registry!$A$4:$AA$241,3,FALSE)</f>
        <v>Rutland</v>
      </c>
      <c r="D39" s="24" t="str">
        <f>VLOOKUP(A39,Registry!$A$4:$AA$241,4,FALSE)</f>
        <v>Wells</v>
      </c>
      <c r="E39" s="28" t="s">
        <v>972</v>
      </c>
      <c r="F39" s="28" t="s">
        <v>971</v>
      </c>
      <c r="G39" s="28" t="s">
        <v>1018</v>
      </c>
      <c r="H39" s="28" t="s">
        <v>977</v>
      </c>
      <c r="I39" s="28" t="s">
        <v>970</v>
      </c>
      <c r="J39" s="24">
        <f>VLOOKUP(A39,Registry!$A$4:$AA$241,21,FALSE)</f>
        <v>10</v>
      </c>
      <c r="K39" s="28"/>
      <c r="L39" s="104"/>
      <c r="M39" s="105">
        <v>0</v>
      </c>
      <c r="N39" s="104">
        <f t="shared" si="6"/>
        <v>0</v>
      </c>
      <c r="O39" s="35">
        <v>0</v>
      </c>
      <c r="P39" s="104">
        <f t="shared" si="7"/>
        <v>0</v>
      </c>
      <c r="Q39" s="35">
        <v>1</v>
      </c>
      <c r="R39" s="104">
        <f t="shared" si="8"/>
        <v>0.1</v>
      </c>
      <c r="S39" s="35">
        <v>0</v>
      </c>
      <c r="T39" s="104">
        <f t="shared" si="9"/>
        <v>0</v>
      </c>
      <c r="U39" s="35">
        <f t="shared" si="10"/>
        <v>1</v>
      </c>
      <c r="V39" s="108">
        <f t="shared" si="11"/>
        <v>0.1</v>
      </c>
      <c r="W39" s="34" t="s">
        <v>972</v>
      </c>
    </row>
    <row r="40" spans="1:23" x14ac:dyDescent="0.25">
      <c r="A40" s="102">
        <v>154</v>
      </c>
      <c r="B40" s="101" t="str">
        <f>VLOOKUP(A40,Registry!$A$4:$AA$241,2,FALSE)</f>
        <v>Berlin Mobile Home Park</v>
      </c>
      <c r="C40" s="24" t="str">
        <f>VLOOKUP(A40,Registry!$A$4:$AA$241,3,FALSE)</f>
        <v>Washington</v>
      </c>
      <c r="D40" s="24" t="str">
        <f>VLOOKUP(A40,Registry!$A$4:$AA$241,4,FALSE)</f>
        <v>Berlin</v>
      </c>
      <c r="E40" s="28" t="s">
        <v>967</v>
      </c>
      <c r="F40" s="28" t="s">
        <v>963</v>
      </c>
      <c r="G40" s="28" t="s">
        <v>968</v>
      </c>
      <c r="H40" s="28" t="s">
        <v>963</v>
      </c>
      <c r="I40" s="28" t="s">
        <v>1210</v>
      </c>
      <c r="J40" s="24">
        <f>VLOOKUP(A40,Registry!$A$4:$AA$241,21,FALSE)</f>
        <v>30</v>
      </c>
      <c r="K40" s="28">
        <v>32</v>
      </c>
      <c r="L40" s="104">
        <f>IF(K40/J40&gt;1,1,K40/J40)</f>
        <v>1</v>
      </c>
      <c r="M40" s="105">
        <v>11</v>
      </c>
      <c r="N40" s="104">
        <f t="shared" si="6"/>
        <v>0.36666666666666664</v>
      </c>
      <c r="O40" s="35">
        <v>32</v>
      </c>
      <c r="P40" s="104">
        <f t="shared" si="7"/>
        <v>1</v>
      </c>
      <c r="Q40" s="35">
        <v>0</v>
      </c>
      <c r="R40" s="104">
        <f t="shared" si="8"/>
        <v>0</v>
      </c>
      <c r="S40" s="35">
        <v>0</v>
      </c>
      <c r="T40" s="104">
        <f t="shared" si="9"/>
        <v>0</v>
      </c>
      <c r="U40" s="35">
        <f t="shared" si="10"/>
        <v>32</v>
      </c>
      <c r="V40" s="108">
        <f t="shared" si="11"/>
        <v>1</v>
      </c>
      <c r="W40" s="34" t="s">
        <v>1211</v>
      </c>
    </row>
    <row r="41" spans="1:23" x14ac:dyDescent="0.25">
      <c r="A41" s="102">
        <v>158</v>
      </c>
      <c r="B41" s="101" t="str">
        <f>VLOOKUP(A41,Registry!$A$4:$AA$241,2,FALSE)</f>
        <v>Eastwood Manor Mobile Home Park</v>
      </c>
      <c r="C41" s="24" t="str">
        <f>VLOOKUP(A41,Registry!$A$4:$AA$241,3,FALSE)</f>
        <v>Washington</v>
      </c>
      <c r="D41" s="24" t="str">
        <f>VLOOKUP(A41,Registry!$A$4:$AA$241,4,FALSE)</f>
        <v>Berlin</v>
      </c>
      <c r="E41" s="28" t="s">
        <v>972</v>
      </c>
      <c r="F41" s="28" t="s">
        <v>976</v>
      </c>
      <c r="G41" s="28" t="s">
        <v>1018</v>
      </c>
      <c r="H41" s="28" t="s">
        <v>976</v>
      </c>
      <c r="I41" s="28" t="s">
        <v>1210</v>
      </c>
      <c r="J41" s="24">
        <f>VLOOKUP(A41,Registry!$A$4:$AA$241,21,FALSE)</f>
        <v>9</v>
      </c>
      <c r="K41" s="28"/>
      <c r="L41" s="104"/>
      <c r="M41" s="105">
        <v>0</v>
      </c>
      <c r="N41" s="104">
        <f t="shared" si="6"/>
        <v>0</v>
      </c>
      <c r="O41" s="35">
        <v>0</v>
      </c>
      <c r="P41" s="104">
        <f t="shared" si="7"/>
        <v>0</v>
      </c>
      <c r="Q41" s="35">
        <v>0</v>
      </c>
      <c r="R41" s="104">
        <f t="shared" si="8"/>
        <v>0</v>
      </c>
      <c r="S41" s="35">
        <v>0</v>
      </c>
      <c r="T41" s="104">
        <f t="shared" si="9"/>
        <v>0</v>
      </c>
      <c r="U41" s="35">
        <f t="shared" si="10"/>
        <v>0</v>
      </c>
      <c r="V41" s="108">
        <f t="shared" si="11"/>
        <v>0</v>
      </c>
      <c r="W41" s="34" t="s">
        <v>1211</v>
      </c>
    </row>
    <row r="42" spans="1:23" x14ac:dyDescent="0.25">
      <c r="A42" s="102">
        <v>155</v>
      </c>
      <c r="B42" s="101" t="str">
        <f>VLOOKUP(A42,Registry!$A$4:$AA$241,2,FALSE)</f>
        <v>River Run Mobile Home Park</v>
      </c>
      <c r="C42" s="24" t="str">
        <f>VLOOKUP(A42,Registry!$A$4:$AA$241,3,FALSE)</f>
        <v>Washington</v>
      </c>
      <c r="D42" s="24" t="str">
        <f>VLOOKUP(A42,Registry!$A$4:$AA$241,4,FALSE)</f>
        <v>Berlin</v>
      </c>
      <c r="E42" s="28" t="s">
        <v>967</v>
      </c>
      <c r="F42" s="28" t="s">
        <v>963</v>
      </c>
      <c r="G42" s="28" t="s">
        <v>1018</v>
      </c>
      <c r="H42" s="28" t="s">
        <v>963</v>
      </c>
      <c r="I42" s="28" t="s">
        <v>1210</v>
      </c>
      <c r="J42" s="24">
        <f>VLOOKUP(A42,Registry!$A$4:$AA$241,21,FALSE)</f>
        <v>35</v>
      </c>
      <c r="K42" s="28"/>
      <c r="L42" s="104"/>
      <c r="M42" s="105">
        <v>27</v>
      </c>
      <c r="N42" s="104">
        <f t="shared" si="6"/>
        <v>0.77142857142857146</v>
      </c>
      <c r="O42" s="35">
        <v>28</v>
      </c>
      <c r="P42" s="104">
        <f t="shared" si="7"/>
        <v>0.8</v>
      </c>
      <c r="Q42" s="35">
        <v>6</v>
      </c>
      <c r="R42" s="104">
        <f t="shared" si="8"/>
        <v>0.17142857142857143</v>
      </c>
      <c r="S42" s="35">
        <v>0</v>
      </c>
      <c r="T42" s="104">
        <f t="shared" si="9"/>
        <v>0</v>
      </c>
      <c r="U42" s="35">
        <f t="shared" si="10"/>
        <v>34</v>
      </c>
      <c r="V42" s="108">
        <f t="shared" si="11"/>
        <v>0.97142857142857142</v>
      </c>
      <c r="W42" s="34" t="s">
        <v>1211</v>
      </c>
    </row>
    <row r="43" spans="1:23" x14ac:dyDescent="0.25">
      <c r="A43" s="102">
        <v>156</v>
      </c>
      <c r="B43" s="101" t="str">
        <f>VLOOKUP(A43,Registry!$A$4:$AA$241,2,FALSE)</f>
        <v>RMC Mobile Home Park</v>
      </c>
      <c r="C43" s="24" t="str">
        <f>VLOOKUP(A43,Registry!$A$4:$AA$241,3,FALSE)</f>
        <v>Washington</v>
      </c>
      <c r="D43" s="24" t="str">
        <f>VLOOKUP(A43,Registry!$A$4:$AA$241,4,FALSE)</f>
        <v>Berlin</v>
      </c>
      <c r="E43" s="28" t="s">
        <v>972</v>
      </c>
      <c r="F43" s="28" t="s">
        <v>978</v>
      </c>
      <c r="G43" s="28" t="s">
        <v>1018</v>
      </c>
      <c r="H43" s="28" t="s">
        <v>978</v>
      </c>
      <c r="I43" s="28" t="s">
        <v>1210</v>
      </c>
      <c r="J43" s="24">
        <f>VLOOKUP(A43,Registry!$A$4:$AA$241,21,FALSE)</f>
        <v>23</v>
      </c>
      <c r="K43" s="28"/>
      <c r="L43" s="104"/>
      <c r="M43" s="105">
        <v>7</v>
      </c>
      <c r="N43" s="104">
        <f t="shared" si="6"/>
        <v>0.30434782608695654</v>
      </c>
      <c r="O43" s="35">
        <v>0</v>
      </c>
      <c r="P43" s="104">
        <f t="shared" si="7"/>
        <v>0</v>
      </c>
      <c r="Q43" s="35">
        <v>0</v>
      </c>
      <c r="R43" s="104">
        <f t="shared" si="8"/>
        <v>0</v>
      </c>
      <c r="S43" s="35">
        <v>14</v>
      </c>
      <c r="T43" s="104">
        <f t="shared" si="9"/>
        <v>0.60869565217391308</v>
      </c>
      <c r="U43" s="35">
        <f t="shared" si="10"/>
        <v>14</v>
      </c>
      <c r="V43" s="108">
        <f t="shared" si="11"/>
        <v>0.60869565217391308</v>
      </c>
      <c r="W43" s="34" t="s">
        <v>1211</v>
      </c>
    </row>
    <row r="44" spans="1:23" x14ac:dyDescent="0.25">
      <c r="A44" s="102">
        <v>134</v>
      </c>
      <c r="B44" s="101" t="str">
        <f>VLOOKUP(A44,Registry!$A$4:$AA$241,2,FALSE)</f>
        <v>Weston Mobile Home Park</v>
      </c>
      <c r="C44" s="24" t="str">
        <f>VLOOKUP(A44,Registry!$A$4:$AA$241,3,FALSE)</f>
        <v>Washington</v>
      </c>
      <c r="D44" s="24" t="str">
        <f>VLOOKUP(A44,Registry!$A$4:$AA$241,4,FALSE)</f>
        <v>Berlin</v>
      </c>
      <c r="E44" s="28" t="s">
        <v>967</v>
      </c>
      <c r="F44" s="28" t="s">
        <v>963</v>
      </c>
      <c r="G44" s="28" t="s">
        <v>976</v>
      </c>
      <c r="H44" s="28" t="s">
        <v>963</v>
      </c>
      <c r="I44" s="28" t="s">
        <v>1210</v>
      </c>
      <c r="J44" s="24">
        <f>VLOOKUP(A44,Registry!$A$4:$AA$241,21,FALSE)</f>
        <v>83</v>
      </c>
      <c r="K44" s="28">
        <v>0</v>
      </c>
      <c r="L44" s="104">
        <f>IF(K44/J44&gt;1,1,K44/J44)</f>
        <v>0</v>
      </c>
      <c r="M44" s="105">
        <v>14</v>
      </c>
      <c r="N44" s="104">
        <f t="shared" si="6"/>
        <v>0.16867469879518071</v>
      </c>
      <c r="O44" s="35">
        <v>6</v>
      </c>
      <c r="P44" s="104">
        <f t="shared" si="7"/>
        <v>7.2289156626506021E-2</v>
      </c>
      <c r="Q44" s="35">
        <v>48</v>
      </c>
      <c r="R44" s="104">
        <f t="shared" si="8"/>
        <v>0.57831325301204817</v>
      </c>
      <c r="S44" s="35">
        <v>14</v>
      </c>
      <c r="T44" s="104">
        <f t="shared" si="9"/>
        <v>0.16867469879518071</v>
      </c>
      <c r="U44" s="35">
        <f t="shared" si="10"/>
        <v>68</v>
      </c>
      <c r="V44" s="108">
        <f t="shared" si="11"/>
        <v>0.81927710843373491</v>
      </c>
      <c r="W44" s="34" t="s">
        <v>972</v>
      </c>
    </row>
    <row r="45" spans="1:23" x14ac:dyDescent="0.25">
      <c r="A45" s="102">
        <v>176</v>
      </c>
      <c r="B45" s="101" t="str">
        <f>VLOOKUP(A45,Registry!$A$4:$AA$241,2,FALSE)</f>
        <v>Patterson MHP</v>
      </c>
      <c r="C45" s="24" t="str">
        <f>VLOOKUP(A45,Registry!$A$4:$AA$241,3,FALSE)</f>
        <v>Washington</v>
      </c>
      <c r="D45" s="24" t="str">
        <f>VLOOKUP(A45,Registry!$A$4:$AA$241,4,FALSE)</f>
        <v>Duxbury</v>
      </c>
      <c r="E45" s="28" t="s">
        <v>967</v>
      </c>
      <c r="F45" s="28" t="s">
        <v>971</v>
      </c>
      <c r="G45" s="28" t="s">
        <v>1018</v>
      </c>
      <c r="H45" s="28" t="s">
        <v>963</v>
      </c>
      <c r="I45" s="28" t="s">
        <v>1210</v>
      </c>
      <c r="J45" s="24">
        <f>VLOOKUP(A45,Registry!$A$4:$AA$241,21,FALSE)</f>
        <v>24</v>
      </c>
      <c r="K45" s="28"/>
      <c r="L45" s="104"/>
      <c r="M45" s="105">
        <v>4</v>
      </c>
      <c r="N45" s="104">
        <f t="shared" si="6"/>
        <v>0.16666666666666666</v>
      </c>
      <c r="O45" s="35">
        <v>0</v>
      </c>
      <c r="P45" s="104">
        <f t="shared" si="7"/>
        <v>0</v>
      </c>
      <c r="Q45" s="35">
        <v>24</v>
      </c>
      <c r="R45" s="104">
        <f t="shared" si="8"/>
        <v>1</v>
      </c>
      <c r="S45" s="35">
        <v>0</v>
      </c>
      <c r="T45" s="104">
        <f t="shared" si="9"/>
        <v>0</v>
      </c>
      <c r="U45" s="35">
        <f t="shared" si="10"/>
        <v>24</v>
      </c>
      <c r="V45" s="108">
        <f t="shared" si="11"/>
        <v>1</v>
      </c>
      <c r="W45" s="34" t="s">
        <v>1211</v>
      </c>
    </row>
    <row r="46" spans="1:23" x14ac:dyDescent="0.25">
      <c r="A46" s="102">
        <v>120</v>
      </c>
      <c r="B46" s="101" t="str">
        <f>VLOOKUP(A46,Registry!$A$4:$AA$241,2,FALSE)</f>
        <v>Riverside Mobile Home Park</v>
      </c>
      <c r="C46" s="24" t="str">
        <f>VLOOKUP(A46,Registry!$A$4:$AA$241,3,FALSE)</f>
        <v>Washington</v>
      </c>
      <c r="D46" s="24" t="str">
        <f>VLOOKUP(A46,Registry!$A$4:$AA$241,4,FALSE)</f>
        <v>Moretown</v>
      </c>
      <c r="E46" s="28" t="s">
        <v>972</v>
      </c>
      <c r="F46" s="28" t="s">
        <v>976</v>
      </c>
      <c r="G46" s="28" t="s">
        <v>1018</v>
      </c>
      <c r="H46" s="28" t="s">
        <v>976</v>
      </c>
      <c r="I46" s="28" t="s">
        <v>975</v>
      </c>
      <c r="J46" s="24">
        <f>VLOOKUP(A46,Registry!$A$4:$AA$241,21,FALSE)</f>
        <v>12</v>
      </c>
      <c r="K46" s="28"/>
      <c r="L46" s="104"/>
      <c r="M46" s="105">
        <v>0</v>
      </c>
      <c r="N46" s="104">
        <f t="shared" si="6"/>
        <v>0</v>
      </c>
      <c r="O46" s="35">
        <v>0</v>
      </c>
      <c r="P46" s="104">
        <f t="shared" si="7"/>
        <v>0</v>
      </c>
      <c r="Q46" s="35">
        <v>0</v>
      </c>
      <c r="R46" s="104">
        <f t="shared" si="8"/>
        <v>0</v>
      </c>
      <c r="S46" s="35">
        <v>0</v>
      </c>
      <c r="T46" s="104">
        <f t="shared" si="9"/>
        <v>0</v>
      </c>
      <c r="U46" s="35">
        <f t="shared" si="10"/>
        <v>0</v>
      </c>
      <c r="V46" s="108">
        <f t="shared" si="11"/>
        <v>0</v>
      </c>
      <c r="W46" s="34" t="s">
        <v>1211</v>
      </c>
    </row>
    <row r="47" spans="1:23" x14ac:dyDescent="0.25">
      <c r="A47" s="102">
        <v>171</v>
      </c>
      <c r="B47" s="101" t="str">
        <f>VLOOKUP(A47,Registry!$A$4:$AA$241,2,FALSE)</f>
        <v>94 North Main Mobile Home Park</v>
      </c>
      <c r="C47" s="24" t="str">
        <f>VLOOKUP(A47,Registry!$A$4:$AA$241,3,FALSE)</f>
        <v>Washington</v>
      </c>
      <c r="D47" s="24" t="str">
        <f>VLOOKUP(A47,Registry!$A$4:$AA$241,4,FALSE)</f>
        <v>Northfield</v>
      </c>
      <c r="E47" s="28" t="s">
        <v>972</v>
      </c>
      <c r="F47" s="28" t="s">
        <v>976</v>
      </c>
      <c r="G47" s="28" t="s">
        <v>973</v>
      </c>
      <c r="H47" s="28" t="s">
        <v>976</v>
      </c>
      <c r="I47" s="28" t="s">
        <v>1210</v>
      </c>
      <c r="J47" s="24">
        <f>VLOOKUP(A47,Registry!$A$4:$AA$241,21,FALSE)</f>
        <v>7</v>
      </c>
      <c r="K47" s="28">
        <v>1</v>
      </c>
      <c r="L47" s="104">
        <f>IF(K47/J47&gt;1,1,K47/J47)</f>
        <v>0.14285714285714285</v>
      </c>
      <c r="M47" s="105">
        <v>0</v>
      </c>
      <c r="N47" s="104">
        <f t="shared" si="6"/>
        <v>0</v>
      </c>
      <c r="O47" s="35">
        <v>0</v>
      </c>
      <c r="P47" s="104">
        <f t="shared" si="7"/>
        <v>0</v>
      </c>
      <c r="Q47" s="35">
        <v>0</v>
      </c>
      <c r="R47" s="104">
        <f t="shared" si="8"/>
        <v>0</v>
      </c>
      <c r="S47" s="35">
        <v>0</v>
      </c>
      <c r="T47" s="104">
        <f t="shared" si="9"/>
        <v>0</v>
      </c>
      <c r="U47" s="35">
        <f t="shared" si="10"/>
        <v>0</v>
      </c>
      <c r="V47" s="108">
        <f t="shared" si="11"/>
        <v>0</v>
      </c>
      <c r="W47" s="34" t="s">
        <v>972</v>
      </c>
    </row>
    <row r="48" spans="1:23" x14ac:dyDescent="0.25">
      <c r="A48" s="102">
        <v>307</v>
      </c>
      <c r="B48" s="101" t="str">
        <f>VLOOKUP(A48,Registry!$A$4:$AA$241,2,FALSE)</f>
        <v>99 North Main Mobile Home Park</v>
      </c>
      <c r="C48" s="24" t="str">
        <f>VLOOKUP(A48,Registry!$A$4:$AA$241,3,FALSE)</f>
        <v>Washington</v>
      </c>
      <c r="D48" s="24" t="str">
        <f>VLOOKUP(A48,Registry!$A$4:$AA$241,4,FALSE)</f>
        <v>Northfield</v>
      </c>
      <c r="E48" s="28" t="s">
        <v>972</v>
      </c>
      <c r="F48" s="28" t="s">
        <v>963</v>
      </c>
      <c r="G48" s="28" t="s">
        <v>973</v>
      </c>
      <c r="H48" s="28" t="s">
        <v>963</v>
      </c>
      <c r="I48" s="28" t="s">
        <v>969</v>
      </c>
      <c r="J48" s="24">
        <f>VLOOKUP(A48,Registry!$A$4:$AA$241,21,FALSE)</f>
        <v>7</v>
      </c>
      <c r="K48" s="28">
        <v>6</v>
      </c>
      <c r="L48" s="104">
        <f>IF(K48/J48&gt;1,1,K48/J48)</f>
        <v>0.8571428571428571</v>
      </c>
      <c r="M48" s="105">
        <v>4</v>
      </c>
      <c r="N48" s="104">
        <f t="shared" si="6"/>
        <v>0.5714285714285714</v>
      </c>
      <c r="O48" s="35">
        <v>1</v>
      </c>
      <c r="P48" s="104">
        <f t="shared" si="7"/>
        <v>0.14285714285714285</v>
      </c>
      <c r="Q48" s="35">
        <v>2</v>
      </c>
      <c r="R48" s="104">
        <f t="shared" si="8"/>
        <v>0.2857142857142857</v>
      </c>
      <c r="S48" s="35">
        <v>4</v>
      </c>
      <c r="T48" s="104">
        <f t="shared" si="9"/>
        <v>0.5714285714285714</v>
      </c>
      <c r="U48" s="35">
        <f t="shared" si="10"/>
        <v>7</v>
      </c>
      <c r="V48" s="108">
        <f t="shared" si="11"/>
        <v>1</v>
      </c>
      <c r="W48" s="34" t="s">
        <v>972</v>
      </c>
    </row>
    <row r="49" spans="1:23" x14ac:dyDescent="0.25">
      <c r="A49" s="102">
        <v>172</v>
      </c>
      <c r="B49" s="101" t="str">
        <f>VLOOKUP(A49,Registry!$A$4:$AA$241,2,FALSE)</f>
        <v>Tucker Mobile Home Park</v>
      </c>
      <c r="C49" s="24" t="str">
        <f>VLOOKUP(A49,Registry!$A$4:$AA$241,3,FALSE)</f>
        <v>Washington</v>
      </c>
      <c r="D49" s="24" t="str">
        <f>VLOOKUP(A49,Registry!$A$4:$AA$241,4,FALSE)</f>
        <v>Northfield</v>
      </c>
      <c r="E49" s="28" t="s">
        <v>967</v>
      </c>
      <c r="F49" s="28" t="s">
        <v>963</v>
      </c>
      <c r="G49" s="28" t="s">
        <v>974</v>
      </c>
      <c r="H49" s="28" t="s">
        <v>963</v>
      </c>
      <c r="I49" s="28" t="s">
        <v>1210</v>
      </c>
      <c r="J49" s="24">
        <f>VLOOKUP(A49,Registry!$A$4:$AA$241,21,FALSE)</f>
        <v>32</v>
      </c>
      <c r="K49" s="28">
        <v>23</v>
      </c>
      <c r="L49" s="104">
        <f>IF(K49/J49&gt;1,1,K49/J49)</f>
        <v>0.71875</v>
      </c>
      <c r="M49" s="105">
        <v>1</v>
      </c>
      <c r="N49" s="104">
        <f t="shared" si="6"/>
        <v>3.125E-2</v>
      </c>
      <c r="O49" s="35">
        <v>1</v>
      </c>
      <c r="P49" s="104">
        <f t="shared" si="7"/>
        <v>3.125E-2</v>
      </c>
      <c r="Q49" s="35">
        <v>30</v>
      </c>
      <c r="R49" s="104">
        <f t="shared" si="8"/>
        <v>0.9375</v>
      </c>
      <c r="S49" s="35">
        <v>1</v>
      </c>
      <c r="T49" s="104">
        <f t="shared" si="9"/>
        <v>3.125E-2</v>
      </c>
      <c r="U49" s="35">
        <f t="shared" si="10"/>
        <v>32</v>
      </c>
      <c r="V49" s="108">
        <f t="shared" si="11"/>
        <v>1</v>
      </c>
      <c r="W49" s="34" t="s">
        <v>972</v>
      </c>
    </row>
    <row r="50" spans="1:23" x14ac:dyDescent="0.25">
      <c r="A50" s="102">
        <v>35</v>
      </c>
      <c r="B50" s="101" t="str">
        <f>VLOOKUP(A50,Registry!$A$4:$AA$241,2,FALSE)</f>
        <v>Tenney's Trailer Park</v>
      </c>
      <c r="C50" s="24" t="str">
        <f>VLOOKUP(A50,Registry!$A$4:$AA$241,3,FALSE)</f>
        <v>Windham</v>
      </c>
      <c r="D50" s="24" t="str">
        <f>VLOOKUP(A50,Registry!$A$4:$AA$241,4,FALSE)</f>
        <v>Athens</v>
      </c>
      <c r="E50" s="28" t="s">
        <v>967</v>
      </c>
      <c r="F50" s="28" t="s">
        <v>976</v>
      </c>
      <c r="G50" s="28" t="s">
        <v>974</v>
      </c>
      <c r="H50" s="28" t="s">
        <v>976</v>
      </c>
      <c r="I50" s="28" t="s">
        <v>970</v>
      </c>
      <c r="J50" s="24">
        <f>VLOOKUP(A50,Registry!$A$4:$AA$241,21,FALSE)</f>
        <v>5</v>
      </c>
      <c r="K50" s="28">
        <v>7</v>
      </c>
      <c r="L50" s="104">
        <f>IF(K50/J50&gt;1,1,K50/J50)</f>
        <v>1</v>
      </c>
      <c r="M50" s="105">
        <v>8</v>
      </c>
      <c r="N50" s="104">
        <f t="shared" si="6"/>
        <v>1.6</v>
      </c>
      <c r="O50" s="35">
        <v>0</v>
      </c>
      <c r="P50" s="104">
        <f t="shared" si="7"/>
        <v>0</v>
      </c>
      <c r="Q50" s="35">
        <v>0</v>
      </c>
      <c r="R50" s="104">
        <f t="shared" si="8"/>
        <v>0</v>
      </c>
      <c r="S50" s="35">
        <v>0</v>
      </c>
      <c r="T50" s="104">
        <f t="shared" si="9"/>
        <v>0</v>
      </c>
      <c r="U50" s="35">
        <f t="shared" si="10"/>
        <v>0</v>
      </c>
      <c r="V50" s="108">
        <f t="shared" si="11"/>
        <v>0</v>
      </c>
      <c r="W50" s="34" t="s">
        <v>972</v>
      </c>
    </row>
    <row r="51" spans="1:23" x14ac:dyDescent="0.25">
      <c r="A51" s="102">
        <v>60</v>
      </c>
      <c r="B51" s="101" t="str">
        <f>VLOOKUP(A51,Registry!$A$4:$AA$241,2,FALSE)</f>
        <v>Black Mountain Park</v>
      </c>
      <c r="C51" s="24" t="str">
        <f>VLOOKUP(A51,Registry!$A$4:$AA$241,3,FALSE)</f>
        <v>Windham</v>
      </c>
      <c r="D51" s="24" t="str">
        <f>VLOOKUP(A51,Registry!$A$4:$AA$241,4,FALSE)</f>
        <v>Brattleboro</v>
      </c>
      <c r="E51" s="28" t="s">
        <v>972</v>
      </c>
      <c r="F51" s="28" t="s">
        <v>976</v>
      </c>
      <c r="G51" s="28" t="s">
        <v>968</v>
      </c>
      <c r="H51" s="28" t="s">
        <v>976</v>
      </c>
      <c r="I51" s="28" t="s">
        <v>970</v>
      </c>
      <c r="J51" s="24">
        <f>VLOOKUP(A51,Registry!$A$4:$AA$241,21,FALSE)</f>
        <v>29</v>
      </c>
      <c r="K51" s="28">
        <v>5</v>
      </c>
      <c r="L51" s="104">
        <f>IF(K51/J51&gt;1,1,K51/J51)</f>
        <v>0.17241379310344829</v>
      </c>
      <c r="M51" s="105">
        <v>11</v>
      </c>
      <c r="N51" s="104">
        <f t="shared" si="6"/>
        <v>0.37931034482758619</v>
      </c>
      <c r="O51" s="35">
        <v>0</v>
      </c>
      <c r="P51" s="104">
        <f t="shared" si="7"/>
        <v>0</v>
      </c>
      <c r="Q51" s="35">
        <v>0</v>
      </c>
      <c r="R51" s="104">
        <f t="shared" si="8"/>
        <v>0</v>
      </c>
      <c r="S51" s="35">
        <v>0</v>
      </c>
      <c r="T51" s="104">
        <f t="shared" si="9"/>
        <v>0</v>
      </c>
      <c r="U51" s="35">
        <f t="shared" si="10"/>
        <v>0</v>
      </c>
      <c r="V51" s="108">
        <f t="shared" si="11"/>
        <v>0</v>
      </c>
      <c r="W51" s="34" t="s">
        <v>972</v>
      </c>
    </row>
    <row r="52" spans="1:23" x14ac:dyDescent="0.25">
      <c r="A52" s="102">
        <v>137</v>
      </c>
      <c r="B52" s="101" t="str">
        <f>VLOOKUP(A52,Registry!$A$4:$AA$241,2,FALSE)</f>
        <v>Deepwood Mobile Home Park</v>
      </c>
      <c r="C52" s="24" t="str">
        <f>VLOOKUP(A52,Registry!$A$4:$AA$241,3,FALSE)</f>
        <v>Windham</v>
      </c>
      <c r="D52" s="24" t="str">
        <f>VLOOKUP(A52,Registry!$A$4:$AA$241,4,FALSE)</f>
        <v>Brattleboro</v>
      </c>
      <c r="E52" s="28" t="s">
        <v>972</v>
      </c>
      <c r="F52" s="28" t="s">
        <v>976</v>
      </c>
      <c r="G52" s="28" t="s">
        <v>1018</v>
      </c>
      <c r="H52" s="28" t="s">
        <v>971</v>
      </c>
      <c r="I52" s="28" t="s">
        <v>970</v>
      </c>
      <c r="J52" s="24">
        <f>VLOOKUP(A52,Registry!$A$4:$AA$241,21,FALSE)</f>
        <v>44</v>
      </c>
      <c r="K52" s="28"/>
      <c r="L52" s="104"/>
      <c r="M52" s="105">
        <v>0</v>
      </c>
      <c r="N52" s="104">
        <f t="shared" si="6"/>
        <v>0</v>
      </c>
      <c r="O52" s="35">
        <v>0</v>
      </c>
      <c r="P52" s="104">
        <f t="shared" si="7"/>
        <v>0</v>
      </c>
      <c r="Q52" s="35">
        <v>0</v>
      </c>
      <c r="R52" s="104">
        <f t="shared" si="8"/>
        <v>0</v>
      </c>
      <c r="S52" s="35">
        <v>0</v>
      </c>
      <c r="T52" s="104">
        <f t="shared" si="9"/>
        <v>0</v>
      </c>
      <c r="U52" s="35">
        <f t="shared" si="10"/>
        <v>0</v>
      </c>
      <c r="V52" s="108">
        <f t="shared" si="11"/>
        <v>0</v>
      </c>
      <c r="W52" s="34" t="s">
        <v>972</v>
      </c>
    </row>
    <row r="53" spans="1:23" x14ac:dyDescent="0.25">
      <c r="A53" s="102">
        <v>61</v>
      </c>
      <c r="B53" s="101" t="str">
        <f>VLOOKUP(A53,Registry!$A$4:$AA$241,2,FALSE)</f>
        <v>Glen Park</v>
      </c>
      <c r="C53" s="24" t="str">
        <f>VLOOKUP(A53,Registry!$A$4:$AA$241,3,FALSE)</f>
        <v>Windham</v>
      </c>
      <c r="D53" s="24" t="str">
        <f>VLOOKUP(A53,Registry!$A$4:$AA$241,4,FALSE)</f>
        <v>Brattleboro</v>
      </c>
      <c r="E53" s="28" t="s">
        <v>967</v>
      </c>
      <c r="F53" s="28" t="s">
        <v>963</v>
      </c>
      <c r="G53" s="28" t="s">
        <v>968</v>
      </c>
      <c r="H53" s="28" t="s">
        <v>963</v>
      </c>
      <c r="I53" s="28" t="s">
        <v>970</v>
      </c>
      <c r="J53" s="24">
        <f>VLOOKUP(A53,Registry!$A$4:$AA$241,21,FALSE)</f>
        <v>21</v>
      </c>
      <c r="K53" s="28">
        <v>17</v>
      </c>
      <c r="L53" s="104">
        <f>IF(K53/J53&gt;1,1,K53/J53)</f>
        <v>0.80952380952380953</v>
      </c>
      <c r="M53" s="105">
        <v>9</v>
      </c>
      <c r="N53" s="104">
        <f t="shared" si="6"/>
        <v>0.42857142857142855</v>
      </c>
      <c r="O53" s="35">
        <v>14</v>
      </c>
      <c r="P53" s="104">
        <f t="shared" si="7"/>
        <v>0.66666666666666663</v>
      </c>
      <c r="Q53" s="35">
        <v>19</v>
      </c>
      <c r="R53" s="104">
        <f t="shared" si="8"/>
        <v>0.90476190476190477</v>
      </c>
      <c r="S53" s="35">
        <v>0</v>
      </c>
      <c r="T53" s="104">
        <f t="shared" si="9"/>
        <v>0</v>
      </c>
      <c r="U53" s="35">
        <f t="shared" si="10"/>
        <v>33</v>
      </c>
      <c r="V53" s="108">
        <f t="shared" si="11"/>
        <v>1</v>
      </c>
      <c r="W53" s="34" t="s">
        <v>972</v>
      </c>
    </row>
    <row r="54" spans="1:23" x14ac:dyDescent="0.25">
      <c r="A54" s="102">
        <v>59</v>
      </c>
      <c r="B54" s="101" t="str">
        <f>VLOOKUP(A54,Registry!$A$4:$AA$241,2,FALSE)</f>
        <v>Mountain Home Park</v>
      </c>
      <c r="C54" s="24" t="str">
        <f>VLOOKUP(A54,Registry!$A$4:$AA$241,3,FALSE)</f>
        <v>Windham</v>
      </c>
      <c r="D54" s="24" t="str">
        <f>VLOOKUP(A54,Registry!$A$4:$AA$241,4,FALSE)</f>
        <v>Brattleboro</v>
      </c>
      <c r="E54" s="28" t="s">
        <v>967</v>
      </c>
      <c r="F54" s="28" t="s">
        <v>963</v>
      </c>
      <c r="G54" s="28" t="s">
        <v>968</v>
      </c>
      <c r="H54" s="28" t="s">
        <v>963</v>
      </c>
      <c r="I54" s="28" t="s">
        <v>970</v>
      </c>
      <c r="J54" s="24">
        <f>VLOOKUP(A54,Registry!$A$4:$AA$241,21,FALSE)</f>
        <v>262</v>
      </c>
      <c r="K54" s="28">
        <v>36</v>
      </c>
      <c r="L54" s="104">
        <f>IF(K54/J54&gt;1,1,K54/J54)</f>
        <v>0.13740458015267176</v>
      </c>
      <c r="M54" s="105">
        <v>37</v>
      </c>
      <c r="N54" s="104">
        <f t="shared" si="6"/>
        <v>0.14122137404580154</v>
      </c>
      <c r="O54" s="35">
        <v>33</v>
      </c>
      <c r="P54" s="104">
        <f t="shared" si="7"/>
        <v>0.12595419847328243</v>
      </c>
      <c r="Q54" s="35">
        <v>57</v>
      </c>
      <c r="R54" s="104">
        <f t="shared" si="8"/>
        <v>0.21755725190839695</v>
      </c>
      <c r="S54" s="35">
        <v>0</v>
      </c>
      <c r="T54" s="104">
        <f t="shared" si="9"/>
        <v>0</v>
      </c>
      <c r="U54" s="35">
        <f t="shared" si="10"/>
        <v>90</v>
      </c>
      <c r="V54" s="108">
        <f t="shared" si="11"/>
        <v>0.34351145038167941</v>
      </c>
      <c r="W54" s="34" t="s">
        <v>972</v>
      </c>
    </row>
    <row r="55" spans="1:23" x14ac:dyDescent="0.25">
      <c r="A55" s="102">
        <v>43</v>
      </c>
      <c r="B55" s="101" t="str">
        <f>VLOOKUP(A55,Registry!$A$4:$AA$241,2,FALSE)</f>
        <v>Kings Plot, LLC</v>
      </c>
      <c r="C55" s="24" t="str">
        <f>VLOOKUP(A55,Registry!$A$4:$AA$241,3,FALSE)</f>
        <v>Windham</v>
      </c>
      <c r="D55" s="24" t="str">
        <f>VLOOKUP(A55,Registry!$A$4:$AA$241,4,FALSE)</f>
        <v>Jamaica</v>
      </c>
      <c r="E55" s="28" t="s">
        <v>972</v>
      </c>
      <c r="F55" s="28" t="s">
        <v>976</v>
      </c>
      <c r="G55" s="28" t="s">
        <v>1018</v>
      </c>
      <c r="H55" s="28" t="s">
        <v>976</v>
      </c>
      <c r="I55" s="28" t="s">
        <v>970</v>
      </c>
      <c r="J55" s="24">
        <f>VLOOKUP(A55,Registry!$A$4:$AA$241,21,FALSE)</f>
        <v>10</v>
      </c>
      <c r="K55" s="28"/>
      <c r="L55" s="104"/>
      <c r="M55" s="105">
        <v>0</v>
      </c>
      <c r="N55" s="104">
        <f t="shared" si="6"/>
        <v>0</v>
      </c>
      <c r="O55" s="35">
        <v>0</v>
      </c>
      <c r="P55" s="104">
        <f t="shared" si="7"/>
        <v>0</v>
      </c>
      <c r="Q55" s="35">
        <v>0</v>
      </c>
      <c r="R55" s="104">
        <f t="shared" si="8"/>
        <v>0</v>
      </c>
      <c r="S55" s="35">
        <v>0</v>
      </c>
      <c r="T55" s="104">
        <f t="shared" si="9"/>
        <v>0</v>
      </c>
      <c r="U55" s="35">
        <f t="shared" si="10"/>
        <v>0</v>
      </c>
      <c r="V55" s="108">
        <f t="shared" si="11"/>
        <v>0</v>
      </c>
      <c r="W55" s="34" t="s">
        <v>1211</v>
      </c>
    </row>
    <row r="56" spans="1:23" x14ac:dyDescent="0.25">
      <c r="A56" s="174">
        <v>63</v>
      </c>
      <c r="B56" s="188" t="str">
        <f>VLOOKUP(A56,Registry!$A$4:$AA$241,2,FALSE)</f>
        <v>West River Park</v>
      </c>
      <c r="C56" s="175" t="str">
        <f>VLOOKUP(A56,Registry!$A$4:$AA$241,3,FALSE)</f>
        <v>Windham</v>
      </c>
      <c r="D56" s="175" t="str">
        <f>VLOOKUP(A56,Registry!$A$4:$AA$241,4,FALSE)</f>
        <v>Jamaica</v>
      </c>
      <c r="E56" s="176"/>
      <c r="F56" s="176"/>
      <c r="G56" s="176"/>
      <c r="H56" s="176"/>
      <c r="I56" s="176"/>
      <c r="J56" s="175">
        <f>VLOOKUP(A56,Registry!$A$4:$AA$241,21,FALSE)</f>
        <v>22</v>
      </c>
      <c r="K56" s="176"/>
      <c r="L56" s="177"/>
      <c r="M56" s="178"/>
      <c r="N56" s="177">
        <f t="shared" si="6"/>
        <v>0</v>
      </c>
      <c r="O56" s="179"/>
      <c r="P56" s="177">
        <f t="shared" si="7"/>
        <v>0</v>
      </c>
      <c r="Q56" s="179"/>
      <c r="R56" s="177">
        <f t="shared" si="8"/>
        <v>0</v>
      </c>
      <c r="S56" s="179"/>
      <c r="T56" s="177">
        <f t="shared" si="9"/>
        <v>0</v>
      </c>
      <c r="U56" s="179">
        <f t="shared" si="10"/>
        <v>0</v>
      </c>
      <c r="V56" s="177">
        <f t="shared" si="11"/>
        <v>0</v>
      </c>
      <c r="W56" s="180"/>
    </row>
    <row r="57" spans="1:23" x14ac:dyDescent="0.25">
      <c r="A57" s="102">
        <v>248</v>
      </c>
      <c r="B57" s="101" t="str">
        <f>VLOOKUP(A57,Registry!$A$4:$AA$241,2,FALSE)</f>
        <v>Wilkins Trailer Park</v>
      </c>
      <c r="C57" s="24" t="str">
        <f>VLOOKUP(A57,Registry!$A$4:$AA$241,3,FALSE)</f>
        <v>Windham</v>
      </c>
      <c r="D57" s="24" t="str">
        <f>VLOOKUP(A57,Registry!$A$4:$AA$241,4,FALSE)</f>
        <v>Jamaica</v>
      </c>
      <c r="E57" s="28" t="s">
        <v>972</v>
      </c>
      <c r="F57" s="28" t="s">
        <v>971</v>
      </c>
      <c r="G57" s="28" t="s">
        <v>1018</v>
      </c>
      <c r="H57" s="28" t="s">
        <v>977</v>
      </c>
      <c r="I57" s="28" t="s">
        <v>970</v>
      </c>
      <c r="J57" s="24">
        <f>VLOOKUP(A57,Registry!$A$4:$AA$241,21,FALSE)</f>
        <v>7</v>
      </c>
      <c r="K57" s="28"/>
      <c r="L57" s="104"/>
      <c r="M57" s="105">
        <v>1</v>
      </c>
      <c r="N57" s="104">
        <f t="shared" si="6"/>
        <v>0.14285714285714285</v>
      </c>
      <c r="O57" s="35">
        <v>0</v>
      </c>
      <c r="P57" s="104">
        <f t="shared" si="7"/>
        <v>0</v>
      </c>
      <c r="Q57" s="35">
        <v>10</v>
      </c>
      <c r="R57" s="104">
        <f t="shared" si="8"/>
        <v>1</v>
      </c>
      <c r="S57" s="35">
        <v>0</v>
      </c>
      <c r="T57" s="104">
        <f t="shared" si="9"/>
        <v>0</v>
      </c>
      <c r="U57" s="35">
        <f t="shared" si="10"/>
        <v>10</v>
      </c>
      <c r="V57" s="108">
        <f t="shared" si="11"/>
        <v>1</v>
      </c>
      <c r="W57" s="34" t="s">
        <v>1211</v>
      </c>
    </row>
    <row r="58" spans="1:23" x14ac:dyDescent="0.25">
      <c r="A58" s="102">
        <v>42</v>
      </c>
      <c r="B58" s="101" t="str">
        <f>VLOOKUP(A58,Registry!$A$4:$AA$241,2,FALSE)</f>
        <v>Benson's Park</v>
      </c>
      <c r="C58" s="24" t="str">
        <f>VLOOKUP(A58,Registry!$A$4:$AA$241,3,FALSE)</f>
        <v>Windham</v>
      </c>
      <c r="D58" s="24" t="str">
        <f>VLOOKUP(A58,Registry!$A$4:$AA$241,4,FALSE)</f>
        <v>Rockingham</v>
      </c>
      <c r="E58" s="28" t="s">
        <v>967</v>
      </c>
      <c r="F58" s="28" t="s">
        <v>963</v>
      </c>
      <c r="G58" s="28" t="s">
        <v>973</v>
      </c>
      <c r="H58" s="28" t="s">
        <v>963</v>
      </c>
      <c r="I58" s="28" t="s">
        <v>970</v>
      </c>
      <c r="J58" s="24">
        <f>VLOOKUP(A58,Registry!$A$4:$AA$241,21,FALSE)</f>
        <v>7</v>
      </c>
      <c r="K58" s="28">
        <v>5</v>
      </c>
      <c r="L58" s="104">
        <f>IF(K58/J58&gt;1,1,K58/J58)</f>
        <v>0.7142857142857143</v>
      </c>
      <c r="M58" s="105">
        <v>2</v>
      </c>
      <c r="N58" s="104">
        <f t="shared" si="6"/>
        <v>0.2857142857142857</v>
      </c>
      <c r="O58" s="35">
        <v>1</v>
      </c>
      <c r="P58" s="104">
        <f t="shared" si="7"/>
        <v>0.14285714285714285</v>
      </c>
      <c r="Q58" s="35">
        <v>7</v>
      </c>
      <c r="R58" s="104">
        <f t="shared" si="8"/>
        <v>1</v>
      </c>
      <c r="S58" s="35">
        <v>0</v>
      </c>
      <c r="T58" s="104">
        <f t="shared" si="9"/>
        <v>0</v>
      </c>
      <c r="U58" s="35">
        <f t="shared" si="10"/>
        <v>8</v>
      </c>
      <c r="V58" s="108">
        <f t="shared" si="11"/>
        <v>1</v>
      </c>
      <c r="W58" s="34" t="s">
        <v>972</v>
      </c>
    </row>
    <row r="59" spans="1:23" x14ac:dyDescent="0.25">
      <c r="A59" s="102">
        <v>127</v>
      </c>
      <c r="B59" s="101" t="str">
        <f>VLOOKUP(A59,Registry!$A$4:$AA$241,2,FALSE)</f>
        <v>North Shore Trailer Park</v>
      </c>
      <c r="C59" s="24" t="str">
        <f>VLOOKUP(A59,Registry!$A$4:$AA$241,3,FALSE)</f>
        <v>Windham</v>
      </c>
      <c r="D59" s="24" t="str">
        <f>VLOOKUP(A59,Registry!$A$4:$AA$241,4,FALSE)</f>
        <v>Rockingham</v>
      </c>
      <c r="E59" s="28" t="s">
        <v>972</v>
      </c>
      <c r="F59" s="28" t="s">
        <v>971</v>
      </c>
      <c r="G59" s="28" t="s">
        <v>1018</v>
      </c>
      <c r="H59" s="28" t="s">
        <v>963</v>
      </c>
      <c r="I59" s="28" t="s">
        <v>970</v>
      </c>
      <c r="J59" s="24">
        <f>VLOOKUP(A59,Registry!$A$4:$AA$241,21,FALSE)</f>
        <v>21</v>
      </c>
      <c r="K59" s="28"/>
      <c r="L59" s="104"/>
      <c r="M59" s="105">
        <v>12</v>
      </c>
      <c r="N59" s="104">
        <f t="shared" si="6"/>
        <v>0.5714285714285714</v>
      </c>
      <c r="O59" s="35">
        <v>0</v>
      </c>
      <c r="P59" s="104">
        <f t="shared" si="7"/>
        <v>0</v>
      </c>
      <c r="Q59" s="35">
        <v>21</v>
      </c>
      <c r="R59" s="104">
        <f t="shared" si="8"/>
        <v>1</v>
      </c>
      <c r="S59" s="35">
        <v>0</v>
      </c>
      <c r="T59" s="104">
        <f t="shared" si="9"/>
        <v>0</v>
      </c>
      <c r="U59" s="35">
        <f t="shared" si="10"/>
        <v>21</v>
      </c>
      <c r="V59" s="108">
        <f t="shared" si="11"/>
        <v>1</v>
      </c>
      <c r="W59" s="34" t="s">
        <v>1211</v>
      </c>
    </row>
    <row r="60" spans="1:23" x14ac:dyDescent="0.25">
      <c r="A60" s="102">
        <v>56</v>
      </c>
      <c r="B60" s="101" t="str">
        <f>VLOOKUP(A60,Registry!$A$4:$AA$241,2,FALSE)</f>
        <v>Vernon Estates Inc.</v>
      </c>
      <c r="C60" s="24" t="str">
        <f>VLOOKUP(A60,Registry!$A$4:$AA$241,3,FALSE)</f>
        <v>Windham</v>
      </c>
      <c r="D60" s="24" t="str">
        <f>VLOOKUP(A60,Registry!$A$4:$AA$241,4,FALSE)</f>
        <v>Vernon</v>
      </c>
      <c r="E60" s="28" t="s">
        <v>972</v>
      </c>
      <c r="F60" s="28" t="s">
        <v>971</v>
      </c>
      <c r="G60" s="28" t="s">
        <v>1018</v>
      </c>
      <c r="H60" s="28" t="s">
        <v>971</v>
      </c>
      <c r="I60" s="28" t="s">
        <v>970</v>
      </c>
      <c r="J60" s="24">
        <f>VLOOKUP(A60,Registry!$A$4:$AA$241,21,FALSE)</f>
        <v>10</v>
      </c>
      <c r="K60" s="28"/>
      <c r="L60" s="104"/>
      <c r="M60" s="105">
        <v>5</v>
      </c>
      <c r="N60" s="104">
        <f t="shared" si="6"/>
        <v>0.5</v>
      </c>
      <c r="O60" s="35">
        <v>0</v>
      </c>
      <c r="P60" s="104">
        <f t="shared" si="7"/>
        <v>0</v>
      </c>
      <c r="Q60" s="35">
        <v>7</v>
      </c>
      <c r="R60" s="104">
        <f t="shared" si="8"/>
        <v>0.7</v>
      </c>
      <c r="S60" s="35">
        <v>0</v>
      </c>
      <c r="T60" s="104">
        <f t="shared" si="9"/>
        <v>0</v>
      </c>
      <c r="U60" s="35">
        <f t="shared" si="10"/>
        <v>7</v>
      </c>
      <c r="V60" s="108">
        <f t="shared" si="11"/>
        <v>0.7</v>
      </c>
      <c r="W60" s="34" t="s">
        <v>972</v>
      </c>
    </row>
    <row r="61" spans="1:23" x14ac:dyDescent="0.25">
      <c r="A61" s="102">
        <v>13</v>
      </c>
      <c r="B61" s="101" t="str">
        <f>VLOOKUP(A61,Registry!$A$4:$AA$241,2,FALSE)</f>
        <v>Richards Mobile Home Park</v>
      </c>
      <c r="C61" s="24" t="str">
        <f>VLOOKUP(A61,Registry!$A$4:$AA$241,3,FALSE)</f>
        <v>Windsor</v>
      </c>
      <c r="D61" s="24" t="str">
        <f>VLOOKUP(A61,Registry!$A$4:$AA$241,4,FALSE)</f>
        <v>Bethel</v>
      </c>
      <c r="E61" s="28" t="s">
        <v>967</v>
      </c>
      <c r="F61" s="28" t="s">
        <v>971</v>
      </c>
      <c r="G61" s="28" t="s">
        <v>1018</v>
      </c>
      <c r="H61" s="28" t="s">
        <v>971</v>
      </c>
      <c r="I61" s="28" t="s">
        <v>970</v>
      </c>
      <c r="J61" s="24">
        <f>VLOOKUP(A61,Registry!$A$4:$AA$241,21,FALSE)</f>
        <v>21</v>
      </c>
      <c r="K61" s="28"/>
      <c r="L61" s="104"/>
      <c r="M61" s="105">
        <v>0</v>
      </c>
      <c r="N61" s="104">
        <f t="shared" si="6"/>
        <v>0</v>
      </c>
      <c r="O61" s="35">
        <v>0</v>
      </c>
      <c r="P61" s="104">
        <f t="shared" si="7"/>
        <v>0</v>
      </c>
      <c r="Q61" s="35">
        <v>13</v>
      </c>
      <c r="R61" s="104">
        <f t="shared" si="8"/>
        <v>0.61904761904761907</v>
      </c>
      <c r="S61" s="35">
        <v>4</v>
      </c>
      <c r="T61" s="104">
        <f t="shared" si="9"/>
        <v>0.19047619047619047</v>
      </c>
      <c r="U61" s="35">
        <f t="shared" si="10"/>
        <v>17</v>
      </c>
      <c r="V61" s="108">
        <f t="shared" si="11"/>
        <v>0.80952380952380953</v>
      </c>
      <c r="W61" s="34" t="s">
        <v>972</v>
      </c>
    </row>
    <row r="62" spans="1:23" x14ac:dyDescent="0.25">
      <c r="A62" s="102">
        <v>234</v>
      </c>
      <c r="B62" s="101" t="str">
        <f>VLOOKUP(A62,Registry!$A$4:$AA$241,2,FALSE)</f>
        <v>Merrimac Mobile Home Park</v>
      </c>
      <c r="C62" s="24" t="str">
        <f>VLOOKUP(A62,Registry!$A$4:$AA$241,3,FALSE)</f>
        <v>Windsor</v>
      </c>
      <c r="D62" s="24" t="str">
        <f>VLOOKUP(A62,Registry!$A$4:$AA$241,4,FALSE)</f>
        <v>Hartford</v>
      </c>
      <c r="E62" s="28" t="s">
        <v>972</v>
      </c>
      <c r="F62" s="28" t="s">
        <v>976</v>
      </c>
      <c r="G62" s="28" t="s">
        <v>1018</v>
      </c>
      <c r="H62" s="28" t="s">
        <v>976</v>
      </c>
      <c r="I62" s="28" t="s">
        <v>970</v>
      </c>
      <c r="J62" s="24">
        <f>VLOOKUP(A62,Registry!$A$4:$AA$241,21,FALSE)</f>
        <v>47</v>
      </c>
      <c r="K62" s="28"/>
      <c r="L62" s="104"/>
      <c r="M62" s="105">
        <v>0</v>
      </c>
      <c r="N62" s="104">
        <f t="shared" si="6"/>
        <v>0</v>
      </c>
      <c r="O62" s="35">
        <v>0</v>
      </c>
      <c r="P62" s="104">
        <f t="shared" si="7"/>
        <v>0</v>
      </c>
      <c r="Q62" s="35">
        <v>0</v>
      </c>
      <c r="R62" s="104">
        <f t="shared" si="8"/>
        <v>0</v>
      </c>
      <c r="S62" s="35">
        <v>0</v>
      </c>
      <c r="T62" s="104">
        <f t="shared" si="9"/>
        <v>0</v>
      </c>
      <c r="U62" s="35">
        <f t="shared" si="10"/>
        <v>0</v>
      </c>
      <c r="V62" s="108">
        <f t="shared" si="11"/>
        <v>0</v>
      </c>
      <c r="W62" s="34" t="s">
        <v>1211</v>
      </c>
    </row>
    <row r="63" spans="1:23" x14ac:dyDescent="0.25">
      <c r="A63" s="102">
        <v>15</v>
      </c>
      <c r="B63" s="101" t="str">
        <f>VLOOKUP(A63,Registry!$A$4:$AA$241,2,FALSE)</f>
        <v>Skunk Hollow Mobile Home Park</v>
      </c>
      <c r="C63" s="24" t="str">
        <f>VLOOKUP(A63,Registry!$A$4:$AA$241,3,FALSE)</f>
        <v>Windsor</v>
      </c>
      <c r="D63" s="24" t="str">
        <f>VLOOKUP(A63,Registry!$A$4:$AA$241,4,FALSE)</f>
        <v>Hartland</v>
      </c>
      <c r="E63" s="28" t="s">
        <v>972</v>
      </c>
      <c r="F63" s="28" t="s">
        <v>971</v>
      </c>
      <c r="G63" s="28" t="s">
        <v>1018</v>
      </c>
      <c r="H63" s="28" t="s">
        <v>971</v>
      </c>
      <c r="I63" s="28" t="s">
        <v>970</v>
      </c>
      <c r="J63" s="24">
        <f>VLOOKUP(A63,Registry!$A$4:$AA$241,21,FALSE)</f>
        <v>9</v>
      </c>
      <c r="K63" s="28"/>
      <c r="L63" s="104"/>
      <c r="M63" s="105">
        <v>8</v>
      </c>
      <c r="N63" s="104">
        <f t="shared" si="6"/>
        <v>0.88888888888888884</v>
      </c>
      <c r="O63" s="35">
        <v>0</v>
      </c>
      <c r="P63" s="104">
        <f t="shared" si="7"/>
        <v>0</v>
      </c>
      <c r="Q63" s="35">
        <v>8</v>
      </c>
      <c r="R63" s="104">
        <f t="shared" si="8"/>
        <v>0.88888888888888884</v>
      </c>
      <c r="S63" s="35">
        <v>0</v>
      </c>
      <c r="T63" s="104">
        <f t="shared" si="9"/>
        <v>0</v>
      </c>
      <c r="U63" s="35">
        <f t="shared" si="10"/>
        <v>8</v>
      </c>
      <c r="V63" s="108">
        <f t="shared" si="11"/>
        <v>0.88888888888888884</v>
      </c>
      <c r="W63" s="34" t="s">
        <v>972</v>
      </c>
    </row>
    <row r="64" spans="1:23" x14ac:dyDescent="0.25">
      <c r="A64" s="102">
        <v>37</v>
      </c>
      <c r="B64" s="101" t="str">
        <f>VLOOKUP(A64,Registry!$A$4:$AA$241,2,FALSE)</f>
        <v>Black River Mobile Court</v>
      </c>
      <c r="C64" s="24" t="str">
        <f>VLOOKUP(A64,Registry!$A$4:$AA$241,3,FALSE)</f>
        <v>Windsor</v>
      </c>
      <c r="D64" s="24" t="str">
        <f>VLOOKUP(A64,Registry!$A$4:$AA$241,4,FALSE)</f>
        <v>Ludlow</v>
      </c>
      <c r="E64" s="28" t="s">
        <v>967</v>
      </c>
      <c r="F64" s="28" t="s">
        <v>963</v>
      </c>
      <c r="G64" s="28" t="s">
        <v>973</v>
      </c>
      <c r="H64" s="28" t="s">
        <v>963</v>
      </c>
      <c r="I64" s="28" t="s">
        <v>970</v>
      </c>
      <c r="J64" s="24">
        <f>VLOOKUP(A64,Registry!$A$4:$AA$241,21,FALSE)</f>
        <v>15</v>
      </c>
      <c r="K64" s="28">
        <v>13</v>
      </c>
      <c r="L64" s="104">
        <f>IF(K64/J64&gt;1,1,K64/J64)</f>
        <v>0.8666666666666667</v>
      </c>
      <c r="M64" s="105">
        <v>4</v>
      </c>
      <c r="N64" s="104">
        <f t="shared" si="6"/>
        <v>0.26666666666666666</v>
      </c>
      <c r="O64" s="35">
        <v>8</v>
      </c>
      <c r="P64" s="104">
        <f t="shared" si="7"/>
        <v>0.53333333333333333</v>
      </c>
      <c r="Q64" s="35">
        <v>6</v>
      </c>
      <c r="R64" s="104">
        <f t="shared" si="8"/>
        <v>0.4</v>
      </c>
      <c r="S64" s="35">
        <v>0</v>
      </c>
      <c r="T64" s="104">
        <f t="shared" si="9"/>
        <v>0</v>
      </c>
      <c r="U64" s="35">
        <f t="shared" si="10"/>
        <v>14</v>
      </c>
      <c r="V64" s="108">
        <f t="shared" si="11"/>
        <v>0.93333333333333335</v>
      </c>
      <c r="W64" s="34" t="s">
        <v>972</v>
      </c>
    </row>
    <row r="65" spans="1:23" x14ac:dyDescent="0.25">
      <c r="A65" s="102">
        <v>320</v>
      </c>
      <c r="B65" s="101" t="str">
        <f>VLOOKUP(A65,Registry!$A$4:$AA$241,2,FALSE)</f>
        <v>Hideaway Campground Association, Inc.</v>
      </c>
      <c r="C65" s="24" t="str">
        <f>VLOOKUP(A65,Registry!$A$4:$AA$241,3,FALSE)</f>
        <v>Windsor</v>
      </c>
      <c r="D65" s="24" t="str">
        <f>VLOOKUP(A65,Registry!$A$4:$AA$241,4,FALSE)</f>
        <v>Ludlow</v>
      </c>
      <c r="E65" s="28" t="s">
        <v>967</v>
      </c>
      <c r="F65" s="28" t="s">
        <v>976</v>
      </c>
      <c r="G65" s="28" t="s">
        <v>1018</v>
      </c>
      <c r="H65" s="28" t="s">
        <v>976</v>
      </c>
      <c r="I65" s="28" t="s">
        <v>970</v>
      </c>
      <c r="J65" s="24">
        <f>VLOOKUP(A65,Registry!$A$4:$AA$241,21,FALSE)</f>
        <v>29</v>
      </c>
      <c r="K65" s="28"/>
      <c r="L65" s="104"/>
      <c r="M65" s="105">
        <v>0</v>
      </c>
      <c r="N65" s="104">
        <f t="shared" si="6"/>
        <v>0</v>
      </c>
      <c r="O65" s="35">
        <v>0</v>
      </c>
      <c r="P65" s="104">
        <f t="shared" si="7"/>
        <v>0</v>
      </c>
      <c r="Q65" s="35">
        <v>0</v>
      </c>
      <c r="R65" s="104">
        <f t="shared" si="8"/>
        <v>0</v>
      </c>
      <c r="S65" s="35">
        <v>0</v>
      </c>
      <c r="T65" s="104">
        <f t="shared" si="9"/>
        <v>0</v>
      </c>
      <c r="U65" s="35">
        <f t="shared" si="10"/>
        <v>0</v>
      </c>
      <c r="V65" s="108">
        <f t="shared" si="11"/>
        <v>0</v>
      </c>
      <c r="W65" s="34" t="s">
        <v>972</v>
      </c>
    </row>
    <row r="66" spans="1:23" x14ac:dyDescent="0.25">
      <c r="A66" s="102">
        <v>29</v>
      </c>
      <c r="B66" s="101" t="str">
        <f>VLOOKUP(A66,Registry!$A$4:$AA$241,2,FALSE)</f>
        <v>Royalton Terrace</v>
      </c>
      <c r="C66" s="24" t="str">
        <f>VLOOKUP(A66,Registry!$A$4:$AA$241,3,FALSE)</f>
        <v>Windsor</v>
      </c>
      <c r="D66" s="24" t="str">
        <f>VLOOKUP(A66,Registry!$A$4:$AA$241,4,FALSE)</f>
        <v>Royalton</v>
      </c>
      <c r="E66" s="28" t="s">
        <v>972</v>
      </c>
      <c r="F66" s="28" t="s">
        <v>971</v>
      </c>
      <c r="G66" s="28" t="s">
        <v>1018</v>
      </c>
      <c r="H66" s="28" t="s">
        <v>963</v>
      </c>
      <c r="I66" s="28" t="s">
        <v>970</v>
      </c>
      <c r="J66" s="24">
        <f>VLOOKUP(A66,Registry!$A$4:$AA$241,21,FALSE)</f>
        <v>28</v>
      </c>
      <c r="K66" s="28"/>
      <c r="L66" s="104"/>
      <c r="M66" s="105">
        <v>3</v>
      </c>
      <c r="N66" s="104">
        <f t="shared" si="6"/>
        <v>0.10714285714285714</v>
      </c>
      <c r="O66" s="35">
        <v>0</v>
      </c>
      <c r="P66" s="104">
        <f t="shared" si="7"/>
        <v>0</v>
      </c>
      <c r="Q66" s="35">
        <v>5</v>
      </c>
      <c r="R66" s="104">
        <f t="shared" si="8"/>
        <v>0.17857142857142858</v>
      </c>
      <c r="S66" s="35">
        <v>0</v>
      </c>
      <c r="T66" s="104">
        <f t="shared" si="9"/>
        <v>0</v>
      </c>
      <c r="U66" s="35">
        <f t="shared" si="10"/>
        <v>5</v>
      </c>
      <c r="V66" s="108">
        <f t="shared" si="11"/>
        <v>0.17857142857142858</v>
      </c>
      <c r="W66" s="34" t="s">
        <v>972</v>
      </c>
    </row>
    <row r="67" spans="1:23" x14ac:dyDescent="0.25">
      <c r="A67" s="103">
        <v>45</v>
      </c>
      <c r="B67" s="101" t="str">
        <f>VLOOKUP(A67,Registry!$A$4:$AA$241,2,FALSE)</f>
        <v>Colonial Manor</v>
      </c>
      <c r="C67" s="24" t="str">
        <f>VLOOKUP(A67,Registry!$A$4:$AA$241,3,FALSE)</f>
        <v>Windsor</v>
      </c>
      <c r="D67" s="24" t="str">
        <f>VLOOKUP(A67,Registry!$A$4:$AA$241,4,FALSE)</f>
        <v>Springfield</v>
      </c>
      <c r="E67" s="28" t="s">
        <v>972</v>
      </c>
      <c r="F67" s="28" t="s">
        <v>976</v>
      </c>
      <c r="G67" s="28" t="s">
        <v>1018</v>
      </c>
      <c r="H67" s="28" t="s">
        <v>976</v>
      </c>
      <c r="I67" s="28" t="s">
        <v>970</v>
      </c>
      <c r="J67" s="24">
        <f>VLOOKUP(A67,Registry!$A$4:$AA$241,21,FALSE)</f>
        <v>4</v>
      </c>
      <c r="K67" s="28"/>
      <c r="L67" s="104"/>
      <c r="M67" s="105">
        <v>0</v>
      </c>
      <c r="N67" s="104">
        <f t="shared" si="6"/>
        <v>0</v>
      </c>
      <c r="O67" s="35">
        <v>0</v>
      </c>
      <c r="P67" s="104">
        <f t="shared" si="7"/>
        <v>0</v>
      </c>
      <c r="Q67" s="35">
        <v>0</v>
      </c>
      <c r="R67" s="104">
        <f t="shared" si="8"/>
        <v>0</v>
      </c>
      <c r="S67" s="35">
        <v>0</v>
      </c>
      <c r="T67" s="104">
        <f t="shared" si="9"/>
        <v>0</v>
      </c>
      <c r="U67" s="35">
        <f t="shared" si="10"/>
        <v>0</v>
      </c>
      <c r="V67" s="108">
        <f t="shared" si="11"/>
        <v>0</v>
      </c>
      <c r="W67" s="34" t="s">
        <v>1211</v>
      </c>
    </row>
    <row r="68" spans="1:23" x14ac:dyDescent="0.25">
      <c r="A68" s="103">
        <v>50</v>
      </c>
      <c r="B68" s="101" t="str">
        <f>VLOOKUP(A68,Registry!$A$4:$AA$241,2,FALSE)</f>
        <v>Halls Mobile Home Park</v>
      </c>
      <c r="C68" s="24" t="str">
        <f>VLOOKUP(A68,Registry!$A$4:$AA$241,3,FALSE)</f>
        <v>Windsor</v>
      </c>
      <c r="D68" s="24" t="str">
        <f>VLOOKUP(A68,Registry!$A$4:$AA$241,4,FALSE)</f>
        <v>Springfield</v>
      </c>
      <c r="E68" s="28" t="s">
        <v>972</v>
      </c>
      <c r="F68" s="28" t="s">
        <v>978</v>
      </c>
      <c r="G68" s="28" t="s">
        <v>1018</v>
      </c>
      <c r="H68" s="28" t="s">
        <v>963</v>
      </c>
      <c r="I68" s="74" t="s">
        <v>970</v>
      </c>
      <c r="J68" s="24">
        <f>VLOOKUP(A68,Registry!$A$4:$AA$241,21,FALSE)</f>
        <v>13</v>
      </c>
      <c r="K68" s="74"/>
      <c r="L68" s="106"/>
      <c r="M68" s="107">
        <v>0</v>
      </c>
      <c r="N68" s="106">
        <f t="shared" ref="N68:N71" si="12">M68/J68</f>
        <v>0</v>
      </c>
      <c r="O68" s="36">
        <v>0</v>
      </c>
      <c r="P68" s="106">
        <f t="shared" ref="P68:P71" si="13">IF(O68/J68&gt;1,1,O68/J68)</f>
        <v>0</v>
      </c>
      <c r="Q68" s="36">
        <v>0</v>
      </c>
      <c r="R68" s="106">
        <f t="shared" ref="R68:R71" si="14">IF(Q68/J68&gt;1,1,Q68/J68)</f>
        <v>0</v>
      </c>
      <c r="S68" s="36">
        <v>1</v>
      </c>
      <c r="T68" s="106">
        <f t="shared" ref="T68:T71" si="15">IF(S68/J68&gt;1,1,S68/J68)</f>
        <v>7.6923076923076927E-2</v>
      </c>
      <c r="U68" s="35">
        <f t="shared" si="10"/>
        <v>1</v>
      </c>
      <c r="V68" s="108">
        <f t="shared" ref="V68:V71" si="16">IF(U68/J68&gt;1,1,U68/J68)</f>
        <v>7.6923076923076927E-2</v>
      </c>
      <c r="W68" s="34" t="s">
        <v>1211</v>
      </c>
    </row>
    <row r="69" spans="1:23" x14ac:dyDescent="0.25">
      <c r="A69" s="103">
        <v>285</v>
      </c>
      <c r="B69" s="189" t="str">
        <f>VLOOKUP(A69,Registry!$A$4:$AA$241,2,FALSE)</f>
        <v>Martin Court MHP</v>
      </c>
      <c r="C69" s="189" t="str">
        <f>VLOOKUP(A69,Registry!$A$4:$AA$241,3,FALSE)</f>
        <v>Windsor</v>
      </c>
      <c r="D69" s="189" t="str">
        <f>VLOOKUP(A69,Registry!$A$4:$AA$241,4,FALSE)</f>
        <v>Springfield</v>
      </c>
      <c r="E69" s="28" t="s">
        <v>972</v>
      </c>
      <c r="F69" s="28" t="s">
        <v>976</v>
      </c>
      <c r="G69" s="28" t="s">
        <v>1018</v>
      </c>
      <c r="H69" s="28" t="s">
        <v>976</v>
      </c>
      <c r="I69" s="74" t="s">
        <v>970</v>
      </c>
      <c r="J69" s="189">
        <f>VLOOKUP(A69,Registry!$A$4:$AA$241,21,FALSE)</f>
        <v>6</v>
      </c>
      <c r="K69" s="74"/>
      <c r="L69" s="106"/>
      <c r="M69" s="107">
        <v>0</v>
      </c>
      <c r="N69" s="106">
        <f t="shared" si="12"/>
        <v>0</v>
      </c>
      <c r="O69" s="36">
        <v>0</v>
      </c>
      <c r="P69" s="106">
        <f t="shared" si="13"/>
        <v>0</v>
      </c>
      <c r="Q69" s="36">
        <v>0</v>
      </c>
      <c r="R69" s="106">
        <f t="shared" si="14"/>
        <v>0</v>
      </c>
      <c r="S69" s="36">
        <v>0</v>
      </c>
      <c r="T69" s="106">
        <f t="shared" si="15"/>
        <v>0</v>
      </c>
      <c r="U69" s="36">
        <f t="shared" si="10"/>
        <v>0</v>
      </c>
      <c r="V69" s="190">
        <f t="shared" si="16"/>
        <v>0</v>
      </c>
      <c r="W69" s="191" t="s">
        <v>1211</v>
      </c>
    </row>
    <row r="70" spans="1:23" x14ac:dyDescent="0.25">
      <c r="A70" s="103">
        <v>204</v>
      </c>
      <c r="B70" s="189" t="str">
        <f>VLOOKUP(A70,Registry!$A$4:$AA$241,2,FALSE)</f>
        <v>Bunker Hill Community Co-op</v>
      </c>
      <c r="C70" s="189" t="str">
        <f>VLOOKUP(A70,Registry!$A$4:$AA$241,3,FALSE)</f>
        <v>Windsor</v>
      </c>
      <c r="D70" s="189" t="str">
        <f>VLOOKUP(A70,Registry!$A$4:$AA$241,4,FALSE)</f>
        <v>Windsor</v>
      </c>
      <c r="E70" s="28" t="s">
        <v>972</v>
      </c>
      <c r="F70" s="28" t="s">
        <v>971</v>
      </c>
      <c r="G70" s="28" t="s">
        <v>1018</v>
      </c>
      <c r="H70" s="28" t="s">
        <v>971</v>
      </c>
      <c r="I70" s="74" t="s">
        <v>970</v>
      </c>
      <c r="J70" s="189">
        <f>VLOOKUP(A70,Registry!$A$4:$AA$241,21,FALSE)</f>
        <v>14</v>
      </c>
      <c r="K70" s="74"/>
      <c r="L70" s="106"/>
      <c r="M70" s="107">
        <v>0</v>
      </c>
      <c r="N70" s="106">
        <f t="shared" si="12"/>
        <v>0</v>
      </c>
      <c r="O70" s="36">
        <v>0</v>
      </c>
      <c r="P70" s="106">
        <f t="shared" si="13"/>
        <v>0</v>
      </c>
      <c r="Q70" s="36">
        <v>20</v>
      </c>
      <c r="R70" s="106">
        <f t="shared" si="14"/>
        <v>1</v>
      </c>
      <c r="S70" s="36">
        <v>0</v>
      </c>
      <c r="T70" s="106">
        <f t="shared" si="15"/>
        <v>0</v>
      </c>
      <c r="U70" s="36">
        <f t="shared" si="10"/>
        <v>20</v>
      </c>
      <c r="V70" s="190">
        <f t="shared" si="16"/>
        <v>1</v>
      </c>
      <c r="W70" s="191" t="s">
        <v>1211</v>
      </c>
    </row>
    <row r="71" spans="1:23" x14ac:dyDescent="0.25">
      <c r="A71" s="103">
        <v>143</v>
      </c>
      <c r="B71" s="189" t="str">
        <f>VLOOKUP(A71,Registry!$A$4:$AA$241,2,FALSE)</f>
        <v>Riverside Mobile Home Park</v>
      </c>
      <c r="C71" s="189" t="str">
        <f>VLOOKUP(A71,Registry!$A$4:$AA$241,3,FALSE)</f>
        <v>Windsor</v>
      </c>
      <c r="D71" s="189" t="str">
        <f>VLOOKUP(A71,Registry!$A$4:$AA$241,4,FALSE)</f>
        <v>Woodstock</v>
      </c>
      <c r="E71" s="28" t="s">
        <v>967</v>
      </c>
      <c r="F71" s="28" t="s">
        <v>963</v>
      </c>
      <c r="G71" s="28" t="s">
        <v>1018</v>
      </c>
      <c r="H71" s="28" t="s">
        <v>963</v>
      </c>
      <c r="I71" s="74" t="s">
        <v>970</v>
      </c>
      <c r="J71" s="189">
        <f>VLOOKUP(A71,Registry!$A$4:$AA$241,21,FALSE)</f>
        <v>40</v>
      </c>
      <c r="K71" s="74"/>
      <c r="L71" s="106"/>
      <c r="M71" s="107">
        <v>15</v>
      </c>
      <c r="N71" s="106">
        <f t="shared" si="12"/>
        <v>0.375</v>
      </c>
      <c r="O71" s="36">
        <v>5</v>
      </c>
      <c r="P71" s="106">
        <f t="shared" si="13"/>
        <v>0.125</v>
      </c>
      <c r="Q71" s="36">
        <v>8</v>
      </c>
      <c r="R71" s="106">
        <f t="shared" si="14"/>
        <v>0.2</v>
      </c>
      <c r="S71" s="36">
        <v>23</v>
      </c>
      <c r="T71" s="106">
        <f t="shared" si="15"/>
        <v>0.57499999999999996</v>
      </c>
      <c r="U71" s="36">
        <f t="shared" si="10"/>
        <v>36</v>
      </c>
      <c r="V71" s="190">
        <f t="shared" si="16"/>
        <v>0.9</v>
      </c>
      <c r="W71" s="191" t="s">
        <v>972</v>
      </c>
    </row>
  </sheetData>
  <sortState xmlns:xlrd2="http://schemas.microsoft.com/office/spreadsheetml/2017/richdata2" ref="A4:V52">
    <sortCondition ref="C4:C52"/>
    <sortCondition ref="D4:D52"/>
    <sortCondition ref="B4:B52"/>
  </sortState>
  <mergeCells count="2">
    <mergeCell ref="K2:N2"/>
    <mergeCell ref="O2:V2"/>
  </mergeCells>
  <pageMargins left="0.7" right="0.7" top="0.75" bottom="0.75" header="0.3" footer="0.3"/>
  <pageSetup paperSize="5" orientation="portrait" horizontalDpi="4294967292" verticalDpi="4294967292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S241"/>
  <sheetViews>
    <sheetView workbookViewId="0">
      <selection activeCell="A3" sqref="A3"/>
    </sheetView>
  </sheetViews>
  <sheetFormatPr defaultColWidth="10.85546875" defaultRowHeight="15" x14ac:dyDescent="0.25"/>
  <cols>
    <col min="1" max="1" width="9.28515625" customWidth="1"/>
    <col min="2" max="2" width="34.42578125" bestFit="1" customWidth="1"/>
    <col min="4" max="4" width="11.7109375" customWidth="1"/>
    <col min="5" max="5" width="10.85546875" customWidth="1"/>
    <col min="6" max="6" width="16.140625" customWidth="1"/>
    <col min="7" max="7" width="15.42578125" style="13" customWidth="1"/>
    <col min="8" max="8" width="11.140625" customWidth="1"/>
    <col min="9" max="9" width="9.140625" customWidth="1"/>
    <col min="10" max="10" width="10" customWidth="1"/>
    <col min="11" max="16" width="9.140625" style="23" customWidth="1"/>
    <col min="17" max="18" width="9.140625" style="13" customWidth="1"/>
    <col min="19" max="19" width="8.140625" customWidth="1"/>
    <col min="20" max="20" width="8.7109375" customWidth="1"/>
    <col min="21" max="21" width="10" style="13" customWidth="1"/>
    <col min="22" max="22" width="10.42578125" style="60" customWidth="1"/>
    <col min="23" max="23" width="10" style="13" customWidth="1"/>
    <col min="24" max="24" width="10.42578125" style="60" customWidth="1"/>
    <col min="25" max="25" width="10" style="13" customWidth="1"/>
    <col min="26" max="26" width="10.42578125" style="60" customWidth="1"/>
    <col min="27" max="27" width="10" style="13" customWidth="1"/>
    <col min="28" max="28" width="10.42578125" style="60" customWidth="1"/>
    <col min="29" max="29" width="10" style="13" customWidth="1"/>
    <col min="30" max="30" width="10.42578125" style="60" customWidth="1"/>
    <col min="31" max="31" width="11.140625" style="48" customWidth="1"/>
    <col min="32" max="35" width="11.140625" style="23" customWidth="1"/>
    <col min="36" max="36" width="10.85546875" style="62" customWidth="1"/>
    <col min="37" max="37" width="11.28515625" style="50" customWidth="1"/>
    <col min="38" max="40" width="11.28515625" style="64" customWidth="1"/>
    <col min="41" max="41" width="11.28515625" style="117" customWidth="1"/>
  </cols>
  <sheetData>
    <row r="1" spans="1:43" ht="18.75" x14ac:dyDescent="0.3">
      <c r="A1" s="1" t="s">
        <v>1316</v>
      </c>
    </row>
    <row r="2" spans="1:43" s="13" customFormat="1" ht="27.95" customHeight="1" x14ac:dyDescent="0.25">
      <c r="A2" s="131" t="s">
        <v>1831</v>
      </c>
      <c r="B2" s="51"/>
      <c r="C2" s="51"/>
      <c r="D2" s="51"/>
      <c r="E2" s="51"/>
      <c r="F2" s="51"/>
      <c r="G2" s="51"/>
      <c r="H2" s="51"/>
      <c r="I2" s="225">
        <v>2022</v>
      </c>
      <c r="J2" s="225"/>
      <c r="K2" s="225">
        <v>2021</v>
      </c>
      <c r="L2" s="225"/>
      <c r="M2" s="225">
        <v>2020</v>
      </c>
      <c r="N2" s="225"/>
      <c r="O2" s="225">
        <v>2019</v>
      </c>
      <c r="P2" s="225"/>
      <c r="Q2" s="225" t="s">
        <v>1833</v>
      </c>
      <c r="R2" s="225"/>
      <c r="S2" s="225" t="s">
        <v>1834</v>
      </c>
      <c r="T2" s="225"/>
      <c r="U2" s="225" t="s">
        <v>1675</v>
      </c>
      <c r="V2" s="225"/>
      <c r="W2" s="225" t="s">
        <v>1599</v>
      </c>
      <c r="X2" s="225"/>
      <c r="Y2" s="225" t="s">
        <v>1545</v>
      </c>
      <c r="Z2" s="225"/>
      <c r="AA2" s="226" t="s">
        <v>1835</v>
      </c>
      <c r="AB2" s="226"/>
      <c r="AC2" s="226" t="s">
        <v>1836</v>
      </c>
      <c r="AD2" s="226"/>
      <c r="AE2" s="52"/>
      <c r="AF2" s="55"/>
      <c r="AG2" s="55"/>
      <c r="AH2" s="55"/>
      <c r="AI2" s="55"/>
      <c r="AJ2" s="56"/>
      <c r="AK2" s="53"/>
      <c r="AL2" s="57"/>
      <c r="AM2" s="57"/>
      <c r="AN2" s="57"/>
      <c r="AO2" s="118"/>
    </row>
    <row r="3" spans="1:43" s="13" customFormat="1" ht="45" x14ac:dyDescent="0.25">
      <c r="A3" s="3" t="s">
        <v>0</v>
      </c>
      <c r="B3" s="4" t="s">
        <v>788</v>
      </c>
      <c r="C3" s="4" t="s">
        <v>1</v>
      </c>
      <c r="D3" s="4" t="s">
        <v>789</v>
      </c>
      <c r="E3" s="4" t="s">
        <v>949</v>
      </c>
      <c r="F3" s="4" t="s">
        <v>948</v>
      </c>
      <c r="G3" s="4" t="s">
        <v>987</v>
      </c>
      <c r="H3" s="4" t="s">
        <v>805</v>
      </c>
      <c r="I3" s="4" t="s">
        <v>988</v>
      </c>
      <c r="J3" s="4" t="s">
        <v>809</v>
      </c>
      <c r="K3" s="4" t="s">
        <v>992</v>
      </c>
      <c r="L3" s="4" t="s">
        <v>993</v>
      </c>
      <c r="M3" s="4" t="s">
        <v>994</v>
      </c>
      <c r="N3" s="4" t="s">
        <v>995</v>
      </c>
      <c r="O3" s="4" t="s">
        <v>996</v>
      </c>
      <c r="P3" s="4" t="s">
        <v>997</v>
      </c>
      <c r="Q3" s="4" t="s">
        <v>998</v>
      </c>
      <c r="R3" s="4" t="s">
        <v>999</v>
      </c>
      <c r="S3" s="4" t="s">
        <v>989</v>
      </c>
      <c r="T3" s="4" t="s">
        <v>990</v>
      </c>
      <c r="U3" s="4" t="s">
        <v>1000</v>
      </c>
      <c r="V3" s="114" t="s">
        <v>1001</v>
      </c>
      <c r="W3" s="4" t="s">
        <v>1002</v>
      </c>
      <c r="X3" s="114" t="s">
        <v>1003</v>
      </c>
      <c r="Y3" s="4" t="s">
        <v>1004</v>
      </c>
      <c r="Z3" s="114" t="s">
        <v>1005</v>
      </c>
      <c r="AA3" s="4" t="s">
        <v>1006</v>
      </c>
      <c r="AB3" s="114" t="s">
        <v>1007</v>
      </c>
      <c r="AC3" s="4" t="s">
        <v>1008</v>
      </c>
      <c r="AD3" s="115" t="s">
        <v>1009</v>
      </c>
      <c r="AE3" s="114" t="s">
        <v>1837</v>
      </c>
      <c r="AF3" s="114" t="s">
        <v>1838</v>
      </c>
      <c r="AG3" s="114" t="s">
        <v>1839</v>
      </c>
      <c r="AH3" s="114" t="s">
        <v>1840</v>
      </c>
      <c r="AI3" s="114" t="s">
        <v>1841</v>
      </c>
      <c r="AJ3" s="114" t="s">
        <v>991</v>
      </c>
      <c r="AK3" s="116" t="s">
        <v>1842</v>
      </c>
      <c r="AL3" s="116" t="s">
        <v>1843</v>
      </c>
      <c r="AM3" s="116" t="s">
        <v>1844</v>
      </c>
      <c r="AN3" s="116" t="s">
        <v>1845</v>
      </c>
      <c r="AO3" s="119" t="s">
        <v>1846</v>
      </c>
    </row>
    <row r="4" spans="1:43" x14ac:dyDescent="0.25">
      <c r="A4" s="25">
        <v>97</v>
      </c>
      <c r="B4" s="54" t="str">
        <f>VLOOKUP(A4,Registry!$A$4:$AA$241,2,FALSE)</f>
        <v>Blaises Riverside Rentals, LLC</v>
      </c>
      <c r="C4" s="80" t="str">
        <f>VLOOKUP(A4,Registry!$A$4:$AA$241,3,FALSE)</f>
        <v>Addison</v>
      </c>
      <c r="D4" s="80" t="str">
        <f>VLOOKUP(A4,Registry!$A$4:$AA$241,4,FALSE)</f>
        <v>Bristol</v>
      </c>
      <c r="E4" s="80">
        <f>IF(VLOOKUP(A4,Registry!$A$4:$AA$241,7,FALSE)=0,"",VLOOKUP(A4,Registry!$A$4:$AA$241,7,FALSE))</f>
        <v>1968</v>
      </c>
      <c r="F4" s="80" t="str">
        <f>IF(VLOOKUP(A4,Registry!$A$4:$AA$241,20,FALSE)=0,"",VLOOKUP(A4,Registry!$A$4:$AA$241,20,FALSE))</f>
        <v>For profit</v>
      </c>
      <c r="G4" s="25">
        <v>1977</v>
      </c>
      <c r="H4" s="24">
        <f>VLOOKUP(A4,Registry!$A$4:$AA$241,21,FALSE)</f>
        <v>9</v>
      </c>
      <c r="I4" s="24">
        <f>VLOOKUP(A4,Registry!$A$4:$AA$241,24,FALSE)</f>
        <v>9</v>
      </c>
      <c r="J4" s="24">
        <f>VLOOKUP(A4,Registry!$A$4:$AA$241,26,FALSE)</f>
        <v>0</v>
      </c>
      <c r="K4" s="28">
        <v>9</v>
      </c>
      <c r="L4" s="28">
        <v>0</v>
      </c>
      <c r="M4" s="132">
        <v>9</v>
      </c>
      <c r="N4" s="132">
        <v>0</v>
      </c>
      <c r="O4" s="132">
        <v>9</v>
      </c>
      <c r="P4" s="132">
        <v>0</v>
      </c>
      <c r="Q4" s="28">
        <f>I4-Table4[[#This Row],[Park Owned6]]</f>
        <v>0</v>
      </c>
      <c r="R4" s="28">
        <f>J4-Table4[[#This Row],[Other Owned7]]</f>
        <v>0</v>
      </c>
      <c r="S4" s="24">
        <f>VLOOKUP($A4,Registry!$A$4:$AA$241,23,FALSE)</f>
        <v>0</v>
      </c>
      <c r="T4" s="61">
        <f t="shared" ref="T4:T67" si="0">S4/$H4</f>
        <v>0</v>
      </c>
      <c r="U4" s="35">
        <v>0</v>
      </c>
      <c r="V4" s="91">
        <v>0</v>
      </c>
      <c r="W4" s="88">
        <v>0</v>
      </c>
      <c r="X4" s="91">
        <v>0</v>
      </c>
      <c r="Y4" s="88">
        <v>0</v>
      </c>
      <c r="Z4" s="91">
        <v>0</v>
      </c>
      <c r="AA4" s="35">
        <f>Table4[[#This Row],['# Lots]]-Table4[[#This Row],['# Lots10]]</f>
        <v>0</v>
      </c>
      <c r="AB4" s="61">
        <f t="shared" ref="AB4:AB35" si="1">AA4/$H4</f>
        <v>0</v>
      </c>
      <c r="AC4" s="35">
        <f>Table4[[#This Row],['# Lots]]-Table4[[#This Row],['# Lots14]]</f>
        <v>0</v>
      </c>
      <c r="AD4" s="61">
        <f t="shared" ref="AD4:AD35" si="2">AC4/$H4</f>
        <v>0</v>
      </c>
      <c r="AE4" s="138">
        <v>9</v>
      </c>
      <c r="AF4" s="35">
        <v>9</v>
      </c>
      <c r="AG4" s="87">
        <v>9</v>
      </c>
      <c r="AH4" s="87">
        <v>9</v>
      </c>
      <c r="AI4" s="128">
        <f>Table4[[#This Row],[2022 Leased Lots20]]-Table4[[#This Row],[2019 Leased Lots23]]</f>
        <v>0</v>
      </c>
      <c r="AJ4" s="61">
        <f>AE4/H4</f>
        <v>1</v>
      </c>
      <c r="AK4" s="139">
        <f>VLOOKUP($A4,Registry!$A$4:$AA$241,27,FALSE)</f>
        <v>0</v>
      </c>
      <c r="AL4" s="93">
        <v>0</v>
      </c>
      <c r="AM4" s="93"/>
      <c r="AN4" s="93"/>
      <c r="AO4" s="120" t="str">
        <f>IFERROR((AK4-Table4[[#This Row],[2019 Total Rent29]])/Table4[[#This Row],[2019 Total Rent29]], "-")</f>
        <v>-</v>
      </c>
    </row>
    <row r="5" spans="1:43" x14ac:dyDescent="0.25">
      <c r="A5" s="25">
        <v>86</v>
      </c>
      <c r="B5" s="54" t="str">
        <f>VLOOKUP(A5,Registry!$A$4:$AA$241,2,FALSE)</f>
        <v>KTP or Kountry Trailer Park</v>
      </c>
      <c r="C5" s="80" t="str">
        <f>VLOOKUP(A5,Registry!$A$4:$AA$241,3,FALSE)</f>
        <v>Addison</v>
      </c>
      <c r="D5" s="80" t="str">
        <f>VLOOKUP(A5,Registry!$A$4:$AA$241,4,FALSE)</f>
        <v>Bristol</v>
      </c>
      <c r="E5" s="80">
        <f>IF(VLOOKUP(A5,Registry!$A$4:$AA$241,7,FALSE)=0,"",VLOOKUP(A5,Registry!$A$4:$AA$241,7,FALSE))</f>
        <v>1959</v>
      </c>
      <c r="F5" s="80" t="str">
        <f>IF(VLOOKUP(A5,Registry!$A$4:$AA$241,20,FALSE)=0,"",VLOOKUP(A5,Registry!$A$4:$AA$241,20,FALSE))</f>
        <v>Non-profit</v>
      </c>
      <c r="G5" s="25">
        <v>1996</v>
      </c>
      <c r="H5" s="24">
        <f>VLOOKUP(A5,Registry!$A$4:$AA$241,21,FALSE)</f>
        <v>45</v>
      </c>
      <c r="I5" s="24">
        <f>VLOOKUP(A5,Registry!$A$4:$AA$241,24,FALSE)</f>
        <v>0</v>
      </c>
      <c r="J5" s="24">
        <f>VLOOKUP(A5,Registry!$A$4:$AA$241,26,FALSE)</f>
        <v>0</v>
      </c>
      <c r="K5" s="28">
        <v>0</v>
      </c>
      <c r="L5" s="28">
        <v>0</v>
      </c>
      <c r="M5" s="128">
        <v>0</v>
      </c>
      <c r="N5" s="128">
        <v>0</v>
      </c>
      <c r="O5" s="128">
        <v>1</v>
      </c>
      <c r="P5" s="128">
        <v>0</v>
      </c>
      <c r="Q5" s="28">
        <f>I5-Table4[[#This Row],[Park Owned6]]</f>
        <v>-1</v>
      </c>
      <c r="R5" s="28">
        <f>J5-Table4[[#This Row],[Other Owned7]]</f>
        <v>0</v>
      </c>
      <c r="S5" s="24">
        <f>VLOOKUP($A5,Registry!$A$4:$AA$241,23,FALSE)</f>
        <v>0</v>
      </c>
      <c r="T5" s="61">
        <f t="shared" si="0"/>
        <v>0</v>
      </c>
      <c r="U5" s="35">
        <v>0</v>
      </c>
      <c r="V5" s="90">
        <v>0</v>
      </c>
      <c r="W5" s="86">
        <v>3</v>
      </c>
      <c r="X5" s="90">
        <v>6.7000000000000004E-2</v>
      </c>
      <c r="Y5" s="86">
        <v>4</v>
      </c>
      <c r="Z5" s="90">
        <v>8.900000000000001E-2</v>
      </c>
      <c r="AA5" s="35">
        <f>Table4[[#This Row],['# Lots]]-Table4[[#This Row],['# Lots10]]</f>
        <v>0</v>
      </c>
      <c r="AB5" s="61">
        <f t="shared" si="1"/>
        <v>0</v>
      </c>
      <c r="AC5" s="35">
        <f>Table4[[#This Row],['# Lots]]-Table4[[#This Row],['# Lots14]]</f>
        <v>-4</v>
      </c>
      <c r="AD5" s="61">
        <f t="shared" si="2"/>
        <v>-8.8888888888888892E-2</v>
      </c>
      <c r="AE5" s="138">
        <v>45</v>
      </c>
      <c r="AF5" s="35">
        <v>42</v>
      </c>
      <c r="AG5" s="58">
        <v>41</v>
      </c>
      <c r="AH5" s="58">
        <v>42</v>
      </c>
      <c r="AI5" s="128">
        <f>Table4[[#This Row],[2022 Leased Lots20]]-Table4[[#This Row],[2019 Leased Lots23]]</f>
        <v>3</v>
      </c>
      <c r="AJ5" s="61">
        <f t="shared" ref="AJ5:AJ68" si="3">AE5/H5</f>
        <v>1</v>
      </c>
      <c r="AK5" s="139">
        <f>VLOOKUP($A5,Registry!$A$4:$AA$241,27,FALSE)</f>
        <v>335</v>
      </c>
      <c r="AL5" s="65">
        <v>321</v>
      </c>
      <c r="AM5" s="65">
        <v>311</v>
      </c>
      <c r="AN5" s="65">
        <v>300</v>
      </c>
      <c r="AO5" s="120">
        <f>IFERROR((AK5-Table4[[#This Row],[2019 Total Rent29]])/Table4[[#This Row],[2019 Total Rent29]], "-")</f>
        <v>0.11666666666666667</v>
      </c>
      <c r="AQ5" s="48"/>
    </row>
    <row r="6" spans="1:43" x14ac:dyDescent="0.25">
      <c r="A6" s="25">
        <v>87</v>
      </c>
      <c r="B6" s="54" t="str">
        <f>VLOOKUP(A6,Registry!$A$4:$AA$241,2,FALSE)</f>
        <v>Lauritsen MHP</v>
      </c>
      <c r="C6" s="80" t="str">
        <f>VLOOKUP(A6,Registry!$A$4:$AA$241,3,FALSE)</f>
        <v>Addison</v>
      </c>
      <c r="D6" s="80" t="str">
        <f>VLOOKUP(A6,Registry!$A$4:$AA$241,4,FALSE)</f>
        <v>Bristol</v>
      </c>
      <c r="E6" s="80">
        <f>IF(VLOOKUP(A6,Registry!$A$4:$AA$241,7,FALSE)=0,"",VLOOKUP(A6,Registry!$A$4:$AA$241,7,FALSE))</f>
        <v>1960</v>
      </c>
      <c r="F6" s="80" t="str">
        <f>IF(VLOOKUP(A6,Registry!$A$4:$AA$241,20,FALSE)=0,"",VLOOKUP(A6,Registry!$A$4:$AA$241,20,FALSE))</f>
        <v>Non-profit</v>
      </c>
      <c r="G6" s="25">
        <v>1998</v>
      </c>
      <c r="H6" s="24">
        <f>VLOOKUP(A6,Registry!$A$4:$AA$241,21,FALSE)</f>
        <v>9</v>
      </c>
      <c r="I6" s="24">
        <f>VLOOKUP(A6,Registry!$A$4:$AA$241,24,FALSE)</f>
        <v>0</v>
      </c>
      <c r="J6" s="24">
        <f>VLOOKUP(A6,Registry!$A$4:$AA$241,26,FALSE)</f>
        <v>0</v>
      </c>
      <c r="K6" s="28">
        <v>0</v>
      </c>
      <c r="L6" s="28">
        <v>0</v>
      </c>
      <c r="M6" s="128">
        <v>0</v>
      </c>
      <c r="N6" s="128">
        <v>0</v>
      </c>
      <c r="O6" s="128">
        <v>0</v>
      </c>
      <c r="P6" s="128">
        <v>0</v>
      </c>
      <c r="Q6" s="28">
        <f>I6-Table4[[#This Row],[Park Owned6]]</f>
        <v>0</v>
      </c>
      <c r="R6" s="28">
        <f>J6-Table4[[#This Row],[Other Owned7]]</f>
        <v>0</v>
      </c>
      <c r="S6" s="24">
        <f>VLOOKUP($A6,Registry!$A$4:$AA$241,23,FALSE)</f>
        <v>0</v>
      </c>
      <c r="T6" s="61">
        <f t="shared" si="0"/>
        <v>0</v>
      </c>
      <c r="U6" s="35">
        <v>0</v>
      </c>
      <c r="V6" s="90">
        <v>0</v>
      </c>
      <c r="W6" s="86">
        <v>0</v>
      </c>
      <c r="X6" s="90">
        <v>0</v>
      </c>
      <c r="Y6" s="86">
        <v>0</v>
      </c>
      <c r="Z6" s="90">
        <v>0</v>
      </c>
      <c r="AA6" s="35">
        <f>Table4[[#This Row],['# Lots]]-Table4[[#This Row],['# Lots10]]</f>
        <v>0</v>
      </c>
      <c r="AB6" s="61">
        <f t="shared" si="1"/>
        <v>0</v>
      </c>
      <c r="AC6" s="35">
        <f>Table4[[#This Row],['# Lots]]-Table4[[#This Row],['# Lots14]]</f>
        <v>0</v>
      </c>
      <c r="AD6" s="61">
        <f t="shared" si="2"/>
        <v>0</v>
      </c>
      <c r="AE6" s="138">
        <v>9</v>
      </c>
      <c r="AF6" s="35">
        <v>9</v>
      </c>
      <c r="AG6" s="58">
        <v>9</v>
      </c>
      <c r="AH6" s="58">
        <v>9</v>
      </c>
      <c r="AI6" s="128">
        <f>Table4[[#This Row],[2022 Leased Lots20]]-Table4[[#This Row],[2019 Leased Lots23]]</f>
        <v>0</v>
      </c>
      <c r="AJ6" s="61">
        <f t="shared" si="3"/>
        <v>1</v>
      </c>
      <c r="AK6" s="139">
        <f>VLOOKUP($A6,Registry!$A$4:$AA$241,27,FALSE)</f>
        <v>250</v>
      </c>
      <c r="AL6" s="65">
        <v>239</v>
      </c>
      <c r="AM6" s="65">
        <v>231</v>
      </c>
      <c r="AN6" s="65">
        <v>223</v>
      </c>
      <c r="AO6" s="120">
        <f>IFERROR((AK6-Table4[[#This Row],[2019 Total Rent29]])/Table4[[#This Row],[2019 Total Rent29]], "-")</f>
        <v>0.1210762331838565</v>
      </c>
    </row>
    <row r="7" spans="1:43" x14ac:dyDescent="0.25">
      <c r="A7" s="25">
        <v>263</v>
      </c>
      <c r="B7" s="54" t="str">
        <f>VLOOKUP(A7,Registry!$A$4:$AA$241,2,FALSE)</f>
        <v>Maple Ridge Mobile Home Park</v>
      </c>
      <c r="C7" s="80" t="str">
        <f>VLOOKUP(A7,Registry!$A$4:$AA$241,3,FALSE)</f>
        <v>Addison</v>
      </c>
      <c r="D7" s="80" t="str">
        <f>VLOOKUP(A7,Registry!$A$4:$AA$241,4,FALSE)</f>
        <v>Bristol</v>
      </c>
      <c r="E7" s="80">
        <f>IF(VLOOKUP(A7,Registry!$A$4:$AA$241,7,FALSE)=0,"",VLOOKUP(A7,Registry!$A$4:$AA$241,7,FALSE))</f>
        <v>1985</v>
      </c>
      <c r="F7" s="80" t="str">
        <f>IF(VLOOKUP(A7,Registry!$A$4:$AA$241,20,FALSE)=0,"",VLOOKUP(A7,Registry!$A$4:$AA$241,20,FALSE))</f>
        <v>Non-profit</v>
      </c>
      <c r="G7" s="25">
        <v>1999</v>
      </c>
      <c r="H7" s="24">
        <f>VLOOKUP(A7,Registry!$A$4:$AA$241,21,FALSE)</f>
        <v>9</v>
      </c>
      <c r="I7" s="24">
        <f>VLOOKUP(A7,Registry!$A$4:$AA$241,24,FALSE)</f>
        <v>0</v>
      </c>
      <c r="J7" s="24">
        <f>VLOOKUP(A7,Registry!$A$4:$AA$241,26,FALSE)</f>
        <v>0</v>
      </c>
      <c r="K7" s="28">
        <v>0</v>
      </c>
      <c r="L7" s="28">
        <v>0</v>
      </c>
      <c r="M7" s="128">
        <v>0</v>
      </c>
      <c r="N7" s="128">
        <v>0</v>
      </c>
      <c r="O7" s="128">
        <v>0</v>
      </c>
      <c r="P7" s="128">
        <v>0</v>
      </c>
      <c r="Q7" s="28">
        <f>I7-Table4[[#This Row],[Park Owned6]]</f>
        <v>0</v>
      </c>
      <c r="R7" s="28">
        <f>J7-Table4[[#This Row],[Other Owned7]]</f>
        <v>0</v>
      </c>
      <c r="S7" s="24">
        <f>VLOOKUP($A7,Registry!$A$4:$AA$241,23,FALSE)</f>
        <v>0</v>
      </c>
      <c r="T7" s="61">
        <f t="shared" si="0"/>
        <v>0</v>
      </c>
      <c r="U7" s="35">
        <v>0</v>
      </c>
      <c r="V7" s="90">
        <v>0</v>
      </c>
      <c r="W7" s="86">
        <v>1</v>
      </c>
      <c r="X7" s="90">
        <v>0.111</v>
      </c>
      <c r="Y7" s="86">
        <v>1</v>
      </c>
      <c r="Z7" s="90">
        <v>0.111</v>
      </c>
      <c r="AA7" s="35">
        <f>Table4[[#This Row],['# Lots]]-Table4[[#This Row],['# Lots10]]</f>
        <v>0</v>
      </c>
      <c r="AB7" s="61">
        <f t="shared" si="1"/>
        <v>0</v>
      </c>
      <c r="AC7" s="35">
        <f>Table4[[#This Row],['# Lots]]-Table4[[#This Row],['# Lots14]]</f>
        <v>-1</v>
      </c>
      <c r="AD7" s="61">
        <f t="shared" si="2"/>
        <v>-0.1111111111111111</v>
      </c>
      <c r="AE7" s="138">
        <v>9</v>
      </c>
      <c r="AF7" s="35">
        <v>8</v>
      </c>
      <c r="AG7" s="58">
        <v>8</v>
      </c>
      <c r="AH7" s="58">
        <v>8</v>
      </c>
      <c r="AI7" s="128">
        <f>Table4[[#This Row],[2022 Leased Lots20]]-Table4[[#This Row],[2019 Leased Lots23]]</f>
        <v>1</v>
      </c>
      <c r="AJ7" s="61">
        <f t="shared" si="3"/>
        <v>1</v>
      </c>
      <c r="AK7" s="139">
        <f>VLOOKUP($A7,Registry!$A$4:$AA$241,27,FALSE)</f>
        <v>335</v>
      </c>
      <c r="AL7" s="65">
        <v>321</v>
      </c>
      <c r="AM7" s="65">
        <v>311</v>
      </c>
      <c r="AN7" s="65">
        <v>300</v>
      </c>
      <c r="AO7" s="120">
        <f>IFERROR((AK7-Table4[[#This Row],[2019 Total Rent29]])/Table4[[#This Row],[2019 Total Rent29]], "-")</f>
        <v>0.11666666666666667</v>
      </c>
    </row>
    <row r="8" spans="1:43" x14ac:dyDescent="0.25">
      <c r="A8" s="25">
        <v>293</v>
      </c>
      <c r="B8" s="54" t="str">
        <f>VLOOKUP(A8,Registry!$A$4:$AA$241,2,FALSE)</f>
        <v>J. Earl Perkins Mobile Home Park</v>
      </c>
      <c r="C8" s="80" t="str">
        <f>VLOOKUP(A8,Registry!$A$4:$AA$241,3,FALSE)</f>
        <v>Addison</v>
      </c>
      <c r="D8" s="80" t="str">
        <f>VLOOKUP(A8,Registry!$A$4:$AA$241,4,FALSE)</f>
        <v>Middlebury</v>
      </c>
      <c r="E8" s="80">
        <f>IF(VLOOKUP(A8,Registry!$A$4:$AA$241,7,FALSE)=0,"",VLOOKUP(A8,Registry!$A$4:$AA$241,7,FALSE))</f>
        <v>1965</v>
      </c>
      <c r="F8" s="80" t="str">
        <f>IF(VLOOKUP(A8,Registry!$A$4:$AA$241,20,FALSE)=0,"",VLOOKUP(A8,Registry!$A$4:$AA$241,20,FALSE))</f>
        <v>For profit</v>
      </c>
      <c r="G8" s="25">
        <v>2002</v>
      </c>
      <c r="H8" s="24">
        <f>VLOOKUP(A8,Registry!$A$4:$AA$241,21,FALSE)</f>
        <v>2</v>
      </c>
      <c r="I8" s="24">
        <f>VLOOKUP(A8,Registry!$A$4:$AA$241,24,FALSE)</f>
        <v>2</v>
      </c>
      <c r="J8" s="24">
        <f>VLOOKUP(A8,Registry!$A$4:$AA$241,26,FALSE)</f>
        <v>0</v>
      </c>
      <c r="K8" s="28">
        <v>2</v>
      </c>
      <c r="L8" s="28">
        <v>0</v>
      </c>
      <c r="M8" s="128">
        <v>2</v>
      </c>
      <c r="N8" s="128">
        <v>0</v>
      </c>
      <c r="O8" s="128">
        <v>2</v>
      </c>
      <c r="P8" s="128">
        <v>0</v>
      </c>
      <c r="Q8" s="28">
        <f>I8-Table4[[#This Row],[Park Owned6]]</f>
        <v>0</v>
      </c>
      <c r="R8" s="28">
        <f>J8-Table4[[#This Row],[Other Owned7]]</f>
        <v>0</v>
      </c>
      <c r="S8" s="24">
        <f>VLOOKUP($A8,Registry!$A$4:$AA$241,23,FALSE)</f>
        <v>0</v>
      </c>
      <c r="T8" s="61">
        <f t="shared" si="0"/>
        <v>0</v>
      </c>
      <c r="U8" s="35">
        <v>0</v>
      </c>
      <c r="V8" s="90">
        <v>0</v>
      </c>
      <c r="W8" s="86">
        <v>0</v>
      </c>
      <c r="X8" s="90">
        <v>0</v>
      </c>
      <c r="Y8" s="86">
        <v>0</v>
      </c>
      <c r="Z8" s="90">
        <v>0</v>
      </c>
      <c r="AA8" s="35">
        <f>Table4[[#This Row],['# Lots]]-Table4[[#This Row],['# Lots10]]</f>
        <v>0</v>
      </c>
      <c r="AB8" s="61">
        <f t="shared" si="1"/>
        <v>0</v>
      </c>
      <c r="AC8" s="35">
        <f>Table4[[#This Row],['# Lots]]-Table4[[#This Row],['# Lots14]]</f>
        <v>0</v>
      </c>
      <c r="AD8" s="61">
        <f t="shared" si="2"/>
        <v>0</v>
      </c>
      <c r="AE8" s="138">
        <v>2</v>
      </c>
      <c r="AF8" s="35">
        <v>2</v>
      </c>
      <c r="AG8" s="58">
        <v>2</v>
      </c>
      <c r="AH8" s="58">
        <v>2</v>
      </c>
      <c r="AI8" s="128">
        <f>Table4[[#This Row],[2022 Leased Lots20]]-Table4[[#This Row],[2019 Leased Lots23]]</f>
        <v>0</v>
      </c>
      <c r="AJ8" s="61">
        <f t="shared" si="3"/>
        <v>1</v>
      </c>
      <c r="AK8" s="139">
        <f>VLOOKUP($A8,Registry!$A$4:$AA$241,27,FALSE)</f>
        <v>0</v>
      </c>
      <c r="AL8" s="65">
        <v>0</v>
      </c>
      <c r="AM8" s="65"/>
      <c r="AN8" s="65"/>
      <c r="AO8" s="120" t="str">
        <f>IFERROR((AK8-Table4[[#This Row],[2019 Total Rent29]])/Table4[[#This Row],[2019 Total Rent29]], "-")</f>
        <v>-</v>
      </c>
    </row>
    <row r="9" spans="1:43" x14ac:dyDescent="0.25">
      <c r="A9" s="25">
        <v>80</v>
      </c>
      <c r="B9" s="54" t="str">
        <f>VLOOKUP(A9,Registry!$A$4:$AA$241,2,FALSE)</f>
        <v>Lindale Mobile Home Park</v>
      </c>
      <c r="C9" s="80" t="str">
        <f>VLOOKUP(A9,Registry!$A$4:$AA$241,3,FALSE)</f>
        <v>Addison</v>
      </c>
      <c r="D9" s="80" t="str">
        <f>VLOOKUP(A9,Registry!$A$4:$AA$241,4,FALSE)</f>
        <v>Middlebury</v>
      </c>
      <c r="E9" s="80">
        <f>IF(VLOOKUP(A9,Registry!$A$4:$AA$241,7,FALSE)=0,"",VLOOKUP(A9,Registry!$A$4:$AA$241,7,FALSE))</f>
        <v>1968</v>
      </c>
      <c r="F9" s="80" t="str">
        <f>IF(VLOOKUP(A9,Registry!$A$4:$AA$241,20,FALSE)=0,"",VLOOKUP(A9,Registry!$A$4:$AA$241,20,FALSE))</f>
        <v>Non-profit</v>
      </c>
      <c r="G9" s="25">
        <v>2004</v>
      </c>
      <c r="H9" s="24">
        <f>VLOOKUP(A9,Registry!$A$4:$AA$241,21,FALSE)</f>
        <v>67</v>
      </c>
      <c r="I9" s="24">
        <f>VLOOKUP(A9,Registry!$A$4:$AA$241,24,FALSE)</f>
        <v>0</v>
      </c>
      <c r="J9" s="24">
        <f>VLOOKUP(A9,Registry!$A$4:$AA$241,26,FALSE)</f>
        <v>0</v>
      </c>
      <c r="K9" s="28">
        <v>0</v>
      </c>
      <c r="L9" s="28">
        <v>0</v>
      </c>
      <c r="M9" s="128">
        <v>0</v>
      </c>
      <c r="N9" s="128">
        <v>0</v>
      </c>
      <c r="O9" s="128">
        <v>0</v>
      </c>
      <c r="P9" s="128">
        <v>0</v>
      </c>
      <c r="Q9" s="28">
        <f>I9-Table4[[#This Row],[Park Owned6]]</f>
        <v>0</v>
      </c>
      <c r="R9" s="28">
        <f>J9-Table4[[#This Row],[Other Owned7]]</f>
        <v>0</v>
      </c>
      <c r="S9" s="24">
        <f>VLOOKUP($A9,Registry!$A$4:$AA$241,23,FALSE)</f>
        <v>0</v>
      </c>
      <c r="T9" s="61">
        <f t="shared" si="0"/>
        <v>0</v>
      </c>
      <c r="U9" s="35">
        <v>0</v>
      </c>
      <c r="V9" s="90">
        <v>0</v>
      </c>
      <c r="W9" s="86">
        <v>0</v>
      </c>
      <c r="X9" s="90">
        <v>0</v>
      </c>
      <c r="Y9" s="86">
        <v>1</v>
      </c>
      <c r="Z9" s="90">
        <v>1.4999999999999999E-2</v>
      </c>
      <c r="AA9" s="35">
        <f>Table4[[#This Row],['# Lots]]-Table4[[#This Row],['# Lots10]]</f>
        <v>0</v>
      </c>
      <c r="AB9" s="61">
        <f t="shared" si="1"/>
        <v>0</v>
      </c>
      <c r="AC9" s="35">
        <f>Table4[[#This Row],['# Lots]]-Table4[[#This Row],['# Lots14]]</f>
        <v>-1</v>
      </c>
      <c r="AD9" s="61">
        <f t="shared" si="2"/>
        <v>-1.4925373134328358E-2</v>
      </c>
      <c r="AE9" s="138">
        <v>67</v>
      </c>
      <c r="AF9" s="35">
        <v>67</v>
      </c>
      <c r="AG9" s="58">
        <v>66</v>
      </c>
      <c r="AH9" s="58">
        <v>66</v>
      </c>
      <c r="AI9" s="128">
        <f>Table4[[#This Row],[2022 Leased Lots20]]-Table4[[#This Row],[2019 Leased Lots23]]</f>
        <v>1</v>
      </c>
      <c r="AJ9" s="61">
        <f t="shared" si="3"/>
        <v>1</v>
      </c>
      <c r="AK9" s="139">
        <f>VLOOKUP($A9,Registry!$A$4:$AA$241,27,FALSE)</f>
        <v>363</v>
      </c>
      <c r="AL9" s="65">
        <v>348</v>
      </c>
      <c r="AM9" s="65">
        <v>337</v>
      </c>
      <c r="AN9" s="65">
        <v>325</v>
      </c>
      <c r="AO9" s="120">
        <f>IFERROR((AK9-Table4[[#This Row],[2019 Total Rent29]])/Table4[[#This Row],[2019 Total Rent29]], "-")</f>
        <v>0.11692307692307692</v>
      </c>
    </row>
    <row r="10" spans="1:43" x14ac:dyDescent="0.25">
      <c r="A10" s="25">
        <v>315</v>
      </c>
      <c r="B10" s="54" t="str">
        <f>VLOOKUP(A10,Registry!$A$4:$AA$241,2,FALSE)</f>
        <v>Quesnel MHP</v>
      </c>
      <c r="C10" s="80" t="str">
        <f>VLOOKUP(A10,Registry!$A$4:$AA$241,3,FALSE)</f>
        <v>Addison</v>
      </c>
      <c r="D10" s="80" t="str">
        <f>VLOOKUP(A10,Registry!$A$4:$AA$241,4,FALSE)</f>
        <v>Middlebury</v>
      </c>
      <c r="E10" s="80">
        <f>IF(VLOOKUP(A10,Registry!$A$4:$AA$241,7,FALSE)=0,"",VLOOKUP(A10,Registry!$A$4:$AA$241,7,FALSE))</f>
        <v>1978</v>
      </c>
      <c r="F10" s="80" t="str">
        <f>IF(VLOOKUP(A10,Registry!$A$4:$AA$241,20,FALSE)=0,"",VLOOKUP(A10,Registry!$A$4:$AA$241,20,FALSE))</f>
        <v>For profit</v>
      </c>
      <c r="G10" s="25">
        <v>2000</v>
      </c>
      <c r="H10" s="24">
        <f>VLOOKUP(A10,Registry!$A$4:$AA$241,21,FALSE)</f>
        <v>4</v>
      </c>
      <c r="I10" s="24">
        <f>VLOOKUP(A10,Registry!$A$4:$AA$241,24,FALSE)</f>
        <v>2</v>
      </c>
      <c r="J10" s="24">
        <f>VLOOKUP(A10,Registry!$A$4:$AA$241,26,FALSE)</f>
        <v>0</v>
      </c>
      <c r="K10" s="28">
        <v>2</v>
      </c>
      <c r="L10" s="28">
        <v>0</v>
      </c>
      <c r="M10" s="128">
        <v>2</v>
      </c>
      <c r="N10" s="128">
        <v>0</v>
      </c>
      <c r="O10" s="128">
        <v>2</v>
      </c>
      <c r="P10" s="128">
        <v>0</v>
      </c>
      <c r="Q10" s="28">
        <f>I10-Table4[[#This Row],[Park Owned6]]</f>
        <v>0</v>
      </c>
      <c r="R10" s="28">
        <f>J10-Table4[[#This Row],[Other Owned7]]</f>
        <v>0</v>
      </c>
      <c r="S10" s="24">
        <f>VLOOKUP($A10,Registry!$A$4:$AA$241,23,FALSE)</f>
        <v>0</v>
      </c>
      <c r="T10" s="61">
        <f t="shared" si="0"/>
        <v>0</v>
      </c>
      <c r="U10" s="35">
        <v>0</v>
      </c>
      <c r="V10" s="90">
        <v>0</v>
      </c>
      <c r="W10" s="86">
        <v>0</v>
      </c>
      <c r="X10" s="90">
        <v>0</v>
      </c>
      <c r="Y10" s="86">
        <v>0</v>
      </c>
      <c r="Z10" s="90">
        <v>0</v>
      </c>
      <c r="AA10" s="35">
        <f>Table4[[#This Row],['# Lots]]-Table4[[#This Row],['# Lots10]]</f>
        <v>0</v>
      </c>
      <c r="AB10" s="61">
        <f t="shared" si="1"/>
        <v>0</v>
      </c>
      <c r="AC10" s="35">
        <f>Table4[[#This Row],['# Lots]]-Table4[[#This Row],['# Lots14]]</f>
        <v>0</v>
      </c>
      <c r="AD10" s="61">
        <f t="shared" si="2"/>
        <v>0</v>
      </c>
      <c r="AE10" s="138">
        <v>4</v>
      </c>
      <c r="AF10" s="35">
        <v>4</v>
      </c>
      <c r="AG10" s="58">
        <v>4</v>
      </c>
      <c r="AH10" s="58">
        <v>4</v>
      </c>
      <c r="AI10" s="128">
        <f>Table4[[#This Row],[2022 Leased Lots20]]-Table4[[#This Row],[2019 Leased Lots23]]</f>
        <v>0</v>
      </c>
      <c r="AJ10" s="61">
        <f t="shared" si="3"/>
        <v>1</v>
      </c>
      <c r="AK10" s="139">
        <f>VLOOKUP($A10,Registry!$A$4:$AA$241,27,FALSE)</f>
        <v>300</v>
      </c>
      <c r="AL10" s="65">
        <v>300</v>
      </c>
      <c r="AM10" s="65">
        <v>300</v>
      </c>
      <c r="AN10" s="65">
        <v>300</v>
      </c>
      <c r="AO10" s="120">
        <f>IFERROR((AK10-Table4[[#This Row],[2019 Total Rent29]])/Table4[[#This Row],[2019 Total Rent29]], "-")</f>
        <v>0</v>
      </c>
    </row>
    <row r="11" spans="1:43" x14ac:dyDescent="0.25">
      <c r="A11" s="25">
        <v>90</v>
      </c>
      <c r="B11" s="54" t="str">
        <f>VLOOKUP(A11,Registry!$A$4:$AA$241,2,FALSE)</f>
        <v>Vaughn MHP</v>
      </c>
      <c r="C11" s="80" t="str">
        <f>VLOOKUP(A11,Registry!$A$4:$AA$241,3,FALSE)</f>
        <v>Addison</v>
      </c>
      <c r="D11" s="80" t="str">
        <f>VLOOKUP(A11,Registry!$A$4:$AA$241,4,FALSE)</f>
        <v>Monkton</v>
      </c>
      <c r="E11" s="80">
        <f>IF(VLOOKUP(A11,Registry!$A$4:$AA$241,7,FALSE)=0,"",VLOOKUP(A11,Registry!$A$4:$AA$241,7,FALSE))</f>
        <v>1970</v>
      </c>
      <c r="F11" s="80" t="str">
        <f>IF(VLOOKUP(A11,Registry!$A$4:$AA$241,20,FALSE)=0,"",VLOOKUP(A11,Registry!$A$4:$AA$241,20,FALSE))</f>
        <v>Non-profit</v>
      </c>
      <c r="G11" s="25">
        <v>2007</v>
      </c>
      <c r="H11" s="24">
        <f>VLOOKUP(A11,Registry!$A$4:$AA$241,21,FALSE)</f>
        <v>9</v>
      </c>
      <c r="I11" s="24">
        <f>VLOOKUP(A11,Registry!$A$4:$AA$241,24,FALSE)</f>
        <v>0</v>
      </c>
      <c r="J11" s="24">
        <f>VLOOKUP(A11,Registry!$A$4:$AA$241,26,FALSE)</f>
        <v>0</v>
      </c>
      <c r="K11" s="28">
        <v>0</v>
      </c>
      <c r="L11" s="28">
        <v>0</v>
      </c>
      <c r="M11" s="128">
        <v>0</v>
      </c>
      <c r="N11" s="128">
        <v>0</v>
      </c>
      <c r="O11" s="128">
        <v>0</v>
      </c>
      <c r="P11" s="128">
        <v>0</v>
      </c>
      <c r="Q11" s="28">
        <f>I11-Table4[[#This Row],[Park Owned6]]</f>
        <v>0</v>
      </c>
      <c r="R11" s="28">
        <f>J11-Table4[[#This Row],[Other Owned7]]</f>
        <v>0</v>
      </c>
      <c r="S11" s="24">
        <f>VLOOKUP($A11,Registry!$A$4:$AA$241,23,FALSE)</f>
        <v>0</v>
      </c>
      <c r="T11" s="61">
        <f t="shared" si="0"/>
        <v>0</v>
      </c>
      <c r="U11" s="35">
        <v>0</v>
      </c>
      <c r="V11" s="90">
        <v>0</v>
      </c>
      <c r="W11" s="86">
        <v>1</v>
      </c>
      <c r="X11" s="90">
        <v>0.111</v>
      </c>
      <c r="Y11" s="86">
        <v>0</v>
      </c>
      <c r="Z11" s="90">
        <v>0</v>
      </c>
      <c r="AA11" s="35">
        <f>Table4[[#This Row],['# Lots]]-Table4[[#This Row],['# Lots10]]</f>
        <v>0</v>
      </c>
      <c r="AB11" s="61">
        <f t="shared" si="1"/>
        <v>0</v>
      </c>
      <c r="AC11" s="35">
        <f>Table4[[#This Row],['# Lots]]-Table4[[#This Row],['# Lots14]]</f>
        <v>0</v>
      </c>
      <c r="AD11" s="61">
        <f t="shared" si="2"/>
        <v>0</v>
      </c>
      <c r="AE11" s="138">
        <v>9</v>
      </c>
      <c r="AF11" s="35">
        <v>8</v>
      </c>
      <c r="AG11" s="58">
        <v>9</v>
      </c>
      <c r="AH11" s="58">
        <v>8</v>
      </c>
      <c r="AI11" s="128">
        <f>Table4[[#This Row],[2022 Leased Lots20]]-Table4[[#This Row],[2019 Leased Lots23]]</f>
        <v>1</v>
      </c>
      <c r="AJ11" s="61">
        <f t="shared" si="3"/>
        <v>1</v>
      </c>
      <c r="AK11" s="139">
        <f>VLOOKUP($A11,Registry!$A$4:$AA$241,27,FALSE)</f>
        <v>395</v>
      </c>
      <c r="AL11" s="65">
        <v>382</v>
      </c>
      <c r="AM11" s="65">
        <v>370</v>
      </c>
      <c r="AN11" s="65">
        <v>357</v>
      </c>
      <c r="AO11" s="120">
        <f>IFERROR((AK11-Table4[[#This Row],[2019 Total Rent29]])/Table4[[#This Row],[2019 Total Rent29]], "-")</f>
        <v>0.10644257703081232</v>
      </c>
    </row>
    <row r="12" spans="1:43" x14ac:dyDescent="0.25">
      <c r="A12" s="25">
        <v>185</v>
      </c>
      <c r="B12" s="54" t="str">
        <f>VLOOKUP(A12,Registry!$A$4:$AA$241,2,FALSE)</f>
        <v>Skip's Mobile Home Park</v>
      </c>
      <c r="C12" s="80" t="str">
        <f>VLOOKUP(A12,Registry!$A$4:$AA$241,3,FALSE)</f>
        <v>Addison</v>
      </c>
      <c r="D12" s="80" t="str">
        <f>VLOOKUP(A12,Registry!$A$4:$AA$241,4,FALSE)</f>
        <v>Salisbury</v>
      </c>
      <c r="E12" s="80">
        <f>IF(VLOOKUP(A12,Registry!$A$4:$AA$241,7,FALSE)=0,"",VLOOKUP(A12,Registry!$A$4:$AA$241,7,FALSE))</f>
        <v>1983</v>
      </c>
      <c r="F12" s="80" t="str">
        <f>IF(VLOOKUP(A12,Registry!$A$4:$AA$241,20,FALSE)=0,"",VLOOKUP(A12,Registry!$A$4:$AA$241,20,FALSE))</f>
        <v>For profit</v>
      </c>
      <c r="G12" s="25">
        <v>1994</v>
      </c>
      <c r="H12" s="24">
        <f>VLOOKUP(A12,Registry!$A$4:$AA$241,21,FALSE)</f>
        <v>4</v>
      </c>
      <c r="I12" s="24">
        <f>VLOOKUP(A12,Registry!$A$4:$AA$241,24,FALSE)</f>
        <v>1</v>
      </c>
      <c r="J12" s="24">
        <f>VLOOKUP(A12,Registry!$A$4:$AA$241,26,FALSE)</f>
        <v>0</v>
      </c>
      <c r="K12" s="28">
        <v>1</v>
      </c>
      <c r="L12" s="28">
        <v>0</v>
      </c>
      <c r="M12" s="128">
        <v>1</v>
      </c>
      <c r="N12" s="128">
        <v>0</v>
      </c>
      <c r="O12" s="128">
        <v>1</v>
      </c>
      <c r="P12" s="128">
        <v>0</v>
      </c>
      <c r="Q12" s="28">
        <f>I12-Table4[[#This Row],[Park Owned6]]</f>
        <v>0</v>
      </c>
      <c r="R12" s="28">
        <f>J12-Table4[[#This Row],[Other Owned7]]</f>
        <v>0</v>
      </c>
      <c r="S12" s="24">
        <f>VLOOKUP($A12,Registry!$A$4:$AA$241,23,FALSE)</f>
        <v>0</v>
      </c>
      <c r="T12" s="61">
        <f t="shared" si="0"/>
        <v>0</v>
      </c>
      <c r="U12" s="35">
        <v>0</v>
      </c>
      <c r="V12" s="90">
        <v>0</v>
      </c>
      <c r="W12" s="86">
        <v>0</v>
      </c>
      <c r="X12" s="90">
        <v>0</v>
      </c>
      <c r="Y12" s="86">
        <v>0</v>
      </c>
      <c r="Z12" s="90">
        <v>0</v>
      </c>
      <c r="AA12" s="35">
        <f>Table4[[#This Row],['# Lots]]-Table4[[#This Row],['# Lots10]]</f>
        <v>0</v>
      </c>
      <c r="AB12" s="61">
        <f t="shared" si="1"/>
        <v>0</v>
      </c>
      <c r="AC12" s="35">
        <f>Table4[[#This Row],['# Lots]]-Table4[[#This Row],['# Lots14]]</f>
        <v>0</v>
      </c>
      <c r="AD12" s="61">
        <f t="shared" si="2"/>
        <v>0</v>
      </c>
      <c r="AE12" s="138">
        <v>4</v>
      </c>
      <c r="AF12" s="35">
        <v>4</v>
      </c>
      <c r="AG12" s="58">
        <v>4</v>
      </c>
      <c r="AH12" s="58">
        <v>4</v>
      </c>
      <c r="AI12" s="128">
        <f>Table4[[#This Row],[2022 Leased Lots20]]-Table4[[#This Row],[2019 Leased Lots23]]</f>
        <v>0</v>
      </c>
      <c r="AJ12" s="61">
        <f t="shared" si="3"/>
        <v>1</v>
      </c>
      <c r="AK12" s="139">
        <f>VLOOKUP($A12,Registry!$A$4:$AA$241,27,FALSE)</f>
        <v>160</v>
      </c>
      <c r="AL12" s="65">
        <v>160</v>
      </c>
      <c r="AM12" s="65">
        <v>160</v>
      </c>
      <c r="AN12" s="65">
        <v>160</v>
      </c>
      <c r="AO12" s="120">
        <f>IFERROR((AK12-Table4[[#This Row],[2019 Total Rent29]])/Table4[[#This Row],[2019 Total Rent29]], "-")</f>
        <v>0</v>
      </c>
    </row>
    <row r="13" spans="1:43" x14ac:dyDescent="0.25">
      <c r="A13" s="25">
        <v>114</v>
      </c>
      <c r="B13" s="54" t="str">
        <f>VLOOKUP(A13,Registry!$A$4:$AA$241,2,FALSE)</f>
        <v>Brookside Mobile Home Park</v>
      </c>
      <c r="C13" s="80" t="str">
        <f>VLOOKUP(A13,Registry!$A$4:$AA$241,3,FALSE)</f>
        <v>Addison</v>
      </c>
      <c r="D13" s="80" t="str">
        <f>VLOOKUP(A13,Registry!$A$4:$AA$241,4,FALSE)</f>
        <v>Starksboro</v>
      </c>
      <c r="E13" s="80">
        <f>IF(VLOOKUP(A13,Registry!$A$4:$AA$241,7,FALSE)=0,"",VLOOKUP(A13,Registry!$A$4:$AA$241,7,FALSE))</f>
        <v>1969</v>
      </c>
      <c r="F13" s="80" t="str">
        <f>IF(VLOOKUP(A13,Registry!$A$4:$AA$241,20,FALSE)=0,"",VLOOKUP(A13,Registry!$A$4:$AA$241,20,FALSE))</f>
        <v>Non-profit</v>
      </c>
      <c r="G13" s="25">
        <v>2001</v>
      </c>
      <c r="H13" s="24">
        <f>VLOOKUP(A13,Registry!$A$4:$AA$241,21,FALSE)</f>
        <v>48</v>
      </c>
      <c r="I13" s="24">
        <f>VLOOKUP(A13,Registry!$A$4:$AA$241,24,FALSE)</f>
        <v>0</v>
      </c>
      <c r="J13" s="24">
        <f>VLOOKUP(A13,Registry!$A$4:$AA$241,26,FALSE)</f>
        <v>0</v>
      </c>
      <c r="K13" s="28">
        <v>0</v>
      </c>
      <c r="L13" s="28">
        <v>0</v>
      </c>
      <c r="M13" s="128">
        <v>0</v>
      </c>
      <c r="N13" s="128">
        <v>0</v>
      </c>
      <c r="O13" s="128">
        <v>0</v>
      </c>
      <c r="P13" s="128">
        <v>0</v>
      </c>
      <c r="Q13" s="28">
        <f>I13-Table4[[#This Row],[Park Owned6]]</f>
        <v>0</v>
      </c>
      <c r="R13" s="28">
        <f>J13-Table4[[#This Row],[Other Owned7]]</f>
        <v>0</v>
      </c>
      <c r="S13" s="24">
        <f>VLOOKUP($A13,Registry!$A$4:$AA$241,23,FALSE)</f>
        <v>0</v>
      </c>
      <c r="T13" s="61">
        <f t="shared" si="0"/>
        <v>0</v>
      </c>
      <c r="U13" s="35">
        <v>0</v>
      </c>
      <c r="V13" s="90">
        <v>0</v>
      </c>
      <c r="W13" s="86">
        <v>0</v>
      </c>
      <c r="X13" s="90">
        <v>0</v>
      </c>
      <c r="Y13" s="86">
        <v>0</v>
      </c>
      <c r="Z13" s="90">
        <v>0</v>
      </c>
      <c r="AA13" s="35">
        <f>Table4[[#This Row],['# Lots]]-Table4[[#This Row],['# Lots10]]</f>
        <v>0</v>
      </c>
      <c r="AB13" s="61">
        <f t="shared" si="1"/>
        <v>0</v>
      </c>
      <c r="AC13" s="35">
        <f>Table4[[#This Row],['# Lots]]-Table4[[#This Row],['# Lots14]]</f>
        <v>0</v>
      </c>
      <c r="AD13" s="61">
        <f t="shared" si="2"/>
        <v>0</v>
      </c>
      <c r="AE13" s="138">
        <v>48</v>
      </c>
      <c r="AF13" s="35">
        <v>48</v>
      </c>
      <c r="AG13" s="58">
        <v>48</v>
      </c>
      <c r="AH13" s="58">
        <v>47</v>
      </c>
      <c r="AI13" s="128">
        <f>Table4[[#This Row],[2022 Leased Lots20]]-Table4[[#This Row],[2019 Leased Lots23]]</f>
        <v>1</v>
      </c>
      <c r="AJ13" s="61">
        <f t="shared" si="3"/>
        <v>1</v>
      </c>
      <c r="AK13" s="139">
        <f>VLOOKUP($A13,Registry!$A$4:$AA$241,27,FALSE)</f>
        <v>377</v>
      </c>
      <c r="AL13" s="65">
        <v>366</v>
      </c>
      <c r="AM13" s="65">
        <v>355</v>
      </c>
      <c r="AN13" s="65">
        <v>342</v>
      </c>
      <c r="AO13" s="120">
        <f>IFERROR((AK13-Table4[[#This Row],[2019 Total Rent29]])/Table4[[#This Row],[2019 Total Rent29]], "-")</f>
        <v>0.1023391812865497</v>
      </c>
    </row>
    <row r="14" spans="1:43" x14ac:dyDescent="0.25">
      <c r="A14" s="25">
        <v>217</v>
      </c>
      <c r="B14" s="54" t="str">
        <f>VLOOKUP(A14,Registry!$A$4:$AA$241,2,FALSE)</f>
        <v>Hillside Manor Park</v>
      </c>
      <c r="C14" s="80" t="str">
        <f>VLOOKUP(A14,Registry!$A$4:$AA$241,3,FALSE)</f>
        <v>Addison</v>
      </c>
      <c r="D14" s="80" t="str">
        <f>VLOOKUP(A14,Registry!$A$4:$AA$241,4,FALSE)</f>
        <v>Starksboro</v>
      </c>
      <c r="E14" s="80">
        <f>IF(VLOOKUP(A14,Registry!$A$4:$AA$241,7,FALSE)=0,"",VLOOKUP(A14,Registry!$A$4:$AA$241,7,FALSE))</f>
        <v>1960</v>
      </c>
      <c r="F14" s="80" t="str">
        <f>IF(VLOOKUP(A14,Registry!$A$4:$AA$241,20,FALSE)=0,"",VLOOKUP(A14,Registry!$A$4:$AA$241,20,FALSE))</f>
        <v>Non-profit</v>
      </c>
      <c r="G14" s="25">
        <v>1992</v>
      </c>
      <c r="H14" s="24">
        <f>VLOOKUP(A14,Registry!$A$4:$AA$241,21,FALSE)</f>
        <v>29</v>
      </c>
      <c r="I14" s="24">
        <f>VLOOKUP(A14,Registry!$A$4:$AA$241,24,FALSE)</f>
        <v>0</v>
      </c>
      <c r="J14" s="24">
        <f>VLOOKUP(A14,Registry!$A$4:$AA$241,26,FALSE)</f>
        <v>0</v>
      </c>
      <c r="K14" s="28">
        <v>0</v>
      </c>
      <c r="L14" s="28">
        <v>0</v>
      </c>
      <c r="M14" s="128">
        <v>0</v>
      </c>
      <c r="N14" s="128">
        <v>0</v>
      </c>
      <c r="O14" s="128">
        <v>0</v>
      </c>
      <c r="P14" s="128">
        <v>0</v>
      </c>
      <c r="Q14" s="28">
        <f>I14-Table4[[#This Row],[Park Owned6]]</f>
        <v>0</v>
      </c>
      <c r="R14" s="28">
        <f>J14-Table4[[#This Row],[Other Owned7]]</f>
        <v>0</v>
      </c>
      <c r="S14" s="24">
        <f>VLOOKUP($A14,Registry!$A$4:$AA$241,23,FALSE)</f>
        <v>4</v>
      </c>
      <c r="T14" s="61">
        <f t="shared" si="0"/>
        <v>0.13793103448275862</v>
      </c>
      <c r="U14" s="35">
        <v>4</v>
      </c>
      <c r="V14" s="90">
        <v>0.13793103448275862</v>
      </c>
      <c r="W14" s="86">
        <v>3</v>
      </c>
      <c r="X14" s="90">
        <v>0.10300000000000001</v>
      </c>
      <c r="Y14" s="86">
        <v>3</v>
      </c>
      <c r="Z14" s="90">
        <v>0.10300000000000001</v>
      </c>
      <c r="AA14" s="35">
        <f>Table4[[#This Row],['# Lots]]-Table4[[#This Row],['# Lots10]]</f>
        <v>0</v>
      </c>
      <c r="AB14" s="61">
        <f t="shared" si="1"/>
        <v>0</v>
      </c>
      <c r="AC14" s="35">
        <f>Table4[[#This Row],['# Lots]]-Table4[[#This Row],['# Lots14]]</f>
        <v>1</v>
      </c>
      <c r="AD14" s="61">
        <f t="shared" si="2"/>
        <v>3.4482758620689655E-2</v>
      </c>
      <c r="AE14" s="138">
        <v>25</v>
      </c>
      <c r="AF14" s="35">
        <v>26</v>
      </c>
      <c r="AG14" s="58">
        <v>26</v>
      </c>
      <c r="AH14" s="58">
        <v>26</v>
      </c>
      <c r="AI14" s="128">
        <f>Table4[[#This Row],[2022 Leased Lots20]]-Table4[[#This Row],[2019 Leased Lots23]]</f>
        <v>-1</v>
      </c>
      <c r="AJ14" s="61">
        <f t="shared" si="3"/>
        <v>0.86206896551724133</v>
      </c>
      <c r="AK14" s="139">
        <f>VLOOKUP($A14,Registry!$A$4:$AA$241,27,FALSE)</f>
        <v>360</v>
      </c>
      <c r="AL14" s="65">
        <v>347</v>
      </c>
      <c r="AM14" s="65">
        <v>337</v>
      </c>
      <c r="AN14" s="65">
        <v>325</v>
      </c>
      <c r="AO14" s="120">
        <f>IFERROR((AK14-Table4[[#This Row],[2019 Total Rent29]])/Table4[[#This Row],[2019 Total Rent29]], "-")</f>
        <v>0.1076923076923077</v>
      </c>
    </row>
    <row r="15" spans="1:43" x14ac:dyDescent="0.25">
      <c r="A15" s="25">
        <v>218</v>
      </c>
      <c r="B15" s="54" t="str">
        <f>VLOOKUP(A15,Registry!$A$4:$AA$241,2,FALSE)</f>
        <v>Lazy Brook Park</v>
      </c>
      <c r="C15" s="80" t="str">
        <f>VLOOKUP(A15,Registry!$A$4:$AA$241,3,FALSE)</f>
        <v>Addison</v>
      </c>
      <c r="D15" s="80" t="str">
        <f>VLOOKUP(A15,Registry!$A$4:$AA$241,4,FALSE)</f>
        <v>Starksboro</v>
      </c>
      <c r="E15" s="80">
        <f>IF(VLOOKUP(A15,Registry!$A$4:$AA$241,7,FALSE)=0,"",VLOOKUP(A15,Registry!$A$4:$AA$241,7,FALSE))</f>
        <v>1960</v>
      </c>
      <c r="F15" s="80" t="str">
        <f>IF(VLOOKUP(A15,Registry!$A$4:$AA$241,20,FALSE)=0,"",VLOOKUP(A15,Registry!$A$4:$AA$241,20,FALSE))</f>
        <v>Non-profit</v>
      </c>
      <c r="G15" s="25">
        <v>1992</v>
      </c>
      <c r="H15" s="24">
        <f>VLOOKUP(A15,Registry!$A$4:$AA$241,21,FALSE)</f>
        <v>51</v>
      </c>
      <c r="I15" s="24">
        <f>VLOOKUP(A15,Registry!$A$4:$AA$241,24,FALSE)</f>
        <v>1</v>
      </c>
      <c r="J15" s="24">
        <f>VLOOKUP(A15,Registry!$A$4:$AA$241,26,FALSE)</f>
        <v>0</v>
      </c>
      <c r="K15" s="28">
        <v>1</v>
      </c>
      <c r="L15" s="28">
        <v>0</v>
      </c>
      <c r="M15" s="128">
        <v>1</v>
      </c>
      <c r="N15" s="128">
        <v>0</v>
      </c>
      <c r="O15" s="128">
        <v>1</v>
      </c>
      <c r="P15" s="128">
        <v>0</v>
      </c>
      <c r="Q15" s="28">
        <f>I15-Table4[[#This Row],[Park Owned6]]</f>
        <v>0</v>
      </c>
      <c r="R15" s="28">
        <f>J15-Table4[[#This Row],[Other Owned7]]</f>
        <v>0</v>
      </c>
      <c r="S15" s="24">
        <f>VLOOKUP($A15,Registry!$A$4:$AA$241,23,FALSE)</f>
        <v>3</v>
      </c>
      <c r="T15" s="61">
        <f t="shared" si="0"/>
        <v>5.8823529411764705E-2</v>
      </c>
      <c r="U15" s="35">
        <v>1</v>
      </c>
      <c r="V15" s="90">
        <v>1.9607843137254902E-2</v>
      </c>
      <c r="W15" s="86">
        <v>2</v>
      </c>
      <c r="X15" s="90">
        <v>3.9E-2</v>
      </c>
      <c r="Y15" s="86">
        <v>2</v>
      </c>
      <c r="Z15" s="90">
        <v>3.9E-2</v>
      </c>
      <c r="AA15" s="35">
        <f>Table4[[#This Row],['# Lots]]-Table4[[#This Row],['# Lots10]]</f>
        <v>2</v>
      </c>
      <c r="AB15" s="61">
        <f t="shared" si="1"/>
        <v>3.9215686274509803E-2</v>
      </c>
      <c r="AC15" s="35">
        <f>Table4[[#This Row],['# Lots]]-Table4[[#This Row],['# Lots14]]</f>
        <v>1</v>
      </c>
      <c r="AD15" s="61">
        <f t="shared" si="2"/>
        <v>1.9607843137254902E-2</v>
      </c>
      <c r="AE15" s="138">
        <v>50</v>
      </c>
      <c r="AF15" s="35">
        <v>49</v>
      </c>
      <c r="AG15" s="58">
        <v>49</v>
      </c>
      <c r="AH15" s="58">
        <v>47</v>
      </c>
      <c r="AI15" s="128">
        <f>Table4[[#This Row],[2022 Leased Lots20]]-Table4[[#This Row],[2019 Leased Lots23]]</f>
        <v>3</v>
      </c>
      <c r="AJ15" s="61">
        <f t="shared" si="3"/>
        <v>0.98039215686274506</v>
      </c>
      <c r="AK15" s="139">
        <f>VLOOKUP($A15,Registry!$A$4:$AA$241,27,FALSE)</f>
        <v>320</v>
      </c>
      <c r="AL15" s="65">
        <v>303</v>
      </c>
      <c r="AM15" s="65">
        <v>293</v>
      </c>
      <c r="AN15" s="65">
        <v>273</v>
      </c>
      <c r="AO15" s="120">
        <f>IFERROR((AK15-Table4[[#This Row],[2019 Total Rent29]])/Table4[[#This Row],[2019 Total Rent29]], "-")</f>
        <v>0.17216117216117216</v>
      </c>
    </row>
    <row r="16" spans="1:43" x14ac:dyDescent="0.25">
      <c r="A16" s="25">
        <v>219</v>
      </c>
      <c r="B16" s="54" t="str">
        <f>VLOOKUP(A16,Registry!$A$4:$AA$241,2,FALSE)</f>
        <v>Otter Creek Park</v>
      </c>
      <c r="C16" s="80" t="str">
        <f>VLOOKUP(A16,Registry!$A$4:$AA$241,3,FALSE)</f>
        <v>Addison</v>
      </c>
      <c r="D16" s="80" t="str">
        <f>VLOOKUP(A16,Registry!$A$4:$AA$241,4,FALSE)</f>
        <v>Vergennes</v>
      </c>
      <c r="E16" s="80">
        <f>IF(VLOOKUP(A16,Registry!$A$4:$AA$241,7,FALSE)=0,"",VLOOKUP(A16,Registry!$A$4:$AA$241,7,FALSE))</f>
        <v>1960</v>
      </c>
      <c r="F16" s="80" t="str">
        <f>IF(VLOOKUP(A16,Registry!$A$4:$AA$241,20,FALSE)=0,"",VLOOKUP(A16,Registry!$A$4:$AA$241,20,FALSE))</f>
        <v>Non-profit</v>
      </c>
      <c r="G16" s="25">
        <v>1991</v>
      </c>
      <c r="H16" s="24">
        <f>VLOOKUP(A16,Registry!$A$4:$AA$241,21,FALSE)</f>
        <v>73</v>
      </c>
      <c r="I16" s="24">
        <f>VLOOKUP(A16,Registry!$A$4:$AA$241,24,FALSE)</f>
        <v>0</v>
      </c>
      <c r="J16" s="24">
        <f>VLOOKUP(A16,Registry!$A$4:$AA$241,26,FALSE)</f>
        <v>0</v>
      </c>
      <c r="K16" s="28">
        <v>0</v>
      </c>
      <c r="L16" s="28">
        <v>0</v>
      </c>
      <c r="M16" s="128">
        <v>0</v>
      </c>
      <c r="N16" s="128">
        <v>0</v>
      </c>
      <c r="O16" s="128">
        <v>0</v>
      </c>
      <c r="P16" s="128">
        <v>0</v>
      </c>
      <c r="Q16" s="28">
        <f>I16-Table4[[#This Row],[Park Owned6]]</f>
        <v>0</v>
      </c>
      <c r="R16" s="28">
        <f>J16-Table4[[#This Row],[Other Owned7]]</f>
        <v>0</v>
      </c>
      <c r="S16" s="24">
        <f>VLOOKUP($A16,Registry!$A$4:$AA$241,23,FALSE)</f>
        <v>0</v>
      </c>
      <c r="T16" s="61">
        <f t="shared" si="0"/>
        <v>0</v>
      </c>
      <c r="U16" s="35">
        <v>0</v>
      </c>
      <c r="V16" s="90">
        <v>0</v>
      </c>
      <c r="W16" s="86">
        <v>0</v>
      </c>
      <c r="X16" s="90">
        <v>0</v>
      </c>
      <c r="Y16" s="86">
        <v>0</v>
      </c>
      <c r="Z16" s="90">
        <v>0</v>
      </c>
      <c r="AA16" s="35">
        <f>Table4[[#This Row],['# Lots]]-Table4[[#This Row],['# Lots10]]</f>
        <v>0</v>
      </c>
      <c r="AB16" s="61">
        <f t="shared" si="1"/>
        <v>0</v>
      </c>
      <c r="AC16" s="35">
        <f>Table4[[#This Row],['# Lots]]-Table4[[#This Row],['# Lots14]]</f>
        <v>0</v>
      </c>
      <c r="AD16" s="61">
        <f t="shared" si="2"/>
        <v>0</v>
      </c>
      <c r="AE16" s="138">
        <v>73</v>
      </c>
      <c r="AF16" s="35">
        <v>73</v>
      </c>
      <c r="AG16" s="58">
        <v>73</v>
      </c>
      <c r="AH16" s="58">
        <v>72</v>
      </c>
      <c r="AI16" s="128">
        <f>Table4[[#This Row],[2022 Leased Lots20]]-Table4[[#This Row],[2019 Leased Lots23]]</f>
        <v>1</v>
      </c>
      <c r="AJ16" s="61">
        <f t="shared" si="3"/>
        <v>1</v>
      </c>
      <c r="AK16" s="139">
        <f>VLOOKUP($A16,Registry!$A$4:$AA$241,27,FALSE)</f>
        <v>370</v>
      </c>
      <c r="AL16" s="65">
        <v>358</v>
      </c>
      <c r="AM16" s="65">
        <v>347</v>
      </c>
      <c r="AN16" s="65">
        <v>335</v>
      </c>
      <c r="AO16" s="120">
        <f>IFERROR((AK16-Table4[[#This Row],[2019 Total Rent29]])/Table4[[#This Row],[2019 Total Rent29]], "-")</f>
        <v>0.1044776119402985</v>
      </c>
    </row>
    <row r="17" spans="1:41" x14ac:dyDescent="0.25">
      <c r="A17" s="25">
        <v>116</v>
      </c>
      <c r="B17" s="54" t="str">
        <f>VLOOKUP(A17,Registry!$A$4:$AA$241,2,FALSE)</f>
        <v>High Manor Park</v>
      </c>
      <c r="C17" s="80" t="str">
        <f>VLOOKUP(A17,Registry!$A$4:$AA$241,3,FALSE)</f>
        <v>Addison</v>
      </c>
      <c r="D17" s="80" t="str">
        <f>VLOOKUP(A17,Registry!$A$4:$AA$241,4,FALSE)</f>
        <v>Waltham</v>
      </c>
      <c r="E17" s="80">
        <f>IF(VLOOKUP(A17,Registry!$A$4:$AA$241,7,FALSE)=0,"",VLOOKUP(A17,Registry!$A$4:$AA$241,7,FALSE))</f>
        <v>1966</v>
      </c>
      <c r="F17" s="80" t="str">
        <f>IF(VLOOKUP(A17,Registry!$A$4:$AA$241,20,FALSE)=0,"",VLOOKUP(A17,Registry!$A$4:$AA$241,20,FALSE))</f>
        <v>For profit</v>
      </c>
      <c r="G17" s="25">
        <v>1965</v>
      </c>
      <c r="H17" s="24">
        <f>VLOOKUP(A17,Registry!$A$4:$AA$241,21,FALSE)</f>
        <v>23</v>
      </c>
      <c r="I17" s="24">
        <f>VLOOKUP(A17,Registry!$A$4:$AA$241,24,FALSE)</f>
        <v>0</v>
      </c>
      <c r="J17" s="24">
        <f>VLOOKUP(A17,Registry!$A$4:$AA$241,26,FALSE)</f>
        <v>0</v>
      </c>
      <c r="K17" s="28">
        <v>0</v>
      </c>
      <c r="L17" s="28">
        <v>0</v>
      </c>
      <c r="M17" s="128">
        <v>0</v>
      </c>
      <c r="N17" s="128">
        <v>0</v>
      </c>
      <c r="O17" s="128">
        <v>0</v>
      </c>
      <c r="P17" s="128">
        <v>0</v>
      </c>
      <c r="Q17" s="28">
        <f>I17-Table4[[#This Row],[Park Owned6]]</f>
        <v>0</v>
      </c>
      <c r="R17" s="28">
        <f>J17-Table4[[#This Row],[Other Owned7]]</f>
        <v>0</v>
      </c>
      <c r="S17" s="24">
        <f>VLOOKUP($A17,Registry!$A$4:$AA$241,23,FALSE)</f>
        <v>0</v>
      </c>
      <c r="T17" s="61">
        <f t="shared" si="0"/>
        <v>0</v>
      </c>
      <c r="U17" s="35">
        <v>0</v>
      </c>
      <c r="V17" s="90">
        <v>0</v>
      </c>
      <c r="W17" s="86">
        <v>0</v>
      </c>
      <c r="X17" s="90">
        <v>0</v>
      </c>
      <c r="Y17" s="86">
        <v>0</v>
      </c>
      <c r="Z17" s="90">
        <v>0</v>
      </c>
      <c r="AA17" s="35">
        <f>Table4[[#This Row],['# Lots]]-Table4[[#This Row],['# Lots10]]</f>
        <v>0</v>
      </c>
      <c r="AB17" s="61">
        <f t="shared" si="1"/>
        <v>0</v>
      </c>
      <c r="AC17" s="35">
        <f>Table4[[#This Row],['# Lots]]-Table4[[#This Row],['# Lots14]]</f>
        <v>0</v>
      </c>
      <c r="AD17" s="61">
        <f t="shared" si="2"/>
        <v>0</v>
      </c>
      <c r="AE17" s="138">
        <v>23</v>
      </c>
      <c r="AF17" s="35">
        <v>23</v>
      </c>
      <c r="AG17" s="58">
        <v>23</v>
      </c>
      <c r="AH17" s="58">
        <v>23</v>
      </c>
      <c r="AI17" s="128">
        <f>Table4[[#This Row],[2022 Leased Lots20]]-Table4[[#This Row],[2019 Leased Lots23]]</f>
        <v>0</v>
      </c>
      <c r="AJ17" s="61">
        <f t="shared" si="3"/>
        <v>1</v>
      </c>
      <c r="AK17" s="139">
        <f>VLOOKUP($A17,Registry!$A$4:$AA$241,27,FALSE)</f>
        <v>275</v>
      </c>
      <c r="AL17" s="65">
        <v>275</v>
      </c>
      <c r="AM17" s="65">
        <v>275</v>
      </c>
      <c r="AN17" s="65">
        <v>250</v>
      </c>
      <c r="AO17" s="120">
        <f>IFERROR((AK17-Table4[[#This Row],[2019 Total Rent29]])/Table4[[#This Row],[2019 Total Rent29]], "-")</f>
        <v>0.1</v>
      </c>
    </row>
    <row r="18" spans="1:41" x14ac:dyDescent="0.25">
      <c r="A18" s="25">
        <v>206</v>
      </c>
      <c r="B18" s="54" t="str">
        <f>VLOOKUP(A18,Registry!$A$4:$AA$241,2,FALSE)</f>
        <v>Mears Mobile Home Park</v>
      </c>
      <c r="C18" s="80" t="str">
        <f>VLOOKUP(A18,Registry!$A$4:$AA$241,3,FALSE)</f>
        <v>Bennington</v>
      </c>
      <c r="D18" s="80" t="str">
        <f>VLOOKUP(A18,Registry!$A$4:$AA$241,4,FALSE)</f>
        <v>Arlington</v>
      </c>
      <c r="E18" s="80">
        <f>IF(VLOOKUP(A18,Registry!$A$4:$AA$241,7,FALSE)=0,"",VLOOKUP(A18,Registry!$A$4:$AA$241,7,FALSE))</f>
        <v>1970</v>
      </c>
      <c r="F18" s="80" t="str">
        <f>IF(VLOOKUP(A18,Registry!$A$4:$AA$241,20,FALSE)=0,"",VLOOKUP(A18,Registry!$A$4:$AA$241,20,FALSE))</f>
        <v>For profit</v>
      </c>
      <c r="G18" s="25">
        <v>0</v>
      </c>
      <c r="H18" s="24">
        <f>VLOOKUP(A18,Registry!$A$4:$AA$241,21,FALSE)</f>
        <v>5</v>
      </c>
      <c r="I18" s="24">
        <f>VLOOKUP(A18,Registry!$A$4:$AA$241,24,FALSE)</f>
        <v>3</v>
      </c>
      <c r="J18" s="24">
        <f>VLOOKUP(A18,Registry!$A$4:$AA$241,26,FALSE)</f>
        <v>0</v>
      </c>
      <c r="K18" s="28">
        <v>3</v>
      </c>
      <c r="L18" s="28">
        <v>0</v>
      </c>
      <c r="M18" s="128">
        <v>3</v>
      </c>
      <c r="N18" s="128">
        <v>0</v>
      </c>
      <c r="O18" s="128">
        <v>3</v>
      </c>
      <c r="P18" s="128">
        <v>0</v>
      </c>
      <c r="Q18" s="28">
        <f>I18-Table4[[#This Row],[Park Owned6]]</f>
        <v>0</v>
      </c>
      <c r="R18" s="28">
        <f>J18-Table4[[#This Row],[Other Owned7]]</f>
        <v>0</v>
      </c>
      <c r="S18" s="24">
        <f>VLOOKUP($A18,Registry!$A$4:$AA$241,23,FALSE)</f>
        <v>1</v>
      </c>
      <c r="T18" s="61">
        <f t="shared" si="0"/>
        <v>0.2</v>
      </c>
      <c r="U18" s="35">
        <v>1</v>
      </c>
      <c r="V18" s="90">
        <v>0.2</v>
      </c>
      <c r="W18" s="86">
        <v>1</v>
      </c>
      <c r="X18" s="90">
        <v>0.2</v>
      </c>
      <c r="Y18" s="86">
        <v>1</v>
      </c>
      <c r="Z18" s="90">
        <v>0.2</v>
      </c>
      <c r="AA18" s="35">
        <f>Table4[[#This Row],['# Lots]]-Table4[[#This Row],['# Lots10]]</f>
        <v>0</v>
      </c>
      <c r="AB18" s="61">
        <f t="shared" si="1"/>
        <v>0</v>
      </c>
      <c r="AC18" s="35">
        <f>Table4[[#This Row],['# Lots]]-Table4[[#This Row],['# Lots14]]</f>
        <v>0</v>
      </c>
      <c r="AD18" s="61">
        <f t="shared" si="2"/>
        <v>0</v>
      </c>
      <c r="AE18" s="138">
        <v>1</v>
      </c>
      <c r="AF18" s="35">
        <v>1</v>
      </c>
      <c r="AG18" s="58">
        <v>1</v>
      </c>
      <c r="AH18" s="58">
        <v>1</v>
      </c>
      <c r="AI18" s="128">
        <f>Table4[[#This Row],[2022 Leased Lots20]]-Table4[[#This Row],[2019 Leased Lots23]]</f>
        <v>0</v>
      </c>
      <c r="AJ18" s="61">
        <f t="shared" si="3"/>
        <v>0.2</v>
      </c>
      <c r="AK18" s="139">
        <f>VLOOKUP($A18,Registry!$A$4:$AA$241,27,FALSE)</f>
        <v>150</v>
      </c>
      <c r="AL18" s="65">
        <v>150</v>
      </c>
      <c r="AM18" s="65">
        <v>150</v>
      </c>
      <c r="AN18" s="65">
        <v>150</v>
      </c>
      <c r="AO18" s="120">
        <f>IFERROR((AK18-Table4[[#This Row],[2019 Total Rent29]])/Table4[[#This Row],[2019 Total Rent29]], "-")</f>
        <v>0</v>
      </c>
    </row>
    <row r="19" spans="1:41" x14ac:dyDescent="0.25">
      <c r="A19" s="25">
        <v>203</v>
      </c>
      <c r="B19" s="54" t="str">
        <f>VLOOKUP(A19,Registry!$A$4:$AA$241,2,FALSE)</f>
        <v>100 Mountain View Road</v>
      </c>
      <c r="C19" s="80" t="str">
        <f>VLOOKUP(A19,Registry!$A$4:$AA$241,3,FALSE)</f>
        <v>Bennington</v>
      </c>
      <c r="D19" s="80" t="str">
        <f>VLOOKUP(A19,Registry!$A$4:$AA$241,4,FALSE)</f>
        <v>Bennington</v>
      </c>
      <c r="E19" s="80">
        <f>IF(VLOOKUP(A19,Registry!$A$4:$AA$241,7,FALSE)=0,"",VLOOKUP(A19,Registry!$A$4:$AA$241,7,FALSE))</f>
        <v>1965</v>
      </c>
      <c r="F19" s="80" t="str">
        <f>IF(VLOOKUP(A19,Registry!$A$4:$AA$241,20,FALSE)=0,"",VLOOKUP(A19,Registry!$A$4:$AA$241,20,FALSE))</f>
        <v>For profit</v>
      </c>
      <c r="G19" s="25">
        <v>2007</v>
      </c>
      <c r="H19" s="24">
        <f>VLOOKUP(A19,Registry!$A$4:$AA$241,21,FALSE)</f>
        <v>115</v>
      </c>
      <c r="I19" s="24">
        <f>VLOOKUP(A19,Registry!$A$4:$AA$241,24,FALSE)</f>
        <v>56</v>
      </c>
      <c r="J19" s="24">
        <f>VLOOKUP(A19,Registry!$A$4:$AA$241,26,FALSE)</f>
        <v>0</v>
      </c>
      <c r="K19" s="28">
        <v>50</v>
      </c>
      <c r="L19" s="28">
        <v>0</v>
      </c>
      <c r="M19" s="128">
        <v>50</v>
      </c>
      <c r="N19" s="128">
        <v>0</v>
      </c>
      <c r="O19" s="128">
        <v>44</v>
      </c>
      <c r="P19" s="128">
        <v>0</v>
      </c>
      <c r="Q19" s="28">
        <f>I19-Table4[[#This Row],[Park Owned6]]</f>
        <v>12</v>
      </c>
      <c r="R19" s="28">
        <f>J19-Table4[[#This Row],[Other Owned7]]</f>
        <v>0</v>
      </c>
      <c r="S19" s="24">
        <f>VLOOKUP($A19,Registry!$A$4:$AA$241,23,FALSE)</f>
        <v>2</v>
      </c>
      <c r="T19" s="61">
        <f t="shared" si="0"/>
        <v>1.7391304347826087E-2</v>
      </c>
      <c r="U19" s="35">
        <v>5</v>
      </c>
      <c r="V19" s="90">
        <v>4.3478260869565216E-2</v>
      </c>
      <c r="W19" s="86">
        <v>6</v>
      </c>
      <c r="X19" s="90">
        <v>5.2000000000000005E-2</v>
      </c>
      <c r="Y19" s="86">
        <v>13</v>
      </c>
      <c r="Z19" s="90">
        <v>0.113</v>
      </c>
      <c r="AA19" s="35">
        <f>Table4[[#This Row],['# Lots]]-Table4[[#This Row],['# Lots10]]</f>
        <v>-3</v>
      </c>
      <c r="AB19" s="61">
        <f t="shared" si="1"/>
        <v>-2.6086956521739129E-2</v>
      </c>
      <c r="AC19" s="35">
        <f>Table4[[#This Row],['# Lots]]-Table4[[#This Row],['# Lots14]]</f>
        <v>-11</v>
      </c>
      <c r="AD19" s="61">
        <f t="shared" si="2"/>
        <v>-9.5652173913043481E-2</v>
      </c>
      <c r="AE19" s="138">
        <v>110</v>
      </c>
      <c r="AF19" s="35">
        <v>109</v>
      </c>
      <c r="AG19" s="58">
        <v>102</v>
      </c>
      <c r="AH19" s="58">
        <v>102</v>
      </c>
      <c r="AI19" s="128">
        <f>Table4[[#This Row],[2022 Leased Lots20]]-Table4[[#This Row],[2019 Leased Lots23]]</f>
        <v>8</v>
      </c>
      <c r="AJ19" s="61">
        <f t="shared" si="3"/>
        <v>0.95652173913043481</v>
      </c>
      <c r="AK19" s="139">
        <f>VLOOKUP($A19,Registry!$A$4:$AA$241,27,FALSE)</f>
        <v>447</v>
      </c>
      <c r="AL19" s="65">
        <v>432</v>
      </c>
      <c r="AM19" s="65">
        <v>422</v>
      </c>
      <c r="AN19" s="65">
        <v>422</v>
      </c>
      <c r="AO19" s="120">
        <f>IFERROR((AK19-Table4[[#This Row],[2019 Total Rent29]])/Table4[[#This Row],[2019 Total Rent29]], "-")</f>
        <v>5.9241706161137442E-2</v>
      </c>
    </row>
    <row r="20" spans="1:41" x14ac:dyDescent="0.25">
      <c r="A20" s="25">
        <v>3</v>
      </c>
      <c r="B20" s="54" t="str">
        <f>VLOOKUP(A20,Registry!$A$4:$AA$241,2,FALSE)</f>
        <v>Catamount Mobile Home Park</v>
      </c>
      <c r="C20" s="80" t="str">
        <f>VLOOKUP(A20,Registry!$A$4:$AA$241,3,FALSE)</f>
        <v>Bennington</v>
      </c>
      <c r="D20" s="80" t="str">
        <f>VLOOKUP(A20,Registry!$A$4:$AA$241,4,FALSE)</f>
        <v>Bennington</v>
      </c>
      <c r="E20" s="80">
        <f>IF(VLOOKUP(A20,Registry!$A$4:$AA$241,7,FALSE)=0,"",VLOOKUP(A20,Registry!$A$4:$AA$241,7,FALSE))</f>
        <v>1950</v>
      </c>
      <c r="F20" s="80" t="str">
        <f>IF(VLOOKUP(A20,Registry!$A$4:$AA$241,20,FALSE)=0,"",VLOOKUP(A20,Registry!$A$4:$AA$241,20,FALSE))</f>
        <v>For profit</v>
      </c>
      <c r="G20" s="25">
        <v>1992</v>
      </c>
      <c r="H20" s="24">
        <f>VLOOKUP(A20,Registry!$A$4:$AA$241,21,FALSE)</f>
        <v>36</v>
      </c>
      <c r="I20" s="24">
        <f>VLOOKUP(A20,Registry!$A$4:$AA$241,24,FALSE)</f>
        <v>1</v>
      </c>
      <c r="J20" s="24">
        <f>VLOOKUP(A20,Registry!$A$4:$AA$241,26,FALSE)</f>
        <v>0</v>
      </c>
      <c r="K20" s="28">
        <v>1</v>
      </c>
      <c r="L20" s="28">
        <v>0</v>
      </c>
      <c r="M20" s="128">
        <v>1</v>
      </c>
      <c r="N20" s="128">
        <v>0</v>
      </c>
      <c r="O20" s="128">
        <v>1</v>
      </c>
      <c r="P20" s="128">
        <v>0</v>
      </c>
      <c r="Q20" s="28">
        <f>I20-Table4[[#This Row],[Park Owned6]]</f>
        <v>0</v>
      </c>
      <c r="R20" s="28">
        <f>J20-Table4[[#This Row],[Other Owned7]]</f>
        <v>0</v>
      </c>
      <c r="S20" s="24">
        <f>VLOOKUP($A20,Registry!$A$4:$AA$241,23,FALSE)</f>
        <v>16</v>
      </c>
      <c r="T20" s="61">
        <f t="shared" si="0"/>
        <v>0.44444444444444442</v>
      </c>
      <c r="U20" s="35">
        <v>16</v>
      </c>
      <c r="V20" s="90">
        <v>0.44444444444444442</v>
      </c>
      <c r="W20" s="86">
        <v>16</v>
      </c>
      <c r="X20" s="90">
        <v>0.44400000000000001</v>
      </c>
      <c r="Y20" s="86">
        <v>15</v>
      </c>
      <c r="Z20" s="90">
        <v>0.36599999999999999</v>
      </c>
      <c r="AA20" s="35">
        <f>Table4[[#This Row],['# Lots]]-Table4[[#This Row],['# Lots10]]</f>
        <v>0</v>
      </c>
      <c r="AB20" s="61">
        <f t="shared" si="1"/>
        <v>0</v>
      </c>
      <c r="AC20" s="35">
        <f>Table4[[#This Row],['# Lots]]-Table4[[#This Row],['# Lots14]]</f>
        <v>1</v>
      </c>
      <c r="AD20" s="61">
        <f t="shared" si="2"/>
        <v>2.7777777777777776E-2</v>
      </c>
      <c r="AE20" s="138">
        <v>20</v>
      </c>
      <c r="AF20" s="35">
        <v>20</v>
      </c>
      <c r="AG20" s="58">
        <v>21</v>
      </c>
      <c r="AH20" s="58">
        <v>21</v>
      </c>
      <c r="AI20" s="128">
        <f>Table4[[#This Row],[2022 Leased Lots20]]-Table4[[#This Row],[2019 Leased Lots23]]</f>
        <v>-1</v>
      </c>
      <c r="AJ20" s="61">
        <f t="shared" si="3"/>
        <v>0.55555555555555558</v>
      </c>
      <c r="AK20" s="139">
        <f>VLOOKUP($A20,Registry!$A$4:$AA$241,27,FALSE)</f>
        <v>346</v>
      </c>
      <c r="AL20" s="65">
        <v>333</v>
      </c>
      <c r="AM20" s="65">
        <v>333</v>
      </c>
      <c r="AN20" s="65">
        <v>321</v>
      </c>
      <c r="AO20" s="120">
        <f>IFERROR((AK20-Table4[[#This Row],[2019 Total Rent29]])/Table4[[#This Row],[2019 Total Rent29]], "-")</f>
        <v>7.7881619937694699E-2</v>
      </c>
    </row>
    <row r="21" spans="1:41" x14ac:dyDescent="0.25">
      <c r="A21" s="25">
        <v>47</v>
      </c>
      <c r="B21" s="54" t="str">
        <f>VLOOKUP(A21,Registry!$A$4:$AA$241,2,FALSE)</f>
        <v>East Mountain Mobile Home Park</v>
      </c>
      <c r="C21" s="80" t="str">
        <f>VLOOKUP(A21,Registry!$A$4:$AA$241,3,FALSE)</f>
        <v>Bennington</v>
      </c>
      <c r="D21" s="80" t="str">
        <f>VLOOKUP(A21,Registry!$A$4:$AA$241,4,FALSE)</f>
        <v>Bennington</v>
      </c>
      <c r="E21" s="80">
        <f>IF(VLOOKUP(A21,Registry!$A$4:$AA$241,7,FALSE)=0,"",VLOOKUP(A21,Registry!$A$4:$AA$241,7,FALSE))</f>
        <v>1968</v>
      </c>
      <c r="F21" s="80" t="str">
        <f>IF(VLOOKUP(A21,Registry!$A$4:$AA$241,20,FALSE)=0,"",VLOOKUP(A21,Registry!$A$4:$AA$241,20,FALSE))</f>
        <v>For profit</v>
      </c>
      <c r="G21" s="25">
        <v>2007</v>
      </c>
      <c r="H21" s="24">
        <f>VLOOKUP(A21,Registry!$A$4:$AA$241,21,FALSE)</f>
        <v>22</v>
      </c>
      <c r="I21" s="24">
        <f>VLOOKUP(A21,Registry!$A$4:$AA$241,24,FALSE)</f>
        <v>10</v>
      </c>
      <c r="J21" s="24">
        <f>VLOOKUP(A21,Registry!$A$4:$AA$241,26,FALSE)</f>
        <v>0</v>
      </c>
      <c r="K21" s="28">
        <v>10</v>
      </c>
      <c r="L21" s="28">
        <v>0</v>
      </c>
      <c r="M21" s="128">
        <v>10</v>
      </c>
      <c r="N21" s="128">
        <v>0</v>
      </c>
      <c r="O21" s="128">
        <v>10</v>
      </c>
      <c r="P21" s="128">
        <v>0</v>
      </c>
      <c r="Q21" s="28">
        <f>I21-Table4[[#This Row],[Park Owned6]]</f>
        <v>0</v>
      </c>
      <c r="R21" s="28">
        <f>J21-Table4[[#This Row],[Other Owned7]]</f>
        <v>0</v>
      </c>
      <c r="S21" s="24">
        <f>VLOOKUP($A21,Registry!$A$4:$AA$241,23,FALSE)</f>
        <v>1</v>
      </c>
      <c r="T21" s="61">
        <f t="shared" si="0"/>
        <v>4.5454545454545456E-2</v>
      </c>
      <c r="U21" s="35">
        <v>0</v>
      </c>
      <c r="V21" s="90">
        <v>0</v>
      </c>
      <c r="W21" s="86"/>
      <c r="X21" s="90">
        <v>0</v>
      </c>
      <c r="Y21" s="86">
        <v>0</v>
      </c>
      <c r="Z21" s="90">
        <v>0</v>
      </c>
      <c r="AA21" s="35">
        <f>Table4[[#This Row],['# Lots]]-Table4[[#This Row],['# Lots10]]</f>
        <v>1</v>
      </c>
      <c r="AB21" s="61">
        <f t="shared" si="1"/>
        <v>4.5454545454545456E-2</v>
      </c>
      <c r="AC21" s="35">
        <f>Table4[[#This Row],['# Lots]]-Table4[[#This Row],['# Lots14]]</f>
        <v>1</v>
      </c>
      <c r="AD21" s="61">
        <f t="shared" si="2"/>
        <v>4.5454545454545456E-2</v>
      </c>
      <c r="AE21" s="138">
        <v>22</v>
      </c>
      <c r="AF21" s="35">
        <v>22</v>
      </c>
      <c r="AG21" s="58">
        <v>22</v>
      </c>
      <c r="AH21" s="58">
        <v>22</v>
      </c>
      <c r="AI21" s="128">
        <f>Table4[[#This Row],[2022 Leased Lots20]]-Table4[[#This Row],[2019 Leased Lots23]]</f>
        <v>0</v>
      </c>
      <c r="AJ21" s="61">
        <f t="shared" si="3"/>
        <v>1</v>
      </c>
      <c r="AK21" s="139">
        <f>VLOOKUP($A21,Registry!$A$4:$AA$241,27,FALSE)</f>
        <v>320</v>
      </c>
      <c r="AL21" s="65">
        <v>0</v>
      </c>
      <c r="AM21" s="65"/>
      <c r="AN21" s="65"/>
      <c r="AO21" s="120" t="str">
        <f>IFERROR((AK21-Table4[[#This Row],[2019 Total Rent29]])/Table4[[#This Row],[2019 Total Rent29]], "-")</f>
        <v>-</v>
      </c>
    </row>
    <row r="22" spans="1:41" x14ac:dyDescent="0.25">
      <c r="A22" s="25">
        <v>202</v>
      </c>
      <c r="B22" s="54" t="str">
        <f>VLOOKUP(A22,Registry!$A$4:$AA$241,2,FALSE)</f>
        <v>Gore Road Mobile Home Park</v>
      </c>
      <c r="C22" s="80" t="str">
        <f>VLOOKUP(A22,Registry!$A$4:$AA$241,3,FALSE)</f>
        <v>Bennington</v>
      </c>
      <c r="D22" s="80" t="str">
        <f>VLOOKUP(A22,Registry!$A$4:$AA$241,4,FALSE)</f>
        <v>Bennington</v>
      </c>
      <c r="E22" s="80">
        <f>IF(VLOOKUP(A22,Registry!$A$4:$AA$241,7,FALSE)=0,"",VLOOKUP(A22,Registry!$A$4:$AA$241,7,FALSE))</f>
        <v>1960</v>
      </c>
      <c r="F22" s="80" t="str">
        <f>IF(VLOOKUP(A22,Registry!$A$4:$AA$241,20,FALSE)=0,"",VLOOKUP(A22,Registry!$A$4:$AA$241,20,FALSE))</f>
        <v>For profit</v>
      </c>
      <c r="G22" s="25">
        <v>2007</v>
      </c>
      <c r="H22" s="24">
        <f>VLOOKUP(A22,Registry!$A$4:$AA$241,21,FALSE)</f>
        <v>38</v>
      </c>
      <c r="I22" s="24">
        <f>VLOOKUP(A22,Registry!$A$4:$AA$241,24,FALSE)</f>
        <v>21</v>
      </c>
      <c r="J22" s="24">
        <f>VLOOKUP(A22,Registry!$A$4:$AA$241,26,FALSE)</f>
        <v>0</v>
      </c>
      <c r="K22" s="28">
        <v>21</v>
      </c>
      <c r="L22" s="28">
        <v>0</v>
      </c>
      <c r="M22" s="128">
        <v>21</v>
      </c>
      <c r="N22" s="128">
        <v>0</v>
      </c>
      <c r="O22" s="128">
        <v>21</v>
      </c>
      <c r="P22" s="128">
        <v>0</v>
      </c>
      <c r="Q22" s="28">
        <f>I22-Table4[[#This Row],[Park Owned6]]</f>
        <v>0</v>
      </c>
      <c r="R22" s="28">
        <f>J22-Table4[[#This Row],[Other Owned7]]</f>
        <v>0</v>
      </c>
      <c r="S22" s="24">
        <f>VLOOKUP($A22,Registry!$A$4:$AA$241,23,FALSE)</f>
        <v>0</v>
      </c>
      <c r="T22" s="61">
        <f t="shared" si="0"/>
        <v>0</v>
      </c>
      <c r="U22" s="35">
        <v>0</v>
      </c>
      <c r="V22" s="90">
        <v>0</v>
      </c>
      <c r="W22" s="86">
        <v>0</v>
      </c>
      <c r="X22" s="90">
        <v>0</v>
      </c>
      <c r="Y22" s="86">
        <v>0</v>
      </c>
      <c r="Z22" s="90">
        <v>0</v>
      </c>
      <c r="AA22" s="35">
        <f>Table4[[#This Row],['# Lots]]-Table4[[#This Row],['# Lots10]]</f>
        <v>0</v>
      </c>
      <c r="AB22" s="61">
        <f t="shared" si="1"/>
        <v>0</v>
      </c>
      <c r="AC22" s="35">
        <f>Table4[[#This Row],['# Lots]]-Table4[[#This Row],['# Lots14]]</f>
        <v>0</v>
      </c>
      <c r="AD22" s="61">
        <f t="shared" si="2"/>
        <v>0</v>
      </c>
      <c r="AE22" s="138">
        <v>38</v>
      </c>
      <c r="AF22" s="35">
        <v>38</v>
      </c>
      <c r="AG22" s="58">
        <v>38</v>
      </c>
      <c r="AH22" s="58">
        <v>38</v>
      </c>
      <c r="AI22" s="128">
        <f>Table4[[#This Row],[2022 Leased Lots20]]-Table4[[#This Row],[2019 Leased Lots23]]</f>
        <v>0</v>
      </c>
      <c r="AJ22" s="61">
        <f t="shared" si="3"/>
        <v>1</v>
      </c>
      <c r="AK22" s="139">
        <f>VLOOKUP($A22,Registry!$A$4:$AA$241,27,FALSE)</f>
        <v>440</v>
      </c>
      <c r="AL22" s="65">
        <v>425</v>
      </c>
      <c r="AM22" s="65">
        <v>415</v>
      </c>
      <c r="AN22" s="65">
        <v>415</v>
      </c>
      <c r="AO22" s="120">
        <f>IFERROR((AK22-Table4[[#This Row],[2019 Total Rent29]])/Table4[[#This Row],[2019 Total Rent29]], "-")</f>
        <v>6.0240963855421686E-2</v>
      </c>
    </row>
    <row r="23" spans="1:41" x14ac:dyDescent="0.25">
      <c r="A23" s="25">
        <v>46</v>
      </c>
      <c r="B23" s="54" t="str">
        <f>VLOOKUP(A23,Registry!$A$4:$AA$241,2,FALSE)</f>
        <v>Mountain View Court Mobile Home</v>
      </c>
      <c r="C23" s="80" t="str">
        <f>VLOOKUP(A23,Registry!$A$4:$AA$241,3,FALSE)</f>
        <v>Bennington</v>
      </c>
      <c r="D23" s="80" t="str">
        <f>VLOOKUP(A23,Registry!$A$4:$AA$241,4,FALSE)</f>
        <v>Bennington</v>
      </c>
      <c r="E23" s="80">
        <f>IF(VLOOKUP(A23,Registry!$A$4:$AA$241,7,FALSE)=0,"",VLOOKUP(A23,Registry!$A$4:$AA$241,7,FALSE))</f>
        <v>1962</v>
      </c>
      <c r="F23" s="80" t="str">
        <f>IF(VLOOKUP(A23,Registry!$A$4:$AA$241,20,FALSE)=0,"",VLOOKUP(A23,Registry!$A$4:$AA$241,20,FALSE))</f>
        <v>Non-profit</v>
      </c>
      <c r="G23" s="25">
        <v>1996</v>
      </c>
      <c r="H23" s="24">
        <f>VLOOKUP(A23,Registry!$A$4:$AA$241,21,FALSE)</f>
        <v>20</v>
      </c>
      <c r="I23" s="24">
        <f>VLOOKUP(A23,Registry!$A$4:$AA$241,24,FALSE)</f>
        <v>1</v>
      </c>
      <c r="J23" s="24">
        <f>VLOOKUP(A23,Registry!$A$4:$AA$241,26,FALSE)</f>
        <v>0</v>
      </c>
      <c r="K23" s="28">
        <v>0</v>
      </c>
      <c r="L23" s="28">
        <v>0</v>
      </c>
      <c r="M23" s="128">
        <v>0</v>
      </c>
      <c r="N23" s="128">
        <v>0</v>
      </c>
      <c r="O23" s="128">
        <v>0</v>
      </c>
      <c r="P23" s="128">
        <v>0</v>
      </c>
      <c r="Q23" s="28">
        <f>I23-Table4[[#This Row],[Park Owned6]]</f>
        <v>1</v>
      </c>
      <c r="R23" s="28">
        <f>J23-Table4[[#This Row],[Other Owned7]]</f>
        <v>0</v>
      </c>
      <c r="S23" s="24">
        <f>VLOOKUP($A23,Registry!$A$4:$AA$241,23,FALSE)</f>
        <v>9</v>
      </c>
      <c r="T23" s="61">
        <f t="shared" si="0"/>
        <v>0.45</v>
      </c>
      <c r="U23" s="35">
        <v>9</v>
      </c>
      <c r="V23" s="90">
        <v>0.45</v>
      </c>
      <c r="W23" s="86">
        <v>8</v>
      </c>
      <c r="X23" s="90">
        <v>0.4</v>
      </c>
      <c r="Y23" s="86">
        <v>8</v>
      </c>
      <c r="Z23" s="90">
        <v>0.4</v>
      </c>
      <c r="AA23" s="35">
        <f>Table4[[#This Row],['# Lots]]-Table4[[#This Row],['# Lots10]]</f>
        <v>0</v>
      </c>
      <c r="AB23" s="61">
        <f t="shared" si="1"/>
        <v>0</v>
      </c>
      <c r="AC23" s="35">
        <f>Table4[[#This Row],['# Lots]]-Table4[[#This Row],['# Lots14]]</f>
        <v>1</v>
      </c>
      <c r="AD23" s="61">
        <f t="shared" si="2"/>
        <v>0.05</v>
      </c>
      <c r="AE23" s="138">
        <v>11</v>
      </c>
      <c r="AF23" s="35">
        <v>12</v>
      </c>
      <c r="AG23" s="58">
        <v>12</v>
      </c>
      <c r="AH23" s="58">
        <v>13</v>
      </c>
      <c r="AI23" s="128">
        <f>Table4[[#This Row],[2022 Leased Lots20]]-Table4[[#This Row],[2019 Leased Lots23]]</f>
        <v>-2</v>
      </c>
      <c r="AJ23" s="61">
        <f t="shared" si="3"/>
        <v>0.55000000000000004</v>
      </c>
      <c r="AK23" s="139">
        <f>VLOOKUP($A23,Registry!$A$4:$AA$241,27,FALSE)</f>
        <v>449</v>
      </c>
      <c r="AL23" s="65">
        <v>449</v>
      </c>
      <c r="AM23" s="65">
        <v>436</v>
      </c>
      <c r="AN23" s="65">
        <v>424</v>
      </c>
      <c r="AO23" s="120">
        <f>IFERROR((AK23-Table4[[#This Row],[2019 Total Rent29]])/Table4[[#This Row],[2019 Total Rent29]], "-")</f>
        <v>5.8962264150943397E-2</v>
      </c>
    </row>
    <row r="24" spans="1:41" x14ac:dyDescent="0.25">
      <c r="A24" s="25">
        <v>311</v>
      </c>
      <c r="B24" s="54" t="str">
        <f>VLOOKUP(A24,Registry!$A$4:$AA$241,2,FALSE)</f>
        <v>Smith's Way</v>
      </c>
      <c r="C24" s="80" t="str">
        <f>VLOOKUP(A24,Registry!$A$4:$AA$241,3,FALSE)</f>
        <v>Bennington</v>
      </c>
      <c r="D24" s="80" t="str">
        <f>VLOOKUP(A24,Registry!$A$4:$AA$241,4,FALSE)</f>
        <v>Bennington</v>
      </c>
      <c r="E24" s="80">
        <f>IF(VLOOKUP(A24,Registry!$A$4:$AA$241,7,FALSE)=0,"",VLOOKUP(A24,Registry!$A$4:$AA$241,7,FALSE))</f>
        <v>1996</v>
      </c>
      <c r="F24" s="80" t="str">
        <f>IF(VLOOKUP(A24,Registry!$A$4:$AA$241,20,FALSE)=0,"",VLOOKUP(A24,Registry!$A$4:$AA$241,20,FALSE))</f>
        <v>For profit</v>
      </c>
      <c r="G24" s="25">
        <v>2012</v>
      </c>
      <c r="H24" s="24">
        <f>VLOOKUP(A24,Registry!$A$4:$AA$241,21,FALSE)</f>
        <v>3</v>
      </c>
      <c r="I24" s="24">
        <f>VLOOKUP(A24,Registry!$A$4:$AA$241,24,FALSE)</f>
        <v>1</v>
      </c>
      <c r="J24" s="24">
        <f>VLOOKUP(A24,Registry!$A$4:$AA$241,26,FALSE)</f>
        <v>0</v>
      </c>
      <c r="K24" s="28">
        <v>1</v>
      </c>
      <c r="L24" s="28">
        <v>0</v>
      </c>
      <c r="M24" s="128">
        <v>1</v>
      </c>
      <c r="N24" s="128">
        <v>0</v>
      </c>
      <c r="O24" s="128">
        <v>1</v>
      </c>
      <c r="P24" s="128">
        <v>0</v>
      </c>
      <c r="Q24" s="28">
        <f>I24-Table4[[#This Row],[Park Owned6]]</f>
        <v>0</v>
      </c>
      <c r="R24" s="28">
        <f>J24-Table4[[#This Row],[Other Owned7]]</f>
        <v>0</v>
      </c>
      <c r="S24" s="24">
        <f>VLOOKUP($A24,Registry!$A$4:$AA$241,23,FALSE)</f>
        <v>1</v>
      </c>
      <c r="T24" s="61">
        <f t="shared" si="0"/>
        <v>0.33333333333333331</v>
      </c>
      <c r="U24" s="35">
        <v>1</v>
      </c>
      <c r="V24" s="90">
        <v>0.33333333333333331</v>
      </c>
      <c r="W24" s="86">
        <v>1</v>
      </c>
      <c r="X24" s="90">
        <v>0.33299999999999996</v>
      </c>
      <c r="Y24" s="86">
        <v>1</v>
      </c>
      <c r="Z24" s="90">
        <v>0.25</v>
      </c>
      <c r="AA24" s="35">
        <f>Table4[[#This Row],['# Lots]]-Table4[[#This Row],['# Lots10]]</f>
        <v>0</v>
      </c>
      <c r="AB24" s="61">
        <f t="shared" si="1"/>
        <v>0</v>
      </c>
      <c r="AC24" s="35">
        <f>Table4[[#This Row],['# Lots]]-Table4[[#This Row],['# Lots14]]</f>
        <v>0</v>
      </c>
      <c r="AD24" s="61">
        <f t="shared" si="2"/>
        <v>0</v>
      </c>
      <c r="AE24" s="138">
        <v>2</v>
      </c>
      <c r="AF24" s="35">
        <v>2</v>
      </c>
      <c r="AG24" s="58">
        <v>2</v>
      </c>
      <c r="AH24" s="58">
        <v>2</v>
      </c>
      <c r="AI24" s="128">
        <f>Table4[[#This Row],[2022 Leased Lots20]]-Table4[[#This Row],[2019 Leased Lots23]]</f>
        <v>0</v>
      </c>
      <c r="AJ24" s="61">
        <f t="shared" si="3"/>
        <v>0.66666666666666663</v>
      </c>
      <c r="AK24" s="139">
        <f>VLOOKUP($A24,Registry!$A$4:$AA$241,27,FALSE)</f>
        <v>350</v>
      </c>
      <c r="AL24" s="65">
        <v>350</v>
      </c>
      <c r="AM24" s="65">
        <v>350</v>
      </c>
      <c r="AN24" s="65">
        <v>350</v>
      </c>
      <c r="AO24" s="120">
        <f>IFERROR((AK24-Table4[[#This Row],[2019 Total Rent29]])/Table4[[#This Row],[2019 Total Rent29]], "-")</f>
        <v>0</v>
      </c>
    </row>
    <row r="25" spans="1:41" x14ac:dyDescent="0.25">
      <c r="A25" s="25">
        <v>243</v>
      </c>
      <c r="B25" s="54" t="str">
        <f>VLOOKUP(A25,Registry!$A$4:$AA$241,2,FALSE)</f>
        <v>Sunset Farm MHP</v>
      </c>
      <c r="C25" s="80" t="str">
        <f>VLOOKUP(A25,Registry!$A$4:$AA$241,3,FALSE)</f>
        <v>Bennington</v>
      </c>
      <c r="D25" s="80" t="str">
        <f>VLOOKUP(A25,Registry!$A$4:$AA$241,4,FALSE)</f>
        <v>Bennington</v>
      </c>
      <c r="E25" s="80">
        <f>IF(VLOOKUP(A25,Registry!$A$4:$AA$241,7,FALSE)=0,"",VLOOKUP(A25,Registry!$A$4:$AA$241,7,FALSE))</f>
        <v>1969</v>
      </c>
      <c r="F25" s="80" t="str">
        <f>IF(VLOOKUP(A25,Registry!$A$4:$AA$241,20,FALSE)=0,"",VLOOKUP(A25,Registry!$A$4:$AA$241,20,FALSE))</f>
        <v>For profit</v>
      </c>
      <c r="G25" s="25">
        <v>2014</v>
      </c>
      <c r="H25" s="24">
        <f>VLOOKUP(A25,Registry!$A$4:$AA$241,21,FALSE)</f>
        <v>12</v>
      </c>
      <c r="I25" s="24">
        <f>VLOOKUP(A25,Registry!$A$4:$AA$241,24,FALSE)</f>
        <v>1</v>
      </c>
      <c r="J25" s="24">
        <f>VLOOKUP(A25,Registry!$A$4:$AA$241,26,FALSE)</f>
        <v>0</v>
      </c>
      <c r="K25" s="28">
        <v>1</v>
      </c>
      <c r="L25" s="28">
        <v>0</v>
      </c>
      <c r="M25" s="128">
        <v>1</v>
      </c>
      <c r="N25" s="128">
        <v>0</v>
      </c>
      <c r="O25" s="128">
        <v>1</v>
      </c>
      <c r="P25" s="128">
        <v>0</v>
      </c>
      <c r="Q25" s="28">
        <f>I25-Table4[[#This Row],[Park Owned6]]</f>
        <v>0</v>
      </c>
      <c r="R25" s="28">
        <f>J25-Table4[[#This Row],[Other Owned7]]</f>
        <v>0</v>
      </c>
      <c r="S25" s="24">
        <f>VLOOKUP($A25,Registry!$A$4:$AA$241,23,FALSE)</f>
        <v>1</v>
      </c>
      <c r="T25" s="61">
        <f t="shared" si="0"/>
        <v>8.3333333333333329E-2</v>
      </c>
      <c r="U25" s="35">
        <v>1</v>
      </c>
      <c r="V25" s="90">
        <v>8.3333333333333329E-2</v>
      </c>
      <c r="W25" s="86">
        <v>2</v>
      </c>
      <c r="X25" s="90">
        <v>0.154</v>
      </c>
      <c r="Y25" s="86">
        <v>2</v>
      </c>
      <c r="Z25" s="90">
        <v>0.154</v>
      </c>
      <c r="AA25" s="35">
        <f>Table4[[#This Row],['# Lots]]-Table4[[#This Row],['# Lots10]]</f>
        <v>0</v>
      </c>
      <c r="AB25" s="61">
        <f t="shared" si="1"/>
        <v>0</v>
      </c>
      <c r="AC25" s="35">
        <f>Table4[[#This Row],['# Lots]]-Table4[[#This Row],['# Lots14]]</f>
        <v>-1</v>
      </c>
      <c r="AD25" s="61">
        <f t="shared" si="2"/>
        <v>-8.3333333333333329E-2</v>
      </c>
      <c r="AE25" s="138">
        <v>10</v>
      </c>
      <c r="AF25" s="35">
        <v>10</v>
      </c>
      <c r="AG25" s="58">
        <v>10</v>
      </c>
      <c r="AH25" s="58">
        <v>10</v>
      </c>
      <c r="AI25" s="128">
        <f>Table4[[#This Row],[2022 Leased Lots20]]-Table4[[#This Row],[2019 Leased Lots23]]</f>
        <v>0</v>
      </c>
      <c r="AJ25" s="61">
        <f t="shared" si="3"/>
        <v>0.83333333333333337</v>
      </c>
      <c r="AK25" s="139">
        <f>VLOOKUP($A25,Registry!$A$4:$AA$241,27,FALSE)</f>
        <v>320</v>
      </c>
      <c r="AL25" s="65">
        <v>320</v>
      </c>
      <c r="AM25" s="65">
        <v>320</v>
      </c>
      <c r="AN25" s="65">
        <v>320</v>
      </c>
      <c r="AO25" s="120">
        <f>IFERROR((AK25-Table4[[#This Row],[2019 Total Rent29]])/Table4[[#This Row],[2019 Total Rent29]], "-")</f>
        <v>0</v>
      </c>
    </row>
    <row r="26" spans="1:41" x14ac:dyDescent="0.25">
      <c r="A26" s="25">
        <v>237</v>
      </c>
      <c r="B26" s="54" t="str">
        <f>VLOOKUP(A26,Registry!$A$4:$AA$241,2,FALSE)</f>
        <v>Sweet's Mobile Home Park</v>
      </c>
      <c r="C26" s="80" t="str">
        <f>VLOOKUP(A26,Registry!$A$4:$AA$241,3,FALSE)</f>
        <v>Bennington</v>
      </c>
      <c r="D26" s="80" t="str">
        <f>VLOOKUP(A26,Registry!$A$4:$AA$241,4,FALSE)</f>
        <v>Bennington</v>
      </c>
      <c r="E26" s="80">
        <f>IF(VLOOKUP(A26,Registry!$A$4:$AA$241,7,FALSE)=0,"",VLOOKUP(A26,Registry!$A$4:$AA$241,7,FALSE))</f>
        <v>1977</v>
      </c>
      <c r="F26" s="80" t="str">
        <f>IF(VLOOKUP(A26,Registry!$A$4:$AA$241,20,FALSE)=0,"",VLOOKUP(A26,Registry!$A$4:$AA$241,20,FALSE))</f>
        <v>For profit</v>
      </c>
      <c r="G26" s="25">
        <v>2022</v>
      </c>
      <c r="H26" s="24">
        <f>VLOOKUP(A26,Registry!$A$4:$AA$241,21,FALSE)</f>
        <v>16</v>
      </c>
      <c r="I26" s="24">
        <f>VLOOKUP(A26,Registry!$A$4:$AA$241,24,FALSE)</f>
        <v>9</v>
      </c>
      <c r="J26" s="24">
        <f>VLOOKUP(A26,Registry!$A$4:$AA$241,26,FALSE)</f>
        <v>0</v>
      </c>
      <c r="K26" s="28">
        <v>9</v>
      </c>
      <c r="L26" s="28">
        <v>0</v>
      </c>
      <c r="M26" s="128">
        <v>9</v>
      </c>
      <c r="N26" s="128">
        <v>0</v>
      </c>
      <c r="O26" s="128">
        <v>9</v>
      </c>
      <c r="P26" s="128">
        <v>0</v>
      </c>
      <c r="Q26" s="28">
        <f>I26-Table4[[#This Row],[Park Owned6]]</f>
        <v>0</v>
      </c>
      <c r="R26" s="28">
        <f>J26-Table4[[#This Row],[Other Owned7]]</f>
        <v>0</v>
      </c>
      <c r="S26" s="24">
        <f>VLOOKUP($A26,Registry!$A$4:$AA$241,23,FALSE)</f>
        <v>0</v>
      </c>
      <c r="T26" s="61">
        <f t="shared" si="0"/>
        <v>0</v>
      </c>
      <c r="U26" s="35">
        <v>0</v>
      </c>
      <c r="V26" s="90">
        <v>0</v>
      </c>
      <c r="W26" s="86">
        <v>0</v>
      </c>
      <c r="X26" s="90">
        <v>0</v>
      </c>
      <c r="Y26" s="86">
        <v>0</v>
      </c>
      <c r="Z26" s="90">
        <v>0</v>
      </c>
      <c r="AA26" s="35">
        <f>Table4[[#This Row],['# Lots]]-Table4[[#This Row],['# Lots10]]</f>
        <v>0</v>
      </c>
      <c r="AB26" s="61">
        <f t="shared" si="1"/>
        <v>0</v>
      </c>
      <c r="AC26" s="35">
        <f>Table4[[#This Row],['# Lots]]-Table4[[#This Row],['# Lots14]]</f>
        <v>0</v>
      </c>
      <c r="AD26" s="61">
        <f t="shared" si="2"/>
        <v>0</v>
      </c>
      <c r="AE26" s="138">
        <v>16</v>
      </c>
      <c r="AF26" s="35">
        <v>16</v>
      </c>
      <c r="AG26" s="58">
        <v>16</v>
      </c>
      <c r="AH26" s="58">
        <v>16</v>
      </c>
      <c r="AI26" s="128">
        <f>Table4[[#This Row],[2022 Leased Lots20]]-Table4[[#This Row],[2019 Leased Lots23]]</f>
        <v>0</v>
      </c>
      <c r="AJ26" s="61">
        <f t="shared" si="3"/>
        <v>1</v>
      </c>
      <c r="AK26" s="139">
        <f>VLOOKUP($A26,Registry!$A$4:$AA$241,27,FALSE)</f>
        <v>388</v>
      </c>
      <c r="AL26" s="65">
        <v>388</v>
      </c>
      <c r="AM26" s="65">
        <v>374</v>
      </c>
      <c r="AN26" s="65">
        <v>374</v>
      </c>
      <c r="AO26" s="120">
        <f>IFERROR((AK26-Table4[[#This Row],[2019 Total Rent29]])/Table4[[#This Row],[2019 Total Rent29]], "-")</f>
        <v>3.7433155080213901E-2</v>
      </c>
    </row>
    <row r="27" spans="1:41" x14ac:dyDescent="0.25">
      <c r="A27" s="25">
        <v>201</v>
      </c>
      <c r="B27" s="54" t="str">
        <f>VLOOKUP(A27,Registry!$A$4:$AA$241,2,FALSE)</f>
        <v>West Road Mobile Home Park</v>
      </c>
      <c r="C27" s="80" t="str">
        <f>VLOOKUP(A27,Registry!$A$4:$AA$241,3,FALSE)</f>
        <v>Bennington</v>
      </c>
      <c r="D27" s="80" t="str">
        <f>VLOOKUP(A27,Registry!$A$4:$AA$241,4,FALSE)</f>
        <v>Bennington</v>
      </c>
      <c r="E27" s="80">
        <f>IF(VLOOKUP(A27,Registry!$A$4:$AA$241,7,FALSE)=0,"",VLOOKUP(A27,Registry!$A$4:$AA$241,7,FALSE))</f>
        <v>1965</v>
      </c>
      <c r="F27" s="80" t="str">
        <f>IF(VLOOKUP(A27,Registry!$A$4:$AA$241,20,FALSE)=0,"",VLOOKUP(A27,Registry!$A$4:$AA$241,20,FALSE))</f>
        <v>For profit</v>
      </c>
      <c r="G27" s="25">
        <v>2007</v>
      </c>
      <c r="H27" s="24">
        <f>VLOOKUP(A27,Registry!$A$4:$AA$241,21,FALSE)</f>
        <v>40</v>
      </c>
      <c r="I27" s="24">
        <f>VLOOKUP(A27,Registry!$A$4:$AA$241,24,FALSE)</f>
        <v>15</v>
      </c>
      <c r="J27" s="24">
        <f>VLOOKUP(A27,Registry!$A$4:$AA$241,26,FALSE)</f>
        <v>0</v>
      </c>
      <c r="K27" s="28">
        <v>15</v>
      </c>
      <c r="L27" s="28">
        <v>0</v>
      </c>
      <c r="M27" s="128">
        <v>15</v>
      </c>
      <c r="N27" s="128">
        <v>0</v>
      </c>
      <c r="O27" s="128">
        <v>13</v>
      </c>
      <c r="P27" s="128">
        <v>0</v>
      </c>
      <c r="Q27" s="28">
        <f>I27-Table4[[#This Row],[Park Owned6]]</f>
        <v>2</v>
      </c>
      <c r="R27" s="28">
        <f>J27-Table4[[#This Row],[Other Owned7]]</f>
        <v>0</v>
      </c>
      <c r="S27" s="24">
        <f>VLOOKUP($A27,Registry!$A$4:$AA$241,23,FALSE)</f>
        <v>0</v>
      </c>
      <c r="T27" s="61">
        <f t="shared" si="0"/>
        <v>0</v>
      </c>
      <c r="U27" s="35">
        <v>0</v>
      </c>
      <c r="V27" s="90">
        <v>0</v>
      </c>
      <c r="W27" s="86">
        <v>0</v>
      </c>
      <c r="X27" s="90">
        <v>0</v>
      </c>
      <c r="Y27" s="86">
        <v>3</v>
      </c>
      <c r="Z27" s="90">
        <v>7.6999999999999999E-2</v>
      </c>
      <c r="AA27" s="35">
        <f>Table4[[#This Row],['# Lots]]-Table4[[#This Row],['# Lots10]]</f>
        <v>0</v>
      </c>
      <c r="AB27" s="61">
        <f t="shared" si="1"/>
        <v>0</v>
      </c>
      <c r="AC27" s="35">
        <f>Table4[[#This Row],['# Lots]]-Table4[[#This Row],['# Lots14]]</f>
        <v>-3</v>
      </c>
      <c r="AD27" s="61">
        <f t="shared" si="2"/>
        <v>-7.4999999999999997E-2</v>
      </c>
      <c r="AE27" s="138">
        <v>40</v>
      </c>
      <c r="AF27" s="35">
        <v>40</v>
      </c>
      <c r="AG27" s="58">
        <v>36</v>
      </c>
      <c r="AH27" s="58">
        <v>38</v>
      </c>
      <c r="AI27" s="128">
        <f>Table4[[#This Row],[2022 Leased Lots20]]-Table4[[#This Row],[2019 Leased Lots23]]</f>
        <v>2</v>
      </c>
      <c r="AJ27" s="61">
        <f t="shared" si="3"/>
        <v>1</v>
      </c>
      <c r="AK27" s="139">
        <f>VLOOKUP($A27,Registry!$A$4:$AA$241,27,FALSE)</f>
        <v>455</v>
      </c>
      <c r="AL27" s="65">
        <v>440</v>
      </c>
      <c r="AM27" s="65">
        <v>429</v>
      </c>
      <c r="AN27" s="65">
        <v>429</v>
      </c>
      <c r="AO27" s="120">
        <f>IFERROR((AK27-Table4[[#This Row],[2019 Total Rent29]])/Table4[[#This Row],[2019 Total Rent29]], "-")</f>
        <v>6.0606060606060608E-2</v>
      </c>
    </row>
    <row r="28" spans="1:41" x14ac:dyDescent="0.25">
      <c r="A28" s="25">
        <v>151</v>
      </c>
      <c r="B28" s="54" t="str">
        <f>VLOOKUP(A28,Registry!$A$4:$AA$241,2,FALSE)</f>
        <v>White Birches Mobile Home Park</v>
      </c>
      <c r="C28" s="80" t="str">
        <f>VLOOKUP(A28,Registry!$A$4:$AA$241,3,FALSE)</f>
        <v>Bennington</v>
      </c>
      <c r="D28" s="80" t="str">
        <f>VLOOKUP(A28,Registry!$A$4:$AA$241,4,FALSE)</f>
        <v>Bennington</v>
      </c>
      <c r="E28" s="80">
        <f>IF(VLOOKUP(A28,Registry!$A$4:$AA$241,7,FALSE)=0,"",VLOOKUP(A28,Registry!$A$4:$AA$241,7,FALSE))</f>
        <v>1970</v>
      </c>
      <c r="F28" s="80" t="str">
        <f>IF(VLOOKUP(A28,Registry!$A$4:$AA$241,20,FALSE)=0,"",VLOOKUP(A28,Registry!$A$4:$AA$241,20,FALSE))</f>
        <v>For profit</v>
      </c>
      <c r="G28" s="25">
        <v>2014</v>
      </c>
      <c r="H28" s="24">
        <f>VLOOKUP(A28,Registry!$A$4:$AA$241,21,FALSE)</f>
        <v>52</v>
      </c>
      <c r="I28" s="24">
        <f>VLOOKUP(A28,Registry!$A$4:$AA$241,24,FALSE)</f>
        <v>0</v>
      </c>
      <c r="J28" s="24">
        <f>VLOOKUP(A28,Registry!$A$4:$AA$241,26,FALSE)</f>
        <v>0</v>
      </c>
      <c r="K28" s="28">
        <v>0</v>
      </c>
      <c r="L28" s="28">
        <v>0</v>
      </c>
      <c r="M28" s="128">
        <v>0</v>
      </c>
      <c r="N28" s="128">
        <v>1</v>
      </c>
      <c r="O28" s="128">
        <v>1</v>
      </c>
      <c r="P28" s="128">
        <v>0</v>
      </c>
      <c r="Q28" s="28">
        <f>I28-Table4[[#This Row],[Park Owned6]]</f>
        <v>-1</v>
      </c>
      <c r="R28" s="28">
        <f>J28-Table4[[#This Row],[Other Owned7]]</f>
        <v>0</v>
      </c>
      <c r="S28" s="24">
        <f>VLOOKUP($A28,Registry!$A$4:$AA$241,23,FALSE)</f>
        <v>0</v>
      </c>
      <c r="T28" s="61">
        <f t="shared" si="0"/>
        <v>0</v>
      </c>
      <c r="U28" s="35">
        <v>0</v>
      </c>
      <c r="V28" s="90">
        <v>0</v>
      </c>
      <c r="W28" s="86">
        <v>0</v>
      </c>
      <c r="X28" s="90">
        <v>0</v>
      </c>
      <c r="Y28" s="86">
        <v>1</v>
      </c>
      <c r="Z28" s="90">
        <v>1.9E-2</v>
      </c>
      <c r="AA28" s="35">
        <f>Table4[[#This Row],['# Lots]]-Table4[[#This Row],['# Lots10]]</f>
        <v>0</v>
      </c>
      <c r="AB28" s="61">
        <f t="shared" si="1"/>
        <v>0</v>
      </c>
      <c r="AC28" s="35">
        <f>Table4[[#This Row],['# Lots]]-Table4[[#This Row],['# Lots14]]</f>
        <v>-1</v>
      </c>
      <c r="AD28" s="61">
        <f t="shared" si="2"/>
        <v>-1.9230769230769232E-2</v>
      </c>
      <c r="AE28" s="138">
        <v>52</v>
      </c>
      <c r="AF28" s="35">
        <v>51</v>
      </c>
      <c r="AG28" s="58">
        <v>51</v>
      </c>
      <c r="AH28" s="58">
        <v>52</v>
      </c>
      <c r="AI28" s="128">
        <f>Table4[[#This Row],[2022 Leased Lots20]]-Table4[[#This Row],[2019 Leased Lots23]]</f>
        <v>0</v>
      </c>
      <c r="AJ28" s="61">
        <f t="shared" si="3"/>
        <v>1</v>
      </c>
      <c r="AK28" s="139">
        <f>VLOOKUP($A28,Registry!$A$4:$AA$241,27,FALSE)</f>
        <v>434</v>
      </c>
      <c r="AL28" s="65">
        <v>414</v>
      </c>
      <c r="AM28" s="65">
        <v>414</v>
      </c>
      <c r="AN28" s="65">
        <v>404</v>
      </c>
      <c r="AO28" s="120">
        <f>IFERROR((AK28-Table4[[#This Row],[2019 Total Rent29]])/Table4[[#This Row],[2019 Total Rent29]], "-")</f>
        <v>7.4257425742574254E-2</v>
      </c>
    </row>
    <row r="29" spans="1:41" x14ac:dyDescent="0.25">
      <c r="A29" s="25">
        <v>233</v>
      </c>
      <c r="B29" s="54" t="str">
        <f>VLOOKUP(A29,Registry!$A$4:$AA$241,2,FALSE)</f>
        <v>Willows Mobile Home Park</v>
      </c>
      <c r="C29" s="80" t="str">
        <f>VLOOKUP(A29,Registry!$A$4:$AA$241,3,FALSE)</f>
        <v>Bennington</v>
      </c>
      <c r="D29" s="80" t="str">
        <f>VLOOKUP(A29,Registry!$A$4:$AA$241,4,FALSE)</f>
        <v>Bennington</v>
      </c>
      <c r="E29" s="80">
        <f>IF(VLOOKUP(A29,Registry!$A$4:$AA$241,7,FALSE)=0,"",VLOOKUP(A29,Registry!$A$4:$AA$241,7,FALSE))</f>
        <v>1945</v>
      </c>
      <c r="F29" s="80" t="str">
        <f>IF(VLOOKUP(A29,Registry!$A$4:$AA$241,20,FALSE)=0,"",VLOOKUP(A29,Registry!$A$4:$AA$241,20,FALSE))</f>
        <v>Non-profit</v>
      </c>
      <c r="G29" s="25">
        <v>1993</v>
      </c>
      <c r="H29" s="24">
        <f>VLOOKUP(A29,Registry!$A$4:$AA$241,21,FALSE)</f>
        <v>24</v>
      </c>
      <c r="I29" s="24">
        <f>VLOOKUP(A29,Registry!$A$4:$AA$241,24,FALSE)</f>
        <v>5</v>
      </c>
      <c r="J29" s="24">
        <f>VLOOKUP(A29,Registry!$A$4:$AA$241,26,FALSE)</f>
        <v>2</v>
      </c>
      <c r="K29" s="28">
        <v>2</v>
      </c>
      <c r="L29" s="28">
        <v>5</v>
      </c>
      <c r="M29" s="128">
        <v>2</v>
      </c>
      <c r="N29" s="128">
        <v>5</v>
      </c>
      <c r="O29" s="128">
        <v>1</v>
      </c>
      <c r="P29" s="128">
        <v>1</v>
      </c>
      <c r="Q29" s="28">
        <f>I29-Table4[[#This Row],[Park Owned6]]</f>
        <v>4</v>
      </c>
      <c r="R29" s="28">
        <f>J29-Table4[[#This Row],[Other Owned7]]</f>
        <v>1</v>
      </c>
      <c r="S29" s="24">
        <f>VLOOKUP($A29,Registry!$A$4:$AA$241,23,FALSE)</f>
        <v>0</v>
      </c>
      <c r="T29" s="61">
        <f t="shared" si="0"/>
        <v>0</v>
      </c>
      <c r="U29" s="35">
        <v>2</v>
      </c>
      <c r="V29" s="90">
        <v>0.08</v>
      </c>
      <c r="W29" s="86">
        <v>2</v>
      </c>
      <c r="X29" s="90">
        <v>8.3000000000000004E-2</v>
      </c>
      <c r="Y29" s="86">
        <v>2</v>
      </c>
      <c r="Z29" s="90">
        <v>8.3000000000000004E-2</v>
      </c>
      <c r="AA29" s="35">
        <f>Table4[[#This Row],['# Lots]]-Table4[[#This Row],['# Lots10]]</f>
        <v>-2</v>
      </c>
      <c r="AB29" s="61">
        <f t="shared" si="1"/>
        <v>-8.3333333333333329E-2</v>
      </c>
      <c r="AC29" s="35">
        <f>Table4[[#This Row],['# Lots]]-Table4[[#This Row],['# Lots14]]</f>
        <v>-2</v>
      </c>
      <c r="AD29" s="61">
        <f t="shared" si="2"/>
        <v>-8.3333333333333329E-2</v>
      </c>
      <c r="AE29" s="138">
        <v>18</v>
      </c>
      <c r="AF29" s="35">
        <v>17</v>
      </c>
      <c r="AG29" s="58">
        <v>20</v>
      </c>
      <c r="AH29" s="58">
        <v>22</v>
      </c>
      <c r="AI29" s="128">
        <f>Table4[[#This Row],[2022 Leased Lots20]]-Table4[[#This Row],[2019 Leased Lots23]]</f>
        <v>-4</v>
      </c>
      <c r="AJ29" s="61">
        <f t="shared" si="3"/>
        <v>0.75</v>
      </c>
      <c r="AK29" s="139">
        <f>VLOOKUP($A29,Registry!$A$4:$AA$241,27,FALSE)</f>
        <v>334</v>
      </c>
      <c r="AL29" s="65">
        <v>334</v>
      </c>
      <c r="AM29" s="65">
        <v>334</v>
      </c>
      <c r="AN29" s="65">
        <v>334</v>
      </c>
      <c r="AO29" s="120">
        <f>IFERROR((AK29-Table4[[#This Row],[2019 Total Rent29]])/Table4[[#This Row],[2019 Total Rent29]], "-")</f>
        <v>0</v>
      </c>
    </row>
    <row r="30" spans="1:41" x14ac:dyDescent="0.25">
      <c r="A30" s="25">
        <v>225</v>
      </c>
      <c r="B30" s="54" t="str">
        <f>VLOOKUP(A30,Registry!$A$4:$AA$241,2,FALSE)</f>
        <v>Dorr Mobile Home Park 1</v>
      </c>
      <c r="C30" s="80" t="str">
        <f>VLOOKUP(A30,Registry!$A$4:$AA$241,3,FALSE)</f>
        <v>Bennington</v>
      </c>
      <c r="D30" s="80" t="str">
        <f>VLOOKUP(A30,Registry!$A$4:$AA$241,4,FALSE)</f>
        <v>Manchester</v>
      </c>
      <c r="E30" s="80">
        <f>IF(VLOOKUP(A30,Registry!$A$4:$AA$241,7,FALSE)=0,"",VLOOKUP(A30,Registry!$A$4:$AA$241,7,FALSE))</f>
        <v>1965</v>
      </c>
      <c r="F30" s="80" t="str">
        <f>IF(VLOOKUP(A30,Registry!$A$4:$AA$241,20,FALSE)=0,"",VLOOKUP(A30,Registry!$A$4:$AA$241,20,FALSE))</f>
        <v>For profit</v>
      </c>
      <c r="G30" s="25">
        <v>1964</v>
      </c>
      <c r="H30" s="24">
        <f>VLOOKUP(A30,Registry!$A$4:$AA$241,21,FALSE)</f>
        <v>6</v>
      </c>
      <c r="I30" s="24">
        <f>VLOOKUP(A30,Registry!$A$4:$AA$241,24,FALSE)</f>
        <v>2</v>
      </c>
      <c r="J30" s="24">
        <f>VLOOKUP(A30,Registry!$A$4:$AA$241,26,FALSE)</f>
        <v>0</v>
      </c>
      <c r="K30" s="28">
        <v>3</v>
      </c>
      <c r="L30" s="28">
        <v>0</v>
      </c>
      <c r="M30" s="128">
        <v>3</v>
      </c>
      <c r="N30" s="128">
        <v>0</v>
      </c>
      <c r="O30" s="128">
        <v>3</v>
      </c>
      <c r="P30" s="128">
        <v>0</v>
      </c>
      <c r="Q30" s="28">
        <f>I30-Table4[[#This Row],[Park Owned6]]</f>
        <v>-1</v>
      </c>
      <c r="R30" s="28">
        <f>J30-Table4[[#This Row],[Other Owned7]]</f>
        <v>0</v>
      </c>
      <c r="S30" s="24">
        <f>VLOOKUP($A30,Registry!$A$4:$AA$241,23,FALSE)</f>
        <v>0</v>
      </c>
      <c r="T30" s="61">
        <f t="shared" si="0"/>
        <v>0</v>
      </c>
      <c r="U30" s="35">
        <v>2</v>
      </c>
      <c r="V30" s="90">
        <v>5.7142857142857141E-2</v>
      </c>
      <c r="W30" s="86">
        <v>2</v>
      </c>
      <c r="X30" s="90">
        <v>5.7000000000000002E-2</v>
      </c>
      <c r="Y30" s="86">
        <v>2</v>
      </c>
      <c r="Z30" s="90">
        <v>5.7000000000000002E-2</v>
      </c>
      <c r="AA30" s="35">
        <f>Table4[[#This Row],['# Lots]]-Table4[[#This Row],['# Lots10]]</f>
        <v>-2</v>
      </c>
      <c r="AB30" s="61">
        <f t="shared" si="1"/>
        <v>-0.33333333333333331</v>
      </c>
      <c r="AC30" s="35">
        <f>Table4[[#This Row],['# Lots]]-Table4[[#This Row],['# Lots14]]</f>
        <v>-2</v>
      </c>
      <c r="AD30" s="61">
        <f t="shared" si="2"/>
        <v>-0.33333333333333331</v>
      </c>
      <c r="AE30" s="138">
        <v>30</v>
      </c>
      <c r="AF30" s="35">
        <v>30</v>
      </c>
      <c r="AG30" s="58">
        <v>31</v>
      </c>
      <c r="AH30" s="58">
        <v>31</v>
      </c>
      <c r="AI30" s="128">
        <f>Table4[[#This Row],[2022 Leased Lots20]]-Table4[[#This Row],[2019 Leased Lots23]]</f>
        <v>-1</v>
      </c>
      <c r="AJ30" s="61">
        <f t="shared" si="3"/>
        <v>5</v>
      </c>
      <c r="AK30" s="139">
        <f>VLOOKUP($A30,Registry!$A$4:$AA$241,27,FALSE)</f>
        <v>284</v>
      </c>
      <c r="AL30" s="65">
        <v>284</v>
      </c>
      <c r="AM30" s="65">
        <v>284</v>
      </c>
      <c r="AN30" s="65">
        <v>284</v>
      </c>
      <c r="AO30" s="120">
        <f>IFERROR((AK30-Table4[[#This Row],[2019 Total Rent29]])/Table4[[#This Row],[2019 Total Rent29]], "-")</f>
        <v>0</v>
      </c>
    </row>
    <row r="31" spans="1:41" x14ac:dyDescent="0.25">
      <c r="A31" s="181">
        <v>328</v>
      </c>
      <c r="B31" s="54" t="str">
        <f>VLOOKUP(A31,Registry!$A$4:$AA$241,2,FALSE)</f>
        <v>Dorr Mobile Home Park 2</v>
      </c>
      <c r="C31" s="182" t="str">
        <f>VLOOKUP(A31,Registry!$A$4:$AA$241,3,FALSE)</f>
        <v>Bennington</v>
      </c>
      <c r="D31" s="182" t="str">
        <f>VLOOKUP(A31,Registry!$A$4:$AA$241,4,FALSE)</f>
        <v>Manchester</v>
      </c>
      <c r="E31" s="182" t="str">
        <f>IF(VLOOKUP(A31,Registry!$A$4:$AA$241,7,FALSE)=0,"",VLOOKUP(A31,Registry!$A$4:$AA$241,7,FALSE))</f>
        <v/>
      </c>
      <c r="F31" s="182" t="str">
        <f>IF(VLOOKUP(A31,Registry!$A$4:$AA$241,20,FALSE)=0,"",VLOOKUP(A31,Registry!$A$4:$AA$241,20,FALSE))</f>
        <v>For profit</v>
      </c>
      <c r="G31" s="25">
        <v>0</v>
      </c>
      <c r="H31" s="175">
        <f>VLOOKUP(A31,Registry!$A$4:$AA$241,21,FALSE)</f>
        <v>25</v>
      </c>
      <c r="I31" s="175">
        <f>VLOOKUP(A31,Registry!$A$4:$AA$241,24,FALSE)</f>
        <v>0</v>
      </c>
      <c r="J31" s="175">
        <f>VLOOKUP(A31,Registry!$A$4:$AA$241,26,FALSE)</f>
        <v>0</v>
      </c>
      <c r="K31" s="183"/>
      <c r="L31" s="183"/>
      <c r="M31" s="183"/>
      <c r="N31" s="183"/>
      <c r="O31" s="183"/>
      <c r="P31" s="183"/>
      <c r="Q31" s="193"/>
      <c r="R31" s="193"/>
      <c r="S31" s="175">
        <f>VLOOKUP($A31,Registry!$A$4:$AA$241,23,FALSE)</f>
        <v>3</v>
      </c>
      <c r="T31" s="61">
        <f t="shared" si="0"/>
        <v>0.12</v>
      </c>
      <c r="U31" s="163"/>
      <c r="V31" s="195"/>
      <c r="W31" s="196"/>
      <c r="X31" s="197"/>
      <c r="Y31" s="196"/>
      <c r="Z31" s="197"/>
      <c r="AA31" s="35">
        <f>Table4[[#This Row],['# Lots]]-Table4[[#This Row],['# Lots10]]</f>
        <v>3</v>
      </c>
      <c r="AB31" s="33">
        <f t="shared" si="1"/>
        <v>0.12</v>
      </c>
      <c r="AC31" s="35">
        <f>Table4[[#This Row],['# Lots]]-Table4[[#This Row],['# Lots14]]</f>
        <v>3</v>
      </c>
      <c r="AD31" s="33">
        <f t="shared" si="2"/>
        <v>0.12</v>
      </c>
      <c r="AE31" s="198"/>
      <c r="AF31" s="196"/>
      <c r="AG31" s="196"/>
      <c r="AH31" s="196"/>
      <c r="AI31" s="183">
        <f>Table4[[#This Row],[2022 Leased Lots20]]-Table4[[#This Row],[2019 Leased Lots23]]</f>
        <v>0</v>
      </c>
      <c r="AJ31" s="61">
        <f t="shared" si="3"/>
        <v>0</v>
      </c>
      <c r="AK31" s="200">
        <f>VLOOKUP($A31,Registry!$A$4:$AA$241,27,FALSE)</f>
        <v>284</v>
      </c>
      <c r="AL31" s="202"/>
      <c r="AM31" s="202"/>
      <c r="AN31" s="202"/>
      <c r="AO31" s="185" t="str">
        <f>IFERROR((AK31-Table4[[#This Row],[2019 Total Rent29]])/Table4[[#This Row],[2019 Total Rent29]], "-")</f>
        <v>-</v>
      </c>
    </row>
    <row r="32" spans="1:41" x14ac:dyDescent="0.25">
      <c r="A32" s="181">
        <v>329</v>
      </c>
      <c r="B32" s="54" t="str">
        <f>VLOOKUP(A32,Registry!$A$4:$AA$241,2,FALSE)</f>
        <v>Dorr Mobile Home Park 3</v>
      </c>
      <c r="C32" s="182" t="str">
        <f>VLOOKUP(A32,Registry!$A$4:$AA$241,3,FALSE)</f>
        <v>Bennington</v>
      </c>
      <c r="D32" s="182" t="str">
        <f>VLOOKUP(A32,Registry!$A$4:$AA$241,4,FALSE)</f>
        <v>Manchester</v>
      </c>
      <c r="E32" s="182" t="str">
        <f>IF(VLOOKUP(A32,Registry!$A$4:$AA$241,7,FALSE)=0,"",VLOOKUP(A32,Registry!$A$4:$AA$241,7,FALSE))</f>
        <v/>
      </c>
      <c r="F32" s="182" t="str">
        <f>IF(VLOOKUP(A32,Registry!$A$4:$AA$241,20,FALSE)=0,"",VLOOKUP(A32,Registry!$A$4:$AA$241,20,FALSE))</f>
        <v>For profit</v>
      </c>
      <c r="G32" s="25">
        <v>0</v>
      </c>
      <c r="H32" s="175">
        <f>VLOOKUP(A32,Registry!$A$4:$AA$241,21,FALSE)</f>
        <v>4</v>
      </c>
      <c r="I32" s="175">
        <f>VLOOKUP(A32,Registry!$A$4:$AA$241,24,FALSE)</f>
        <v>0</v>
      </c>
      <c r="J32" s="175">
        <f>VLOOKUP(A32,Registry!$A$4:$AA$241,26,FALSE)</f>
        <v>0</v>
      </c>
      <c r="K32" s="183"/>
      <c r="L32" s="183"/>
      <c r="M32" s="183"/>
      <c r="N32" s="183"/>
      <c r="O32" s="183"/>
      <c r="P32" s="183"/>
      <c r="Q32" s="193"/>
      <c r="R32" s="193"/>
      <c r="S32" s="175">
        <f>VLOOKUP($A32,Registry!$A$4:$AA$241,23,FALSE)</f>
        <v>0</v>
      </c>
      <c r="T32" s="61">
        <f t="shared" si="0"/>
        <v>0</v>
      </c>
      <c r="U32" s="163"/>
      <c r="V32" s="195"/>
      <c r="W32" s="196"/>
      <c r="X32" s="197"/>
      <c r="Y32" s="196"/>
      <c r="Z32" s="197"/>
      <c r="AA32" s="35">
        <f>Table4[[#This Row],['# Lots]]-Table4[[#This Row],['# Lots10]]</f>
        <v>0</v>
      </c>
      <c r="AB32" s="33">
        <f t="shared" si="1"/>
        <v>0</v>
      </c>
      <c r="AC32" s="35">
        <f>Table4[[#This Row],['# Lots]]-Table4[[#This Row],['# Lots14]]</f>
        <v>0</v>
      </c>
      <c r="AD32" s="33">
        <f t="shared" si="2"/>
        <v>0</v>
      </c>
      <c r="AE32" s="198"/>
      <c r="AF32" s="196"/>
      <c r="AG32" s="196"/>
      <c r="AH32" s="196"/>
      <c r="AI32" s="183">
        <f>Table4[[#This Row],[2022 Leased Lots20]]-Table4[[#This Row],[2019 Leased Lots23]]</f>
        <v>0</v>
      </c>
      <c r="AJ32" s="61">
        <f t="shared" si="3"/>
        <v>0</v>
      </c>
      <c r="AK32" s="200">
        <f>VLOOKUP($A32,Registry!$A$4:$AA$241,27,FALSE)</f>
        <v>284</v>
      </c>
      <c r="AL32" s="202"/>
      <c r="AM32" s="202"/>
      <c r="AN32" s="202"/>
      <c r="AO32" s="185" t="str">
        <f>IFERROR((AK32-Table4[[#This Row],[2019 Total Rent29]])/Table4[[#This Row],[2019 Total Rent29]], "-")</f>
        <v>-</v>
      </c>
    </row>
    <row r="33" spans="1:41" x14ac:dyDescent="0.25">
      <c r="A33" s="25">
        <v>49</v>
      </c>
      <c r="B33" s="54" t="str">
        <f>VLOOKUP(A33,Registry!$A$4:$AA$241,2,FALSE)</f>
        <v>Manchester Mobile Home Park</v>
      </c>
      <c r="C33" s="80" t="str">
        <f>VLOOKUP(A33,Registry!$A$4:$AA$241,3,FALSE)</f>
        <v>Bennington</v>
      </c>
      <c r="D33" s="80" t="str">
        <f>VLOOKUP(A33,Registry!$A$4:$AA$241,4,FALSE)</f>
        <v>Manchester</v>
      </c>
      <c r="E33" s="80">
        <f>IF(VLOOKUP(A33,Registry!$A$4:$AA$241,7,FALSE)=0,"",VLOOKUP(A33,Registry!$A$4:$AA$241,7,FALSE))</f>
        <v>1965</v>
      </c>
      <c r="F33" s="80" t="str">
        <f>IF(VLOOKUP(A33,Registry!$A$4:$AA$241,20,FALSE)=0,"",VLOOKUP(A33,Registry!$A$4:$AA$241,20,FALSE))</f>
        <v>For profit</v>
      </c>
      <c r="G33" s="25">
        <v>1973</v>
      </c>
      <c r="H33" s="24">
        <f>VLOOKUP(A33,Registry!$A$4:$AA$241,21,FALSE)</f>
        <v>34</v>
      </c>
      <c r="I33" s="24">
        <f>VLOOKUP(A33,Registry!$A$4:$AA$241,24,FALSE)</f>
        <v>0</v>
      </c>
      <c r="J33" s="24">
        <f>VLOOKUP(A33,Registry!$A$4:$AA$241,26,FALSE)</f>
        <v>1</v>
      </c>
      <c r="K33" s="28">
        <v>0</v>
      </c>
      <c r="L33" s="28">
        <v>0</v>
      </c>
      <c r="M33" s="128">
        <v>0</v>
      </c>
      <c r="N33" s="128">
        <v>0</v>
      </c>
      <c r="O33" s="128">
        <v>0</v>
      </c>
      <c r="P33" s="128">
        <v>3</v>
      </c>
      <c r="Q33" s="28">
        <f>I33-Table4[[#This Row],[Park Owned6]]</f>
        <v>0</v>
      </c>
      <c r="R33" s="28">
        <f>J33-Table4[[#This Row],[Other Owned7]]</f>
        <v>-2</v>
      </c>
      <c r="S33" s="24">
        <f>VLOOKUP($A33,Registry!$A$4:$AA$241,23,FALSE)</f>
        <v>1</v>
      </c>
      <c r="T33" s="61">
        <f t="shared" si="0"/>
        <v>2.9411764705882353E-2</v>
      </c>
      <c r="U33" s="35">
        <v>1</v>
      </c>
      <c r="V33" s="90">
        <v>2.9411764705882353E-2</v>
      </c>
      <c r="W33" s="86">
        <v>1</v>
      </c>
      <c r="X33" s="90">
        <v>2.8999999999999998E-2</v>
      </c>
      <c r="Y33" s="86">
        <v>1</v>
      </c>
      <c r="Z33" s="90">
        <v>2.8999999999999998E-2</v>
      </c>
      <c r="AA33" s="35">
        <f>Table4[[#This Row],['# Lots]]-Table4[[#This Row],['# Lots10]]</f>
        <v>0</v>
      </c>
      <c r="AB33" s="61">
        <f t="shared" si="1"/>
        <v>0</v>
      </c>
      <c r="AC33" s="35">
        <f>Table4[[#This Row],['# Lots]]-Table4[[#This Row],['# Lots14]]</f>
        <v>0</v>
      </c>
      <c r="AD33" s="61">
        <f t="shared" si="2"/>
        <v>0</v>
      </c>
      <c r="AE33" s="138">
        <v>33</v>
      </c>
      <c r="AF33" s="35">
        <v>31</v>
      </c>
      <c r="AG33" s="58">
        <v>31</v>
      </c>
      <c r="AH33" s="58">
        <v>31</v>
      </c>
      <c r="AI33" s="128">
        <f>Table4[[#This Row],[2022 Leased Lots20]]-Table4[[#This Row],[2019 Leased Lots23]]</f>
        <v>2</v>
      </c>
      <c r="AJ33" s="61">
        <f t="shared" si="3"/>
        <v>0.97058823529411764</v>
      </c>
      <c r="AK33" s="139">
        <f>VLOOKUP($A33,Registry!$A$4:$AA$241,27,FALSE)</f>
        <v>385</v>
      </c>
      <c r="AL33" s="65">
        <v>385</v>
      </c>
      <c r="AM33" s="65">
        <v>385</v>
      </c>
      <c r="AN33" s="65">
        <v>385</v>
      </c>
      <c r="AO33" s="120">
        <f>IFERROR((AK33-Table4[[#This Row],[2019 Total Rent29]])/Table4[[#This Row],[2019 Total Rent29]], "-")</f>
        <v>0</v>
      </c>
    </row>
    <row r="34" spans="1:41" x14ac:dyDescent="0.25">
      <c r="A34" s="25">
        <v>48</v>
      </c>
      <c r="B34" s="54" t="str">
        <f>VLOOKUP(A34,Registry!$A$4:$AA$241,2,FALSE)</f>
        <v>Squires Road Mobile Home Park</v>
      </c>
      <c r="C34" s="80" t="str">
        <f>VLOOKUP(A34,Registry!$A$4:$AA$241,3,FALSE)</f>
        <v>Bennington</v>
      </c>
      <c r="D34" s="80" t="str">
        <f>VLOOKUP(A34,Registry!$A$4:$AA$241,4,FALSE)</f>
        <v>Manchester</v>
      </c>
      <c r="E34" s="80">
        <f>IF(VLOOKUP(A34,Registry!$A$4:$AA$241,7,FALSE)=0,"",VLOOKUP(A34,Registry!$A$4:$AA$241,7,FALSE))</f>
        <v>1970</v>
      </c>
      <c r="F34" s="80" t="str">
        <f>IF(VLOOKUP(A34,Registry!$A$4:$AA$241,20,FALSE)=0,"",VLOOKUP(A34,Registry!$A$4:$AA$241,20,FALSE))</f>
        <v>For profit</v>
      </c>
      <c r="G34" s="25">
        <v>2000</v>
      </c>
      <c r="H34" s="24">
        <f>VLOOKUP(A34,Registry!$A$4:$AA$241,21,FALSE)</f>
        <v>5</v>
      </c>
      <c r="I34" s="24">
        <f>VLOOKUP(A34,Registry!$A$4:$AA$241,24,FALSE)</f>
        <v>1</v>
      </c>
      <c r="J34" s="24">
        <f>VLOOKUP(A34,Registry!$A$4:$AA$241,26,FALSE)</f>
        <v>0</v>
      </c>
      <c r="K34" s="28">
        <v>1</v>
      </c>
      <c r="L34" s="28">
        <v>0</v>
      </c>
      <c r="M34" s="128">
        <v>1</v>
      </c>
      <c r="N34" s="128">
        <v>0</v>
      </c>
      <c r="O34" s="128">
        <v>1</v>
      </c>
      <c r="P34" s="128">
        <v>0</v>
      </c>
      <c r="Q34" s="28">
        <f>I34-Table4[[#This Row],[Park Owned6]]</f>
        <v>0</v>
      </c>
      <c r="R34" s="28">
        <f>J34-Table4[[#This Row],[Other Owned7]]</f>
        <v>0</v>
      </c>
      <c r="S34" s="24">
        <f>VLOOKUP($A34,Registry!$A$4:$AA$241,23,FALSE)</f>
        <v>0</v>
      </c>
      <c r="T34" s="61">
        <f t="shared" si="0"/>
        <v>0</v>
      </c>
      <c r="U34" s="35">
        <v>0</v>
      </c>
      <c r="V34" s="90">
        <v>0</v>
      </c>
      <c r="W34" s="86">
        <v>0</v>
      </c>
      <c r="X34" s="90">
        <v>0</v>
      </c>
      <c r="Y34" s="86">
        <v>0</v>
      </c>
      <c r="Z34" s="90">
        <v>0</v>
      </c>
      <c r="AA34" s="35">
        <f>Table4[[#This Row],['# Lots]]-Table4[[#This Row],['# Lots10]]</f>
        <v>0</v>
      </c>
      <c r="AB34" s="61">
        <f t="shared" si="1"/>
        <v>0</v>
      </c>
      <c r="AC34" s="35">
        <f>Table4[[#This Row],['# Lots]]-Table4[[#This Row],['# Lots14]]</f>
        <v>0</v>
      </c>
      <c r="AD34" s="61">
        <f t="shared" si="2"/>
        <v>0</v>
      </c>
      <c r="AE34" s="138">
        <v>5</v>
      </c>
      <c r="AF34" s="35">
        <v>5</v>
      </c>
      <c r="AG34" s="58">
        <v>5</v>
      </c>
      <c r="AH34" s="58">
        <v>5</v>
      </c>
      <c r="AI34" s="128">
        <f>Table4[[#This Row],[2022 Leased Lots20]]-Table4[[#This Row],[2019 Leased Lots23]]</f>
        <v>0</v>
      </c>
      <c r="AJ34" s="61">
        <f t="shared" si="3"/>
        <v>1</v>
      </c>
      <c r="AK34" s="139">
        <f>VLOOKUP($A34,Registry!$A$4:$AA$241,27,FALSE)</f>
        <v>368.52</v>
      </c>
      <c r="AL34" s="65">
        <v>351.72</v>
      </c>
      <c r="AM34" s="65">
        <v>342.22</v>
      </c>
      <c r="AN34" s="65">
        <v>338.72</v>
      </c>
      <c r="AO34" s="120">
        <f>IFERROR((AK34-Table4[[#This Row],[2019 Total Rent29]])/Table4[[#This Row],[2019 Total Rent29]], "-")</f>
        <v>8.7978271138403258E-2</v>
      </c>
    </row>
    <row r="35" spans="1:41" x14ac:dyDescent="0.25">
      <c r="A35" s="25">
        <v>2</v>
      </c>
      <c r="B35" s="54" t="str">
        <f>VLOOKUP(A35,Registry!$A$4:$AA$241,2,FALSE)</f>
        <v>Barbers Pond Trailer Park</v>
      </c>
      <c r="C35" s="80" t="str">
        <f>VLOOKUP(A35,Registry!$A$4:$AA$241,3,FALSE)</f>
        <v>Bennington</v>
      </c>
      <c r="D35" s="80" t="str">
        <f>VLOOKUP(A35,Registry!$A$4:$AA$241,4,FALSE)</f>
        <v>Pownal</v>
      </c>
      <c r="E35" s="80">
        <f>IF(VLOOKUP(A35,Registry!$A$4:$AA$241,7,FALSE)=0,"",VLOOKUP(A35,Registry!$A$4:$AA$241,7,FALSE))</f>
        <v>1960</v>
      </c>
      <c r="F35" s="80" t="str">
        <f>IF(VLOOKUP(A35,Registry!$A$4:$AA$241,20,FALSE)=0,"",VLOOKUP(A35,Registry!$A$4:$AA$241,20,FALSE))</f>
        <v>For profit</v>
      </c>
      <c r="G35" s="25">
        <v>2021</v>
      </c>
      <c r="H35" s="24">
        <f>VLOOKUP(A35,Registry!$A$4:$AA$241,21,FALSE)</f>
        <v>6</v>
      </c>
      <c r="I35" s="24">
        <f>VLOOKUP(A35,Registry!$A$4:$AA$241,24,FALSE)</f>
        <v>0</v>
      </c>
      <c r="J35" s="24">
        <f>VLOOKUP(A35,Registry!$A$4:$AA$241,26,FALSE)</f>
        <v>0</v>
      </c>
      <c r="K35" s="28">
        <v>0</v>
      </c>
      <c r="L35" s="28">
        <v>0</v>
      </c>
      <c r="M35" s="128">
        <v>0</v>
      </c>
      <c r="N35" s="128">
        <v>0</v>
      </c>
      <c r="O35" s="128">
        <v>0</v>
      </c>
      <c r="P35" s="128">
        <v>0</v>
      </c>
      <c r="Q35" s="28">
        <f>I35-Table4[[#This Row],[Park Owned6]]</f>
        <v>0</v>
      </c>
      <c r="R35" s="28">
        <f>J35-Table4[[#This Row],[Other Owned7]]</f>
        <v>0</v>
      </c>
      <c r="S35" s="24">
        <f>VLOOKUP($A35,Registry!$A$4:$AA$241,23,FALSE)</f>
        <v>0</v>
      </c>
      <c r="T35" s="61">
        <f t="shared" si="0"/>
        <v>0</v>
      </c>
      <c r="U35" s="35">
        <v>0</v>
      </c>
      <c r="V35" s="90">
        <v>0</v>
      </c>
      <c r="W35" s="86">
        <v>0</v>
      </c>
      <c r="X35" s="90">
        <v>0</v>
      </c>
      <c r="Y35" s="86">
        <v>0</v>
      </c>
      <c r="Z35" s="90">
        <v>0</v>
      </c>
      <c r="AA35" s="35">
        <f>Table4[[#This Row],['# Lots]]-Table4[[#This Row],['# Lots10]]</f>
        <v>0</v>
      </c>
      <c r="AB35" s="61">
        <f t="shared" si="1"/>
        <v>0</v>
      </c>
      <c r="AC35" s="35">
        <f>Table4[[#This Row],['# Lots]]-Table4[[#This Row],['# Lots14]]</f>
        <v>0</v>
      </c>
      <c r="AD35" s="61">
        <f t="shared" si="2"/>
        <v>0</v>
      </c>
      <c r="AE35" s="138">
        <v>6</v>
      </c>
      <c r="AF35" s="35">
        <v>6</v>
      </c>
      <c r="AG35" s="58">
        <v>6</v>
      </c>
      <c r="AH35" s="58">
        <v>7</v>
      </c>
      <c r="AI35" s="128">
        <f>Table4[[#This Row],[2022 Leased Lots20]]-Table4[[#This Row],[2019 Leased Lots23]]</f>
        <v>-1</v>
      </c>
      <c r="AJ35" s="61">
        <f t="shared" si="3"/>
        <v>1</v>
      </c>
      <c r="AK35" s="139">
        <f>VLOOKUP($A35,Registry!$A$4:$AA$241,27,FALSE)</f>
        <v>260</v>
      </c>
      <c r="AL35" s="65">
        <v>260</v>
      </c>
      <c r="AM35" s="65">
        <v>260</v>
      </c>
      <c r="AN35" s="65">
        <v>260</v>
      </c>
      <c r="AO35" s="120">
        <f>IFERROR((AK35-Table4[[#This Row],[2019 Total Rent29]])/Table4[[#This Row],[2019 Total Rent29]], "-")</f>
        <v>0</v>
      </c>
    </row>
    <row r="36" spans="1:41" x14ac:dyDescent="0.25">
      <c r="A36" s="25">
        <v>54</v>
      </c>
      <c r="B36" s="54" t="str">
        <f>VLOOKUP(A36,Registry!$A$4:$AA$241,2,FALSE)</f>
        <v>Burdick and Burdick Trailer Park</v>
      </c>
      <c r="C36" s="80" t="str">
        <f>VLOOKUP(A36,Registry!$A$4:$AA$241,3,FALSE)</f>
        <v>Bennington</v>
      </c>
      <c r="D36" s="80" t="str">
        <f>VLOOKUP(A36,Registry!$A$4:$AA$241,4,FALSE)</f>
        <v>Pownal</v>
      </c>
      <c r="E36" s="80">
        <f>IF(VLOOKUP(A36,Registry!$A$4:$AA$241,7,FALSE)=0,"",VLOOKUP(A36,Registry!$A$4:$AA$241,7,FALSE))</f>
        <v>1965</v>
      </c>
      <c r="F36" s="80" t="str">
        <f>IF(VLOOKUP(A36,Registry!$A$4:$AA$241,20,FALSE)=0,"",VLOOKUP(A36,Registry!$A$4:$AA$241,20,FALSE))</f>
        <v>For profit</v>
      </c>
      <c r="G36" s="25">
        <v>1967</v>
      </c>
      <c r="H36" s="24">
        <f>VLOOKUP(A36,Registry!$A$4:$AA$241,21,FALSE)</f>
        <v>15</v>
      </c>
      <c r="I36" s="24">
        <f>VLOOKUP(A36,Registry!$A$4:$AA$241,24,FALSE)</f>
        <v>0</v>
      </c>
      <c r="J36" s="24">
        <f>VLOOKUP(A36,Registry!$A$4:$AA$241,26,FALSE)</f>
        <v>1</v>
      </c>
      <c r="K36" s="28">
        <v>0</v>
      </c>
      <c r="L36" s="28">
        <v>3</v>
      </c>
      <c r="M36" s="128">
        <v>0</v>
      </c>
      <c r="N36" s="128">
        <v>2</v>
      </c>
      <c r="O36" s="128">
        <v>0</v>
      </c>
      <c r="P36" s="128">
        <v>2</v>
      </c>
      <c r="Q36" s="28">
        <f>I36-Table4[[#This Row],[Park Owned6]]</f>
        <v>0</v>
      </c>
      <c r="R36" s="28">
        <f>J36-Table4[[#This Row],[Other Owned7]]</f>
        <v>-1</v>
      </c>
      <c r="S36" s="24">
        <f>VLOOKUP($A36,Registry!$A$4:$AA$241,23,FALSE)</f>
        <v>1</v>
      </c>
      <c r="T36" s="61">
        <f t="shared" si="0"/>
        <v>6.6666666666666666E-2</v>
      </c>
      <c r="U36" s="35">
        <v>0</v>
      </c>
      <c r="V36" s="90">
        <v>0</v>
      </c>
      <c r="W36" s="86"/>
      <c r="X36" s="90">
        <v>0</v>
      </c>
      <c r="Y36" s="86">
        <v>2</v>
      </c>
      <c r="Z36" s="90">
        <v>0.125</v>
      </c>
      <c r="AA36" s="35">
        <f>Table4[[#This Row],['# Lots]]-Table4[[#This Row],['# Lots10]]</f>
        <v>1</v>
      </c>
      <c r="AB36" s="61">
        <f t="shared" ref="AB36:AB67" si="4">AA36/$H36</f>
        <v>6.6666666666666666E-2</v>
      </c>
      <c r="AC36" s="35">
        <f>Table4[[#This Row],['# Lots]]-Table4[[#This Row],['# Lots14]]</f>
        <v>-1</v>
      </c>
      <c r="AD36" s="61">
        <f t="shared" ref="AD36:AD67" si="5">AC36/$H36</f>
        <v>-6.6666666666666666E-2</v>
      </c>
      <c r="AE36" s="138">
        <v>11</v>
      </c>
      <c r="AF36" s="35">
        <v>12</v>
      </c>
      <c r="AG36" s="58">
        <v>12</v>
      </c>
      <c r="AH36" s="58">
        <v>12</v>
      </c>
      <c r="AI36" s="128">
        <f>Table4[[#This Row],[2022 Leased Lots20]]-Table4[[#This Row],[2019 Leased Lots23]]</f>
        <v>-1</v>
      </c>
      <c r="AJ36" s="61">
        <f t="shared" si="3"/>
        <v>0.73333333333333328</v>
      </c>
      <c r="AK36" s="139">
        <f>VLOOKUP($A36,Registry!$A$4:$AA$241,27,FALSE)</f>
        <v>320</v>
      </c>
      <c r="AL36" s="65">
        <v>320</v>
      </c>
      <c r="AM36" s="65"/>
      <c r="AN36" s="65">
        <v>320</v>
      </c>
      <c r="AO36" s="120">
        <f>IFERROR((AK36-Table4[[#This Row],[2019 Total Rent29]])/Table4[[#This Row],[2019 Total Rent29]], "-")</f>
        <v>0</v>
      </c>
    </row>
    <row r="37" spans="1:41" x14ac:dyDescent="0.25">
      <c r="A37" s="25">
        <v>51</v>
      </c>
      <c r="B37" s="54" t="str">
        <f>VLOOKUP(A37,Registry!$A$4:$AA$241,2,FALSE)</f>
        <v>Cozy Meadow</v>
      </c>
      <c r="C37" s="80" t="str">
        <f>VLOOKUP(A37,Registry!$A$4:$AA$241,3,FALSE)</f>
        <v>Bennington</v>
      </c>
      <c r="D37" s="80" t="str">
        <f>VLOOKUP(A37,Registry!$A$4:$AA$241,4,FALSE)</f>
        <v>Pownal</v>
      </c>
      <c r="E37" s="80">
        <f>IF(VLOOKUP(A37,Registry!$A$4:$AA$241,7,FALSE)=0,"",VLOOKUP(A37,Registry!$A$4:$AA$241,7,FALSE))</f>
        <v>1959</v>
      </c>
      <c r="F37" s="80" t="str">
        <f>IF(VLOOKUP(A37,Registry!$A$4:$AA$241,20,FALSE)=0,"",VLOOKUP(A37,Registry!$A$4:$AA$241,20,FALSE))</f>
        <v>For profit</v>
      </c>
      <c r="G37" s="25">
        <v>0</v>
      </c>
      <c r="H37" s="24">
        <f>VLOOKUP(A37,Registry!$A$4:$AA$241,21,FALSE)</f>
        <v>43</v>
      </c>
      <c r="I37" s="24">
        <f>VLOOKUP(A37,Registry!$A$4:$AA$241,24,FALSE)</f>
        <v>0</v>
      </c>
      <c r="J37" s="24">
        <f>VLOOKUP(A37,Registry!$A$4:$AA$241,26,FALSE)</f>
        <v>0</v>
      </c>
      <c r="K37" s="28">
        <v>0</v>
      </c>
      <c r="L37" s="28">
        <v>0</v>
      </c>
      <c r="M37" s="128">
        <v>0</v>
      </c>
      <c r="N37" s="128">
        <v>0</v>
      </c>
      <c r="O37" s="128">
        <v>0</v>
      </c>
      <c r="P37" s="128">
        <v>0</v>
      </c>
      <c r="Q37" s="28">
        <f>I37-Table4[[#This Row],[Park Owned6]]</f>
        <v>0</v>
      </c>
      <c r="R37" s="28">
        <f>J37-Table4[[#This Row],[Other Owned7]]</f>
        <v>0</v>
      </c>
      <c r="S37" s="24">
        <f>VLOOKUP($A37,Registry!$A$4:$AA$241,23,FALSE)</f>
        <v>3</v>
      </c>
      <c r="T37" s="61">
        <f t="shared" si="0"/>
        <v>6.9767441860465115E-2</v>
      </c>
      <c r="U37" s="35">
        <v>3</v>
      </c>
      <c r="V37" s="90">
        <v>6.9767441860465115E-2</v>
      </c>
      <c r="W37" s="86">
        <v>3</v>
      </c>
      <c r="X37" s="90">
        <v>7.0000000000000007E-2</v>
      </c>
      <c r="Y37" s="86">
        <v>3</v>
      </c>
      <c r="Z37" s="90">
        <v>7.0000000000000007E-2</v>
      </c>
      <c r="AA37" s="35">
        <f>Table4[[#This Row],['# Lots]]-Table4[[#This Row],['# Lots10]]</f>
        <v>0</v>
      </c>
      <c r="AB37" s="61">
        <f t="shared" si="4"/>
        <v>0</v>
      </c>
      <c r="AC37" s="35">
        <f>Table4[[#This Row],['# Lots]]-Table4[[#This Row],['# Lots14]]</f>
        <v>0</v>
      </c>
      <c r="AD37" s="61">
        <f t="shared" si="5"/>
        <v>0</v>
      </c>
      <c r="AE37" s="138">
        <v>40</v>
      </c>
      <c r="AF37" s="35">
        <v>40</v>
      </c>
      <c r="AG37" s="58">
        <v>40</v>
      </c>
      <c r="AH37" s="58">
        <v>40</v>
      </c>
      <c r="AI37" s="128">
        <f>Table4[[#This Row],[2022 Leased Lots20]]-Table4[[#This Row],[2019 Leased Lots23]]</f>
        <v>0</v>
      </c>
      <c r="AJ37" s="61">
        <f t="shared" si="3"/>
        <v>0.93023255813953487</v>
      </c>
      <c r="AK37" s="139">
        <f>VLOOKUP($A37,Registry!$A$4:$AA$241,27,FALSE)</f>
        <v>300</v>
      </c>
      <c r="AL37" s="65">
        <v>290</v>
      </c>
      <c r="AM37" s="65">
        <v>280</v>
      </c>
      <c r="AN37" s="65">
        <v>270</v>
      </c>
      <c r="AO37" s="120">
        <f>IFERROR((AK37-Table4[[#This Row],[2019 Total Rent29]])/Table4[[#This Row],[2019 Total Rent29]], "-")</f>
        <v>0.1111111111111111</v>
      </c>
    </row>
    <row r="38" spans="1:41" x14ac:dyDescent="0.25">
      <c r="A38" s="25">
        <v>53</v>
      </c>
      <c r="B38" s="54" t="str">
        <f>VLOOKUP(A38,Registry!$A$4:$AA$241,2,FALSE)</f>
        <v>Evergreen Mobile Home Park</v>
      </c>
      <c r="C38" s="80" t="str">
        <f>VLOOKUP(A38,Registry!$A$4:$AA$241,3,FALSE)</f>
        <v>Bennington</v>
      </c>
      <c r="D38" s="80" t="str">
        <f>VLOOKUP(A38,Registry!$A$4:$AA$241,4,FALSE)</f>
        <v>Pownal</v>
      </c>
      <c r="E38" s="80">
        <f>IF(VLOOKUP(A38,Registry!$A$4:$AA$241,7,FALSE)=0,"",VLOOKUP(A38,Registry!$A$4:$AA$241,7,FALSE))</f>
        <v>1968</v>
      </c>
      <c r="F38" s="80" t="str">
        <f>IF(VLOOKUP(A38,Registry!$A$4:$AA$241,20,FALSE)=0,"",VLOOKUP(A38,Registry!$A$4:$AA$241,20,FALSE))</f>
        <v>For profit</v>
      </c>
      <c r="G38" s="25">
        <v>2015</v>
      </c>
      <c r="H38" s="24">
        <f>VLOOKUP(A38,Registry!$A$4:$AA$241,21,FALSE)</f>
        <v>19</v>
      </c>
      <c r="I38" s="24">
        <f>VLOOKUP(A38,Registry!$A$4:$AA$241,24,FALSE)</f>
        <v>0</v>
      </c>
      <c r="J38" s="24">
        <f>VLOOKUP(A38,Registry!$A$4:$AA$241,26,FALSE)</f>
        <v>0</v>
      </c>
      <c r="K38" s="28">
        <v>0</v>
      </c>
      <c r="L38" s="28">
        <v>0</v>
      </c>
      <c r="M38" s="128">
        <v>0</v>
      </c>
      <c r="N38" s="128">
        <v>0</v>
      </c>
      <c r="O38" s="128">
        <v>0</v>
      </c>
      <c r="P38" s="128">
        <v>0</v>
      </c>
      <c r="Q38" s="28">
        <f>I38-Table4[[#This Row],[Park Owned6]]</f>
        <v>0</v>
      </c>
      <c r="R38" s="28">
        <f>J38-Table4[[#This Row],[Other Owned7]]</f>
        <v>0</v>
      </c>
      <c r="S38" s="24">
        <f>VLOOKUP($A38,Registry!$A$4:$AA$241,23,FALSE)</f>
        <v>0</v>
      </c>
      <c r="T38" s="61">
        <f t="shared" si="0"/>
        <v>0</v>
      </c>
      <c r="U38" s="35">
        <v>0</v>
      </c>
      <c r="V38" s="90">
        <v>0</v>
      </c>
      <c r="W38" s="86">
        <v>0</v>
      </c>
      <c r="X38" s="90">
        <v>0</v>
      </c>
      <c r="Y38" s="86">
        <v>1</v>
      </c>
      <c r="Z38" s="90">
        <v>5.2999999999999999E-2</v>
      </c>
      <c r="AA38" s="35">
        <f>Table4[[#This Row],['# Lots]]-Table4[[#This Row],['# Lots10]]</f>
        <v>0</v>
      </c>
      <c r="AB38" s="61">
        <f t="shared" si="4"/>
        <v>0</v>
      </c>
      <c r="AC38" s="35">
        <f>Table4[[#This Row],['# Lots]]-Table4[[#This Row],['# Lots14]]</f>
        <v>-1</v>
      </c>
      <c r="AD38" s="61">
        <f t="shared" si="5"/>
        <v>-5.2631578947368418E-2</v>
      </c>
      <c r="AE38" s="138">
        <v>19</v>
      </c>
      <c r="AF38" s="35">
        <v>19</v>
      </c>
      <c r="AG38" s="58">
        <v>18</v>
      </c>
      <c r="AH38" s="58">
        <v>18</v>
      </c>
      <c r="AI38" s="128">
        <f>Table4[[#This Row],[2022 Leased Lots20]]-Table4[[#This Row],[2019 Leased Lots23]]</f>
        <v>1</v>
      </c>
      <c r="AJ38" s="61">
        <f t="shared" si="3"/>
        <v>1</v>
      </c>
      <c r="AK38" s="139">
        <f>VLOOKUP($A38,Registry!$A$4:$AA$241,27,FALSE)</f>
        <v>310</v>
      </c>
      <c r="AL38" s="65">
        <v>300</v>
      </c>
      <c r="AM38" s="65">
        <v>290</v>
      </c>
      <c r="AN38" s="65">
        <v>280</v>
      </c>
      <c r="AO38" s="120">
        <f>IFERROR((AK38-Table4[[#This Row],[2019 Total Rent29]])/Table4[[#This Row],[2019 Total Rent29]], "-")</f>
        <v>0.10714285714285714</v>
      </c>
    </row>
    <row r="39" spans="1:41" x14ac:dyDescent="0.25">
      <c r="A39" s="25">
        <v>6</v>
      </c>
      <c r="B39" s="54" t="str">
        <f>VLOOKUP(A39,Registry!$A$4:$AA$241,2,FALSE)</f>
        <v>Green Mountain Mobile Home Park</v>
      </c>
      <c r="C39" s="80" t="str">
        <f>VLOOKUP(A39,Registry!$A$4:$AA$241,3,FALSE)</f>
        <v>Bennington</v>
      </c>
      <c r="D39" s="80" t="str">
        <f>VLOOKUP(A39,Registry!$A$4:$AA$241,4,FALSE)</f>
        <v>Pownal</v>
      </c>
      <c r="E39" s="80">
        <f>IF(VLOOKUP(A39,Registry!$A$4:$AA$241,7,FALSE)=0,"",VLOOKUP(A39,Registry!$A$4:$AA$241,7,FALSE))</f>
        <v>1964</v>
      </c>
      <c r="F39" s="80" t="str">
        <f>IF(VLOOKUP(A39,Registry!$A$4:$AA$241,20,FALSE)=0,"",VLOOKUP(A39,Registry!$A$4:$AA$241,20,FALSE))</f>
        <v>For profit</v>
      </c>
      <c r="G39" s="25">
        <v>2007</v>
      </c>
      <c r="H39" s="24">
        <f>VLOOKUP(A39,Registry!$A$4:$AA$241,21,FALSE)</f>
        <v>42</v>
      </c>
      <c r="I39" s="24">
        <f>VLOOKUP(A39,Registry!$A$4:$AA$241,24,FALSE)</f>
        <v>10</v>
      </c>
      <c r="J39" s="24">
        <f>VLOOKUP(A39,Registry!$A$4:$AA$241,26,FALSE)</f>
        <v>1</v>
      </c>
      <c r="K39" s="28">
        <v>10</v>
      </c>
      <c r="L39" s="28">
        <v>1</v>
      </c>
      <c r="M39" s="128">
        <v>10</v>
      </c>
      <c r="N39" s="128">
        <v>1</v>
      </c>
      <c r="O39" s="128">
        <v>10</v>
      </c>
      <c r="P39" s="128">
        <v>1</v>
      </c>
      <c r="Q39" s="28">
        <f>I39-Table4[[#This Row],[Park Owned6]]</f>
        <v>0</v>
      </c>
      <c r="R39" s="28">
        <f>J39-Table4[[#This Row],[Other Owned7]]</f>
        <v>0</v>
      </c>
      <c r="S39" s="24">
        <f>VLOOKUP($A39,Registry!$A$4:$AA$241,23,FALSE)</f>
        <v>14</v>
      </c>
      <c r="T39" s="61">
        <f t="shared" si="0"/>
        <v>0.33333333333333331</v>
      </c>
      <c r="U39" s="35">
        <v>14</v>
      </c>
      <c r="V39" s="90">
        <v>0.33333333333333331</v>
      </c>
      <c r="W39" s="86">
        <v>14</v>
      </c>
      <c r="X39" s="90">
        <v>0.33299999999999996</v>
      </c>
      <c r="Y39" s="86">
        <v>14</v>
      </c>
      <c r="Z39" s="90">
        <v>0.33299999999999996</v>
      </c>
      <c r="AA39" s="35">
        <f>Table4[[#This Row],['# Lots]]-Table4[[#This Row],['# Lots10]]</f>
        <v>0</v>
      </c>
      <c r="AB39" s="61">
        <f t="shared" si="4"/>
        <v>0</v>
      </c>
      <c r="AC39" s="35">
        <f>Table4[[#This Row],['# Lots]]-Table4[[#This Row],['# Lots14]]</f>
        <v>0</v>
      </c>
      <c r="AD39" s="61">
        <f t="shared" si="5"/>
        <v>0</v>
      </c>
      <c r="AE39" s="138">
        <v>27</v>
      </c>
      <c r="AF39" s="35">
        <v>27</v>
      </c>
      <c r="AG39" s="58">
        <v>27</v>
      </c>
      <c r="AH39" s="58">
        <v>27</v>
      </c>
      <c r="AI39" s="128">
        <f>Table4[[#This Row],[2022 Leased Lots20]]-Table4[[#This Row],[2019 Leased Lots23]]</f>
        <v>0</v>
      </c>
      <c r="AJ39" s="61">
        <f t="shared" si="3"/>
        <v>0.6428571428571429</v>
      </c>
      <c r="AK39" s="139">
        <f>VLOOKUP($A39,Registry!$A$4:$AA$241,27,FALSE)</f>
        <v>311</v>
      </c>
      <c r="AL39" s="65">
        <v>311</v>
      </c>
      <c r="AM39" s="65">
        <v>311</v>
      </c>
      <c r="AN39" s="65">
        <v>311</v>
      </c>
      <c r="AO39" s="120">
        <f>IFERROR((AK39-Table4[[#This Row],[2019 Total Rent29]])/Table4[[#This Row],[2019 Total Rent29]], "-")</f>
        <v>0</v>
      </c>
    </row>
    <row r="40" spans="1:41" x14ac:dyDescent="0.25">
      <c r="A40" s="25">
        <v>294</v>
      </c>
      <c r="B40" s="54" t="str">
        <f>VLOOKUP(A40,Registry!$A$4:$AA$241,2,FALSE)</f>
        <v>Hillside Mobile Home Park</v>
      </c>
      <c r="C40" s="80" t="str">
        <f>VLOOKUP(A40,Registry!$A$4:$AA$241,3,FALSE)</f>
        <v>Bennington</v>
      </c>
      <c r="D40" s="80" t="str">
        <f>VLOOKUP(A40,Registry!$A$4:$AA$241,4,FALSE)</f>
        <v>Pownal</v>
      </c>
      <c r="E40" s="80">
        <f>IF(VLOOKUP(A40,Registry!$A$4:$AA$241,7,FALSE)=0,"",VLOOKUP(A40,Registry!$A$4:$AA$241,7,FALSE))</f>
        <v>1969</v>
      </c>
      <c r="F40" s="80" t="str">
        <f>IF(VLOOKUP(A40,Registry!$A$4:$AA$241,20,FALSE)=0,"",VLOOKUP(A40,Registry!$A$4:$AA$241,20,FALSE))</f>
        <v>For profit</v>
      </c>
      <c r="G40" s="25">
        <v>1969</v>
      </c>
      <c r="H40" s="24">
        <f>VLOOKUP(A40,Registry!$A$4:$AA$241,21,FALSE)</f>
        <v>7</v>
      </c>
      <c r="I40" s="24">
        <f>VLOOKUP(A40,Registry!$A$4:$AA$241,24,FALSE)</f>
        <v>6</v>
      </c>
      <c r="J40" s="24">
        <f>VLOOKUP(A40,Registry!$A$4:$AA$241,26,FALSE)</f>
        <v>0</v>
      </c>
      <c r="K40" s="28">
        <v>6</v>
      </c>
      <c r="L40" s="28">
        <v>0</v>
      </c>
      <c r="M40" s="128">
        <v>6</v>
      </c>
      <c r="N40" s="128">
        <v>0</v>
      </c>
      <c r="O40" s="128">
        <v>6</v>
      </c>
      <c r="P40" s="128">
        <v>0</v>
      </c>
      <c r="Q40" s="28">
        <f>I40-Table4[[#This Row],[Park Owned6]]</f>
        <v>0</v>
      </c>
      <c r="R40" s="28">
        <f>J40-Table4[[#This Row],[Other Owned7]]</f>
        <v>0</v>
      </c>
      <c r="S40" s="24">
        <f>VLOOKUP($A40,Registry!$A$4:$AA$241,23,FALSE)</f>
        <v>1</v>
      </c>
      <c r="T40" s="61">
        <f t="shared" si="0"/>
        <v>0.14285714285714285</v>
      </c>
      <c r="U40" s="35">
        <v>1</v>
      </c>
      <c r="V40" s="90">
        <v>0.14285714285714285</v>
      </c>
      <c r="W40" s="86">
        <v>1</v>
      </c>
      <c r="X40" s="90">
        <v>0.14300000000000002</v>
      </c>
      <c r="Y40" s="86">
        <v>1</v>
      </c>
      <c r="Z40" s="90">
        <v>0.14300000000000002</v>
      </c>
      <c r="AA40" s="35">
        <f>Table4[[#This Row],['# Lots]]-Table4[[#This Row],['# Lots10]]</f>
        <v>0</v>
      </c>
      <c r="AB40" s="61">
        <f t="shared" si="4"/>
        <v>0</v>
      </c>
      <c r="AC40" s="35">
        <f>Table4[[#This Row],['# Lots]]-Table4[[#This Row],['# Lots14]]</f>
        <v>0</v>
      </c>
      <c r="AD40" s="61">
        <f t="shared" si="5"/>
        <v>0</v>
      </c>
      <c r="AE40" s="138">
        <v>6</v>
      </c>
      <c r="AF40" s="35">
        <v>6</v>
      </c>
      <c r="AG40" s="58">
        <v>6</v>
      </c>
      <c r="AH40" s="58">
        <v>6</v>
      </c>
      <c r="AI40" s="128">
        <f>Table4[[#This Row],[2022 Leased Lots20]]-Table4[[#This Row],[2019 Leased Lots23]]</f>
        <v>0</v>
      </c>
      <c r="AJ40" s="61">
        <f t="shared" si="3"/>
        <v>0.8571428571428571</v>
      </c>
      <c r="AK40" s="139">
        <f>VLOOKUP($A40,Registry!$A$4:$AA$241,27,FALSE)</f>
        <v>0</v>
      </c>
      <c r="AL40" s="65">
        <v>0</v>
      </c>
      <c r="AM40" s="65"/>
      <c r="AN40" s="65"/>
      <c r="AO40" s="120" t="str">
        <f>IFERROR((AK40-Table4[[#This Row],[2019 Total Rent29]])/Table4[[#This Row],[2019 Total Rent29]], "-")</f>
        <v>-</v>
      </c>
    </row>
    <row r="41" spans="1:41" x14ac:dyDescent="0.25">
      <c r="A41" s="25">
        <v>146</v>
      </c>
      <c r="B41" s="54" t="str">
        <f>VLOOKUP(A41,Registry!$A$4:$AA$241,2,FALSE)</f>
        <v>Pownal Estates MHP</v>
      </c>
      <c r="C41" s="80" t="str">
        <f>VLOOKUP(A41,Registry!$A$4:$AA$241,3,FALSE)</f>
        <v>Bennington</v>
      </c>
      <c r="D41" s="80" t="str">
        <f>VLOOKUP(A41,Registry!$A$4:$AA$241,4,FALSE)</f>
        <v>Pownal</v>
      </c>
      <c r="E41" s="80">
        <f>IF(VLOOKUP(A41,Registry!$A$4:$AA$241,7,FALSE)=0,"",VLOOKUP(A41,Registry!$A$4:$AA$241,7,FALSE))</f>
        <v>1970</v>
      </c>
      <c r="F41" s="80" t="str">
        <f>IF(VLOOKUP(A41,Registry!$A$4:$AA$241,20,FALSE)=0,"",VLOOKUP(A41,Registry!$A$4:$AA$241,20,FALSE))</f>
        <v>For profit</v>
      </c>
      <c r="G41" s="25">
        <v>2021</v>
      </c>
      <c r="H41" s="24">
        <f>VLOOKUP(A41,Registry!$A$4:$AA$241,21,FALSE)</f>
        <v>56</v>
      </c>
      <c r="I41" s="24">
        <f>VLOOKUP(A41,Registry!$A$4:$AA$241,24,FALSE)</f>
        <v>1</v>
      </c>
      <c r="J41" s="24">
        <f>VLOOKUP(A41,Registry!$A$4:$AA$241,26,FALSE)</f>
        <v>0</v>
      </c>
      <c r="K41" s="28">
        <v>1</v>
      </c>
      <c r="L41" s="28">
        <v>0</v>
      </c>
      <c r="M41" s="128">
        <v>10</v>
      </c>
      <c r="N41" s="128">
        <v>0</v>
      </c>
      <c r="O41" s="128">
        <v>12</v>
      </c>
      <c r="P41" s="128">
        <v>0</v>
      </c>
      <c r="Q41" s="28">
        <f>I41-Table4[[#This Row],[Park Owned6]]</f>
        <v>-11</v>
      </c>
      <c r="R41" s="28">
        <f>J41-Table4[[#This Row],[Other Owned7]]</f>
        <v>0</v>
      </c>
      <c r="S41" s="24">
        <f>VLOOKUP($A41,Registry!$A$4:$AA$241,23,FALSE)</f>
        <v>0</v>
      </c>
      <c r="T41" s="61">
        <f t="shared" si="0"/>
        <v>0</v>
      </c>
      <c r="U41" s="35">
        <v>0</v>
      </c>
      <c r="V41" s="90">
        <v>0</v>
      </c>
      <c r="W41" s="86">
        <v>0</v>
      </c>
      <c r="X41" s="90">
        <v>0</v>
      </c>
      <c r="Y41" s="86">
        <v>0</v>
      </c>
      <c r="Z41" s="90">
        <v>0</v>
      </c>
      <c r="AA41" s="35">
        <f>Table4[[#This Row],['# Lots]]-Table4[[#This Row],['# Lots10]]</f>
        <v>0</v>
      </c>
      <c r="AB41" s="61">
        <f t="shared" si="4"/>
        <v>0</v>
      </c>
      <c r="AC41" s="35">
        <f>Table4[[#This Row],['# Lots]]-Table4[[#This Row],['# Lots14]]</f>
        <v>0</v>
      </c>
      <c r="AD41" s="61">
        <f t="shared" si="5"/>
        <v>0</v>
      </c>
      <c r="AE41" s="138">
        <v>56</v>
      </c>
      <c r="AF41" s="35">
        <v>56</v>
      </c>
      <c r="AG41" s="58">
        <v>56</v>
      </c>
      <c r="AH41" s="58">
        <v>56</v>
      </c>
      <c r="AI41" s="128">
        <f>Table4[[#This Row],[2022 Leased Lots20]]-Table4[[#This Row],[2019 Leased Lots23]]</f>
        <v>0</v>
      </c>
      <c r="AJ41" s="61">
        <f t="shared" si="3"/>
        <v>1</v>
      </c>
      <c r="AK41" s="139">
        <f>VLOOKUP($A41,Registry!$A$4:$AA$241,27,FALSE)</f>
        <v>425</v>
      </c>
      <c r="AL41" s="65">
        <v>379</v>
      </c>
      <c r="AM41" s="65">
        <v>369</v>
      </c>
      <c r="AN41" s="65">
        <v>357</v>
      </c>
      <c r="AO41" s="120">
        <f>IFERROR((AK41-Table4[[#This Row],[2019 Total Rent29]])/Table4[[#This Row],[2019 Total Rent29]], "-")</f>
        <v>0.19047619047619047</v>
      </c>
    </row>
    <row r="42" spans="1:41" x14ac:dyDescent="0.25">
      <c r="A42" s="25">
        <v>52</v>
      </c>
      <c r="B42" s="54" t="str">
        <f>VLOOKUP(A42,Registry!$A$4:$AA$241,2,FALSE)</f>
        <v>Royal Pine Villa Mobile Home Court</v>
      </c>
      <c r="C42" s="80" t="str">
        <f>VLOOKUP(A42,Registry!$A$4:$AA$241,3,FALSE)</f>
        <v>Bennington</v>
      </c>
      <c r="D42" s="80" t="str">
        <f>VLOOKUP(A42,Registry!$A$4:$AA$241,4,FALSE)</f>
        <v>Pownal</v>
      </c>
      <c r="E42" s="80">
        <f>IF(VLOOKUP(A42,Registry!$A$4:$AA$241,7,FALSE)=0,"",VLOOKUP(A42,Registry!$A$4:$AA$241,7,FALSE))</f>
        <v>1968</v>
      </c>
      <c r="F42" s="80" t="str">
        <f>IF(VLOOKUP(A42,Registry!$A$4:$AA$241,20,FALSE)=0,"",VLOOKUP(A42,Registry!$A$4:$AA$241,20,FALSE))</f>
        <v>For profit</v>
      </c>
      <c r="G42" s="25">
        <v>1950</v>
      </c>
      <c r="H42" s="24">
        <f>VLOOKUP(A42,Registry!$A$4:$AA$241,21,FALSE)</f>
        <v>36</v>
      </c>
      <c r="I42" s="24">
        <f>VLOOKUP(A42,Registry!$A$4:$AA$241,24,FALSE)</f>
        <v>23</v>
      </c>
      <c r="J42" s="24">
        <f>VLOOKUP(A42,Registry!$A$4:$AA$241,26,FALSE)</f>
        <v>0</v>
      </c>
      <c r="K42" s="28">
        <v>15</v>
      </c>
      <c r="L42" s="28">
        <v>0</v>
      </c>
      <c r="M42" s="128">
        <v>16</v>
      </c>
      <c r="N42" s="128">
        <v>0</v>
      </c>
      <c r="O42" s="128">
        <v>25</v>
      </c>
      <c r="P42" s="128">
        <v>0</v>
      </c>
      <c r="Q42" s="28">
        <f>I42-Table4[[#This Row],[Park Owned6]]</f>
        <v>-2</v>
      </c>
      <c r="R42" s="28">
        <f>J42-Table4[[#This Row],[Other Owned7]]</f>
        <v>0</v>
      </c>
      <c r="S42" s="24">
        <f>VLOOKUP($A42,Registry!$A$4:$AA$241,23,FALSE)</f>
        <v>0</v>
      </c>
      <c r="T42" s="61">
        <f t="shared" si="0"/>
        <v>0</v>
      </c>
      <c r="U42" s="35">
        <v>0</v>
      </c>
      <c r="V42" s="90">
        <v>0</v>
      </c>
      <c r="W42" s="86">
        <v>0</v>
      </c>
      <c r="X42" s="90">
        <v>0</v>
      </c>
      <c r="Y42" s="86">
        <v>0</v>
      </c>
      <c r="Z42" s="90">
        <v>0</v>
      </c>
      <c r="AA42" s="35">
        <f>Table4[[#This Row],['# Lots]]-Table4[[#This Row],['# Lots10]]</f>
        <v>0</v>
      </c>
      <c r="AB42" s="61">
        <f t="shared" si="4"/>
        <v>0</v>
      </c>
      <c r="AC42" s="35">
        <f>Table4[[#This Row],['# Lots]]-Table4[[#This Row],['# Lots14]]</f>
        <v>0</v>
      </c>
      <c r="AD42" s="61">
        <f t="shared" si="5"/>
        <v>0</v>
      </c>
      <c r="AE42" s="138">
        <v>26</v>
      </c>
      <c r="AF42" s="35">
        <v>25</v>
      </c>
      <c r="AG42" s="58">
        <v>31</v>
      </c>
      <c r="AH42" s="58">
        <v>32</v>
      </c>
      <c r="AI42" s="128">
        <f>Table4[[#This Row],[2022 Leased Lots20]]-Table4[[#This Row],[2019 Leased Lots23]]</f>
        <v>-6</v>
      </c>
      <c r="AJ42" s="61">
        <f t="shared" si="3"/>
        <v>0.72222222222222221</v>
      </c>
      <c r="AK42" s="139">
        <f>VLOOKUP($A42,Registry!$A$4:$AA$241,27,FALSE)</f>
        <v>340</v>
      </c>
      <c r="AL42" s="65">
        <v>340</v>
      </c>
      <c r="AM42" s="65">
        <v>340</v>
      </c>
      <c r="AN42" s="65">
        <v>329.6</v>
      </c>
      <c r="AO42" s="120">
        <f>IFERROR((AK42-Table4[[#This Row],[2019 Total Rent29]])/Table4[[#This Row],[2019 Total Rent29]], "-")</f>
        <v>3.1553398058252358E-2</v>
      </c>
    </row>
    <row r="43" spans="1:41" x14ac:dyDescent="0.25">
      <c r="A43" s="25">
        <v>55</v>
      </c>
      <c r="B43" s="54" t="str">
        <f>VLOOKUP(A43,Registry!$A$4:$AA$241,2,FALSE)</f>
        <v>Harrington Mobile Home Park</v>
      </c>
      <c r="C43" s="80" t="str">
        <f>VLOOKUP(A43,Registry!$A$4:$AA$241,3,FALSE)</f>
        <v>Bennington</v>
      </c>
      <c r="D43" s="80" t="str">
        <f>VLOOKUP(A43,Registry!$A$4:$AA$241,4,FALSE)</f>
        <v>Shaftsbury</v>
      </c>
      <c r="E43" s="80">
        <f>IF(VLOOKUP(A43,Registry!$A$4:$AA$241,7,FALSE)=0,"",VLOOKUP(A43,Registry!$A$4:$AA$241,7,FALSE))</f>
        <v>1965</v>
      </c>
      <c r="F43" s="80" t="str">
        <f>IF(VLOOKUP(A43,Registry!$A$4:$AA$241,20,FALSE)=0,"",VLOOKUP(A43,Registry!$A$4:$AA$241,20,FALSE))</f>
        <v>For profit</v>
      </c>
      <c r="G43" s="25">
        <v>2022</v>
      </c>
      <c r="H43" s="24">
        <f>VLOOKUP(A43,Registry!$A$4:$AA$241,21,FALSE)</f>
        <v>9</v>
      </c>
      <c r="I43" s="24">
        <f>VLOOKUP(A43,Registry!$A$4:$AA$241,24,FALSE)</f>
        <v>5</v>
      </c>
      <c r="J43" s="24">
        <f>VLOOKUP(A43,Registry!$A$4:$AA$241,26,FALSE)</f>
        <v>0</v>
      </c>
      <c r="K43" s="28">
        <v>5</v>
      </c>
      <c r="L43" s="28">
        <v>0</v>
      </c>
      <c r="M43" s="128">
        <v>5</v>
      </c>
      <c r="N43" s="128">
        <v>0</v>
      </c>
      <c r="O43" s="128">
        <v>5</v>
      </c>
      <c r="P43" s="128">
        <v>0</v>
      </c>
      <c r="Q43" s="28">
        <f>I43-Table4[[#This Row],[Park Owned6]]</f>
        <v>0</v>
      </c>
      <c r="R43" s="28">
        <f>J43-Table4[[#This Row],[Other Owned7]]</f>
        <v>0</v>
      </c>
      <c r="S43" s="24">
        <f>VLOOKUP($A43,Registry!$A$4:$AA$241,23,FALSE)</f>
        <v>0</v>
      </c>
      <c r="T43" s="61">
        <f t="shared" si="0"/>
        <v>0</v>
      </c>
      <c r="U43" s="35">
        <v>0</v>
      </c>
      <c r="V43" s="90">
        <v>0</v>
      </c>
      <c r="W43" s="86">
        <v>0</v>
      </c>
      <c r="X43" s="90">
        <v>0</v>
      </c>
      <c r="Y43" s="86">
        <v>0</v>
      </c>
      <c r="Z43" s="90">
        <v>0</v>
      </c>
      <c r="AA43" s="35">
        <f>Table4[[#This Row],['# Lots]]-Table4[[#This Row],['# Lots10]]</f>
        <v>0</v>
      </c>
      <c r="AB43" s="61">
        <f t="shared" si="4"/>
        <v>0</v>
      </c>
      <c r="AC43" s="35">
        <f>Table4[[#This Row],['# Lots]]-Table4[[#This Row],['# Lots14]]</f>
        <v>0</v>
      </c>
      <c r="AD43" s="61">
        <f t="shared" si="5"/>
        <v>0</v>
      </c>
      <c r="AE43" s="138">
        <v>9</v>
      </c>
      <c r="AF43" s="35">
        <v>9</v>
      </c>
      <c r="AG43" s="58">
        <v>9</v>
      </c>
      <c r="AH43" s="58">
        <v>9</v>
      </c>
      <c r="AI43" s="128">
        <f>Table4[[#This Row],[2022 Leased Lots20]]-Table4[[#This Row],[2019 Leased Lots23]]</f>
        <v>0</v>
      </c>
      <c r="AJ43" s="61">
        <f t="shared" si="3"/>
        <v>1</v>
      </c>
      <c r="AK43" s="139">
        <f>VLOOKUP($A43,Registry!$A$4:$AA$241,27,FALSE)</f>
        <v>0</v>
      </c>
      <c r="AL43" s="65">
        <v>250</v>
      </c>
      <c r="AM43" s="65">
        <v>250</v>
      </c>
      <c r="AN43" s="65">
        <v>250</v>
      </c>
      <c r="AO43" s="120">
        <f>IFERROR((AK43-Table4[[#This Row],[2019 Total Rent29]])/Table4[[#This Row],[2019 Total Rent29]], "-")</f>
        <v>-1</v>
      </c>
    </row>
    <row r="44" spans="1:41" x14ac:dyDescent="0.25">
      <c r="A44" s="25">
        <v>244</v>
      </c>
      <c r="B44" s="54" t="str">
        <f>VLOOKUP(A44,Registry!$A$4:$AA$241,2,FALSE)</f>
        <v>Smith's Mobile Home Park</v>
      </c>
      <c r="C44" s="80" t="str">
        <f>VLOOKUP(A44,Registry!$A$4:$AA$241,3,FALSE)</f>
        <v>Bennington</v>
      </c>
      <c r="D44" s="80" t="str">
        <f>VLOOKUP(A44,Registry!$A$4:$AA$241,4,FALSE)</f>
        <v>Woodford</v>
      </c>
      <c r="E44" s="80">
        <f>IF(VLOOKUP(A44,Registry!$A$4:$AA$241,7,FALSE)=0,"",VLOOKUP(A44,Registry!$A$4:$AA$241,7,FALSE))</f>
        <v>1961</v>
      </c>
      <c r="F44" s="80" t="str">
        <f>IF(VLOOKUP(A44,Registry!$A$4:$AA$241,20,FALSE)=0,"",VLOOKUP(A44,Registry!$A$4:$AA$241,20,FALSE))</f>
        <v>For profit</v>
      </c>
      <c r="G44" s="25">
        <v>2012</v>
      </c>
      <c r="H44" s="24">
        <f>VLOOKUP(A44,Registry!$A$4:$AA$241,21,FALSE)</f>
        <v>16</v>
      </c>
      <c r="I44" s="24">
        <f>VLOOKUP(A44,Registry!$A$4:$AA$241,24,FALSE)</f>
        <v>10</v>
      </c>
      <c r="J44" s="24">
        <f>VLOOKUP(A44,Registry!$A$4:$AA$241,26,FALSE)</f>
        <v>0</v>
      </c>
      <c r="K44" s="28">
        <v>10</v>
      </c>
      <c r="L44" s="28">
        <v>0</v>
      </c>
      <c r="M44" s="128">
        <v>10</v>
      </c>
      <c r="N44" s="128">
        <v>0</v>
      </c>
      <c r="O44" s="128">
        <v>10</v>
      </c>
      <c r="P44" s="128">
        <v>0</v>
      </c>
      <c r="Q44" s="28">
        <f>I44-Table4[[#This Row],[Park Owned6]]</f>
        <v>0</v>
      </c>
      <c r="R44" s="28">
        <f>J44-Table4[[#This Row],[Other Owned7]]</f>
        <v>0</v>
      </c>
      <c r="S44" s="24">
        <f>VLOOKUP($A44,Registry!$A$4:$AA$241,23,FALSE)</f>
        <v>0</v>
      </c>
      <c r="T44" s="61">
        <f t="shared" si="0"/>
        <v>0</v>
      </c>
      <c r="U44" s="35">
        <v>0</v>
      </c>
      <c r="V44" s="90">
        <v>0</v>
      </c>
      <c r="W44" s="86">
        <v>0</v>
      </c>
      <c r="X44" s="90">
        <v>0</v>
      </c>
      <c r="Y44" s="86">
        <v>0</v>
      </c>
      <c r="Z44" s="90">
        <v>0</v>
      </c>
      <c r="AA44" s="35">
        <f>Table4[[#This Row],['# Lots]]-Table4[[#This Row],['# Lots10]]</f>
        <v>0</v>
      </c>
      <c r="AB44" s="61">
        <f t="shared" si="4"/>
        <v>0</v>
      </c>
      <c r="AC44" s="35">
        <f>Table4[[#This Row],['# Lots]]-Table4[[#This Row],['# Lots14]]</f>
        <v>0</v>
      </c>
      <c r="AD44" s="61">
        <f t="shared" si="5"/>
        <v>0</v>
      </c>
      <c r="AE44" s="138">
        <v>16</v>
      </c>
      <c r="AF44" s="35">
        <v>16</v>
      </c>
      <c r="AG44" s="58">
        <v>16</v>
      </c>
      <c r="AH44" s="58">
        <v>16</v>
      </c>
      <c r="AI44" s="128">
        <f>Table4[[#This Row],[2022 Leased Lots20]]-Table4[[#This Row],[2019 Leased Lots23]]</f>
        <v>0</v>
      </c>
      <c r="AJ44" s="61">
        <f t="shared" si="3"/>
        <v>1</v>
      </c>
      <c r="AK44" s="139">
        <f>VLOOKUP($A44,Registry!$A$4:$AA$241,27,FALSE)</f>
        <v>350</v>
      </c>
      <c r="AL44" s="65">
        <v>350</v>
      </c>
      <c r="AM44" s="65">
        <v>350</v>
      </c>
      <c r="AN44" s="65">
        <v>300</v>
      </c>
      <c r="AO44" s="120">
        <f>IFERROR((AK44-Table4[[#This Row],[2019 Total Rent29]])/Table4[[#This Row],[2019 Total Rent29]], "-")</f>
        <v>0.16666666666666666</v>
      </c>
    </row>
    <row r="45" spans="1:41" x14ac:dyDescent="0.25">
      <c r="A45" s="25">
        <v>124</v>
      </c>
      <c r="B45" s="54" t="str">
        <f>VLOOKUP(A45,Registry!$A$4:$AA$241,2,FALSE)</f>
        <v>Glenwood Mobile Home Park</v>
      </c>
      <c r="C45" s="80" t="str">
        <f>VLOOKUP(A45,Registry!$A$4:$AA$241,3,FALSE)</f>
        <v>Caledonia</v>
      </c>
      <c r="D45" s="80" t="str">
        <f>VLOOKUP(A45,Registry!$A$4:$AA$241,4,FALSE)</f>
        <v>Burke</v>
      </c>
      <c r="E45" s="80">
        <f>IF(VLOOKUP(A45,Registry!$A$4:$AA$241,7,FALSE)=0,"",VLOOKUP(A45,Registry!$A$4:$AA$241,7,FALSE))</f>
        <v>1973</v>
      </c>
      <c r="F45" s="80" t="str">
        <f>IF(VLOOKUP(A45,Registry!$A$4:$AA$241,20,FALSE)=0,"",VLOOKUP(A45,Registry!$A$4:$AA$241,20,FALSE))</f>
        <v>For profit</v>
      </c>
      <c r="G45" s="25">
        <v>2014</v>
      </c>
      <c r="H45" s="24">
        <f>VLOOKUP(A45,Registry!$A$4:$AA$241,21,FALSE)</f>
        <v>11</v>
      </c>
      <c r="I45" s="24">
        <f>VLOOKUP(A45,Registry!$A$4:$AA$241,24,FALSE)</f>
        <v>0</v>
      </c>
      <c r="J45" s="24">
        <f>VLOOKUP(A45,Registry!$A$4:$AA$241,26,FALSE)</f>
        <v>0</v>
      </c>
      <c r="K45" s="28">
        <v>0</v>
      </c>
      <c r="L45" s="28">
        <v>0</v>
      </c>
      <c r="M45" s="128">
        <v>0</v>
      </c>
      <c r="N45" s="128">
        <v>0</v>
      </c>
      <c r="O45" s="128">
        <v>0</v>
      </c>
      <c r="P45" s="128">
        <v>0</v>
      </c>
      <c r="Q45" s="28">
        <f>I45-Table4[[#This Row],[Park Owned6]]</f>
        <v>0</v>
      </c>
      <c r="R45" s="28">
        <f>J45-Table4[[#This Row],[Other Owned7]]</f>
        <v>0</v>
      </c>
      <c r="S45" s="24">
        <f>VLOOKUP($A45,Registry!$A$4:$AA$241,23,FALSE)</f>
        <v>2</v>
      </c>
      <c r="T45" s="61">
        <f t="shared" si="0"/>
        <v>0.18181818181818182</v>
      </c>
      <c r="U45" s="35">
        <v>3</v>
      </c>
      <c r="V45" s="90">
        <v>9.0909090909090912E-2</v>
      </c>
      <c r="W45" s="86">
        <v>3</v>
      </c>
      <c r="X45" s="90">
        <v>9.0999999999999998E-2</v>
      </c>
      <c r="Y45" s="86">
        <v>3</v>
      </c>
      <c r="Z45" s="90">
        <v>9.0999999999999998E-2</v>
      </c>
      <c r="AA45" s="35">
        <f>Table4[[#This Row],['# Lots]]-Table4[[#This Row],['# Lots10]]</f>
        <v>-1</v>
      </c>
      <c r="AB45" s="61">
        <f t="shared" si="4"/>
        <v>-9.0909090909090912E-2</v>
      </c>
      <c r="AC45" s="35">
        <f>Table4[[#This Row],['# Lots]]-Table4[[#This Row],['# Lots14]]</f>
        <v>-1</v>
      </c>
      <c r="AD45" s="61">
        <f t="shared" si="5"/>
        <v>-9.0909090909090912E-2</v>
      </c>
      <c r="AE45" s="138">
        <v>11</v>
      </c>
      <c r="AF45" s="35">
        <v>11</v>
      </c>
      <c r="AG45" s="58">
        <v>11</v>
      </c>
      <c r="AH45" s="58">
        <v>11</v>
      </c>
      <c r="AI45" s="128">
        <f>Table4[[#This Row],[2022 Leased Lots20]]-Table4[[#This Row],[2019 Leased Lots23]]</f>
        <v>0</v>
      </c>
      <c r="AJ45" s="61">
        <f t="shared" si="3"/>
        <v>1</v>
      </c>
      <c r="AK45" s="139">
        <f>VLOOKUP($A45,Registry!$A$4:$AA$241,27,FALSE)</f>
        <v>271</v>
      </c>
      <c r="AL45" s="65">
        <v>247</v>
      </c>
      <c r="AM45" s="65">
        <v>247</v>
      </c>
      <c r="AN45" s="65">
        <v>239</v>
      </c>
      <c r="AO45" s="120">
        <f>IFERROR((AK45-Table4[[#This Row],[2019 Total Rent29]])/Table4[[#This Row],[2019 Total Rent29]], "-")</f>
        <v>0.13389121338912133</v>
      </c>
    </row>
    <row r="46" spans="1:41" x14ac:dyDescent="0.25">
      <c r="A46" s="25">
        <v>265</v>
      </c>
      <c r="B46" s="54" t="str">
        <f>VLOOKUP(A46,Registry!$A$4:$AA$241,2,FALSE)</f>
        <v>BCP MHP</v>
      </c>
      <c r="C46" s="80" t="str">
        <f>VLOOKUP(A46,Registry!$A$4:$AA$241,3,FALSE)</f>
        <v>Caledonia</v>
      </c>
      <c r="D46" s="80" t="str">
        <f>VLOOKUP(A46,Registry!$A$4:$AA$241,4,FALSE)</f>
        <v>Hardwick</v>
      </c>
      <c r="E46" s="80">
        <f>IF(VLOOKUP(A46,Registry!$A$4:$AA$241,7,FALSE)=0,"",VLOOKUP(A46,Registry!$A$4:$AA$241,7,FALSE))</f>
        <v>1989</v>
      </c>
      <c r="F46" s="80" t="str">
        <f>IF(VLOOKUP(A46,Registry!$A$4:$AA$241,20,FALSE)=0,"",VLOOKUP(A46,Registry!$A$4:$AA$241,20,FALSE))</f>
        <v>For profit</v>
      </c>
      <c r="G46" s="25">
        <v>2017</v>
      </c>
      <c r="H46" s="24">
        <f>VLOOKUP(A46,Registry!$A$4:$AA$241,21,FALSE)</f>
        <v>7</v>
      </c>
      <c r="I46" s="24">
        <f>VLOOKUP(A46,Registry!$A$4:$AA$241,24,FALSE)</f>
        <v>0</v>
      </c>
      <c r="J46" s="24">
        <f>VLOOKUP(A46,Registry!$A$4:$AA$241,26,FALSE)</f>
        <v>0</v>
      </c>
      <c r="K46" s="28">
        <v>0</v>
      </c>
      <c r="L46" s="28">
        <v>0</v>
      </c>
      <c r="M46" s="128">
        <v>0</v>
      </c>
      <c r="N46" s="128">
        <v>0</v>
      </c>
      <c r="O46" s="128">
        <v>0</v>
      </c>
      <c r="P46" s="128">
        <v>0</v>
      </c>
      <c r="Q46" s="28">
        <f>I46-Table4[[#This Row],[Park Owned6]]</f>
        <v>0</v>
      </c>
      <c r="R46" s="28">
        <f>J46-Table4[[#This Row],[Other Owned7]]</f>
        <v>0</v>
      </c>
      <c r="S46" s="24">
        <f>VLOOKUP($A46,Registry!$A$4:$AA$241,23,FALSE)</f>
        <v>0</v>
      </c>
      <c r="T46" s="61">
        <f t="shared" si="0"/>
        <v>0</v>
      </c>
      <c r="U46" s="35">
        <v>0</v>
      </c>
      <c r="V46" s="90">
        <v>0</v>
      </c>
      <c r="W46" s="86">
        <v>1</v>
      </c>
      <c r="X46" s="90">
        <v>0.14300000000000002</v>
      </c>
      <c r="Y46" s="86">
        <v>1</v>
      </c>
      <c r="Z46" s="90">
        <v>0.14300000000000002</v>
      </c>
      <c r="AA46" s="35">
        <f>Table4[[#This Row],['# Lots]]-Table4[[#This Row],['# Lots10]]</f>
        <v>0</v>
      </c>
      <c r="AB46" s="61">
        <f t="shared" si="4"/>
        <v>0</v>
      </c>
      <c r="AC46" s="35">
        <f>Table4[[#This Row],['# Lots]]-Table4[[#This Row],['# Lots14]]</f>
        <v>-1</v>
      </c>
      <c r="AD46" s="61">
        <f t="shared" si="5"/>
        <v>-0.14285714285714285</v>
      </c>
      <c r="AE46" s="138">
        <v>7</v>
      </c>
      <c r="AF46" s="35">
        <v>6</v>
      </c>
      <c r="AG46" s="58">
        <v>6</v>
      </c>
      <c r="AH46" s="58">
        <v>7</v>
      </c>
      <c r="AI46" s="128">
        <f>Table4[[#This Row],[2022 Leased Lots20]]-Table4[[#This Row],[2019 Leased Lots23]]</f>
        <v>0</v>
      </c>
      <c r="AJ46" s="61">
        <f t="shared" si="3"/>
        <v>1</v>
      </c>
      <c r="AK46" s="139">
        <f>VLOOKUP($A46,Registry!$A$4:$AA$241,27,FALSE)</f>
        <v>135</v>
      </c>
      <c r="AL46" s="65">
        <v>135</v>
      </c>
      <c r="AM46" s="65">
        <v>135</v>
      </c>
      <c r="AN46" s="65">
        <v>135</v>
      </c>
      <c r="AO46" s="120">
        <f>IFERROR((AK46-Table4[[#This Row],[2019 Total Rent29]])/Table4[[#This Row],[2019 Total Rent29]], "-")</f>
        <v>0</v>
      </c>
    </row>
    <row r="47" spans="1:41" x14ac:dyDescent="0.25">
      <c r="A47" s="25">
        <v>148</v>
      </c>
      <c r="B47" s="54" t="str">
        <f>VLOOKUP(A47,Registry!$A$4:$AA$241,2,FALSE)</f>
        <v>Evergreen Manor</v>
      </c>
      <c r="C47" s="80" t="str">
        <f>VLOOKUP(A47,Registry!$A$4:$AA$241,3,FALSE)</f>
        <v>Caledonia</v>
      </c>
      <c r="D47" s="80" t="str">
        <f>VLOOKUP(A47,Registry!$A$4:$AA$241,4,FALSE)</f>
        <v>Hardwick</v>
      </c>
      <c r="E47" s="80">
        <f>IF(VLOOKUP(A47,Registry!$A$4:$AA$241,7,FALSE)=0,"",VLOOKUP(A47,Registry!$A$4:$AA$241,7,FALSE))</f>
        <v>1970</v>
      </c>
      <c r="F47" s="80" t="str">
        <f>IF(VLOOKUP(A47,Registry!$A$4:$AA$241,20,FALSE)=0,"",VLOOKUP(A47,Registry!$A$4:$AA$241,20,FALSE))</f>
        <v>Non-profit</v>
      </c>
      <c r="G47" s="25">
        <v>2001</v>
      </c>
      <c r="H47" s="24">
        <f>VLOOKUP(A47,Registry!$A$4:$AA$241,21,FALSE)</f>
        <v>32</v>
      </c>
      <c r="I47" s="24">
        <f>VLOOKUP(A47,Registry!$A$4:$AA$241,24,FALSE)</f>
        <v>15</v>
      </c>
      <c r="J47" s="24">
        <f>VLOOKUP(A47,Registry!$A$4:$AA$241,26,FALSE)</f>
        <v>0</v>
      </c>
      <c r="K47" s="28">
        <v>15</v>
      </c>
      <c r="L47" s="28">
        <v>1</v>
      </c>
      <c r="M47" s="128">
        <v>13</v>
      </c>
      <c r="N47" s="128">
        <v>1</v>
      </c>
      <c r="O47" s="128">
        <v>13</v>
      </c>
      <c r="P47" s="128">
        <v>0</v>
      </c>
      <c r="Q47" s="28">
        <f>I47-Table4[[#This Row],[Park Owned6]]</f>
        <v>2</v>
      </c>
      <c r="R47" s="28">
        <f>J47-Table4[[#This Row],[Other Owned7]]</f>
        <v>0</v>
      </c>
      <c r="S47" s="24">
        <f>VLOOKUP($A47,Registry!$A$4:$AA$241,23,FALSE)</f>
        <v>1</v>
      </c>
      <c r="T47" s="61">
        <f t="shared" si="0"/>
        <v>3.125E-2</v>
      </c>
      <c r="U47" s="35">
        <v>2</v>
      </c>
      <c r="V47" s="90">
        <v>6.25E-2</v>
      </c>
      <c r="W47" s="86">
        <v>4</v>
      </c>
      <c r="X47" s="90">
        <v>0.125</v>
      </c>
      <c r="Y47" s="86">
        <v>3</v>
      </c>
      <c r="Z47" s="90">
        <v>9.6999999999999989E-2</v>
      </c>
      <c r="AA47" s="35">
        <f>Table4[[#This Row],['# Lots]]-Table4[[#This Row],['# Lots10]]</f>
        <v>-1</v>
      </c>
      <c r="AB47" s="61">
        <f t="shared" si="4"/>
        <v>-3.125E-2</v>
      </c>
      <c r="AC47" s="35">
        <f>Table4[[#This Row],['# Lots]]-Table4[[#This Row],['# Lots14]]</f>
        <v>-2</v>
      </c>
      <c r="AD47" s="61">
        <f t="shared" si="5"/>
        <v>-6.25E-2</v>
      </c>
      <c r="AE47" s="138">
        <v>29</v>
      </c>
      <c r="AF47" s="35">
        <v>27</v>
      </c>
      <c r="AG47" s="58">
        <v>28</v>
      </c>
      <c r="AH47" s="58">
        <v>29</v>
      </c>
      <c r="AI47" s="128">
        <f>Table4[[#This Row],[2022 Leased Lots20]]-Table4[[#This Row],[2019 Leased Lots23]]</f>
        <v>0</v>
      </c>
      <c r="AJ47" s="61">
        <f t="shared" si="3"/>
        <v>0.90625</v>
      </c>
      <c r="AK47" s="139">
        <f>VLOOKUP($A47,Registry!$A$4:$AA$241,27,FALSE)</f>
        <v>332</v>
      </c>
      <c r="AL47" s="65">
        <v>318</v>
      </c>
      <c r="AM47" s="65">
        <v>309</v>
      </c>
      <c r="AN47" s="65">
        <v>300</v>
      </c>
      <c r="AO47" s="120">
        <f>IFERROR((AK47-Table4[[#This Row],[2019 Total Rent29]])/Table4[[#This Row],[2019 Total Rent29]], "-")</f>
        <v>0.10666666666666667</v>
      </c>
    </row>
    <row r="48" spans="1:41" x14ac:dyDescent="0.25">
      <c r="A48" s="25">
        <v>264</v>
      </c>
      <c r="B48" s="54" t="str">
        <f>VLOOKUP(A48,Registry!$A$4:$AA$241,2,FALSE)</f>
        <v>Strong's Mobile Home Park</v>
      </c>
      <c r="C48" s="80" t="str">
        <f>VLOOKUP(A48,Registry!$A$4:$AA$241,3,FALSE)</f>
        <v>Caledonia</v>
      </c>
      <c r="D48" s="80" t="str">
        <f>VLOOKUP(A48,Registry!$A$4:$AA$241,4,FALSE)</f>
        <v>Hardwick</v>
      </c>
      <c r="E48" s="80">
        <f>IF(VLOOKUP(A48,Registry!$A$4:$AA$241,7,FALSE)=0,"",VLOOKUP(A48,Registry!$A$4:$AA$241,7,FALSE))</f>
        <v>1970</v>
      </c>
      <c r="F48" s="80" t="str">
        <f>IF(VLOOKUP(A48,Registry!$A$4:$AA$241,20,FALSE)=0,"",VLOOKUP(A48,Registry!$A$4:$AA$241,20,FALSE))</f>
        <v>For profit</v>
      </c>
      <c r="G48" s="25">
        <v>2005</v>
      </c>
      <c r="H48" s="24">
        <f>VLOOKUP(A48,Registry!$A$4:$AA$241,21,FALSE)</f>
        <v>3</v>
      </c>
      <c r="I48" s="24">
        <f>VLOOKUP(A48,Registry!$A$4:$AA$241,24,FALSE)</f>
        <v>1</v>
      </c>
      <c r="J48" s="24">
        <f>VLOOKUP(A48,Registry!$A$4:$AA$241,26,FALSE)</f>
        <v>0</v>
      </c>
      <c r="K48" s="28">
        <v>1</v>
      </c>
      <c r="L48" s="28">
        <v>0</v>
      </c>
      <c r="M48" s="128">
        <v>1</v>
      </c>
      <c r="N48" s="128">
        <v>0</v>
      </c>
      <c r="O48" s="128">
        <v>1</v>
      </c>
      <c r="P48" s="128">
        <v>0</v>
      </c>
      <c r="Q48" s="28">
        <f>I48-Table4[[#This Row],[Park Owned6]]</f>
        <v>0</v>
      </c>
      <c r="R48" s="28">
        <f>J48-Table4[[#This Row],[Other Owned7]]</f>
        <v>0</v>
      </c>
      <c r="S48" s="24">
        <f>VLOOKUP($A48,Registry!$A$4:$AA$241,23,FALSE)</f>
        <v>0</v>
      </c>
      <c r="T48" s="61">
        <f t="shared" si="0"/>
        <v>0</v>
      </c>
      <c r="U48" s="35">
        <v>0</v>
      </c>
      <c r="V48" s="90">
        <v>0</v>
      </c>
      <c r="W48" s="86">
        <v>0</v>
      </c>
      <c r="X48" s="90">
        <v>0</v>
      </c>
      <c r="Y48" s="86">
        <v>0</v>
      </c>
      <c r="Z48" s="90">
        <v>0</v>
      </c>
      <c r="AA48" s="35">
        <f>Table4[[#This Row],['# Lots]]-Table4[[#This Row],['# Lots10]]</f>
        <v>0</v>
      </c>
      <c r="AB48" s="61">
        <f t="shared" si="4"/>
        <v>0</v>
      </c>
      <c r="AC48" s="35">
        <f>Table4[[#This Row],['# Lots]]-Table4[[#This Row],['# Lots14]]</f>
        <v>0</v>
      </c>
      <c r="AD48" s="61">
        <f t="shared" si="5"/>
        <v>0</v>
      </c>
      <c r="AE48" s="138">
        <v>3</v>
      </c>
      <c r="AF48" s="35">
        <v>3</v>
      </c>
      <c r="AG48" s="58">
        <v>3</v>
      </c>
      <c r="AH48" s="58">
        <v>3</v>
      </c>
      <c r="AI48" s="128">
        <f>Table4[[#This Row],[2022 Leased Lots20]]-Table4[[#This Row],[2019 Leased Lots23]]</f>
        <v>0</v>
      </c>
      <c r="AJ48" s="61">
        <f t="shared" si="3"/>
        <v>1</v>
      </c>
      <c r="AK48" s="139">
        <f>VLOOKUP($A48,Registry!$A$4:$AA$241,27,FALSE)</f>
        <v>250</v>
      </c>
      <c r="AL48" s="65">
        <v>250</v>
      </c>
      <c r="AM48" s="65">
        <v>250</v>
      </c>
      <c r="AN48" s="65">
        <v>250</v>
      </c>
      <c r="AO48" s="120">
        <f>IFERROR((AK48-Table4[[#This Row],[2019 Total Rent29]])/Table4[[#This Row],[2019 Total Rent29]], "-")</f>
        <v>0</v>
      </c>
    </row>
    <row r="49" spans="1:41" x14ac:dyDescent="0.25">
      <c r="A49" s="25">
        <v>221</v>
      </c>
      <c r="B49" s="54" t="str">
        <f>VLOOKUP(A49,Registry!$A$4:$AA$241,2,FALSE)</f>
        <v>Maple Ridge Trailer Park</v>
      </c>
      <c r="C49" s="80" t="str">
        <f>VLOOKUP(A49,Registry!$A$4:$AA$241,3,FALSE)</f>
        <v>Caledonia</v>
      </c>
      <c r="D49" s="80" t="str">
        <f>VLOOKUP(A49,Registry!$A$4:$AA$241,4,FALSE)</f>
        <v>Lyndon</v>
      </c>
      <c r="E49" s="80">
        <f>IF(VLOOKUP(A49,Registry!$A$4:$AA$241,7,FALSE)=0,"",VLOOKUP(A49,Registry!$A$4:$AA$241,7,FALSE))</f>
        <v>1974</v>
      </c>
      <c r="F49" s="80" t="str">
        <f>IF(VLOOKUP(A49,Registry!$A$4:$AA$241,20,FALSE)=0,"",VLOOKUP(A49,Registry!$A$4:$AA$241,20,FALSE))</f>
        <v>Non-profit</v>
      </c>
      <c r="G49" s="25">
        <v>2007</v>
      </c>
      <c r="H49" s="24">
        <f>VLOOKUP(A49,Registry!$A$4:$AA$241,21,FALSE)</f>
        <v>41</v>
      </c>
      <c r="I49" s="24">
        <f>VLOOKUP(A49,Registry!$A$4:$AA$241,24,FALSE)</f>
        <v>0</v>
      </c>
      <c r="J49" s="24">
        <f>VLOOKUP(A49,Registry!$A$4:$AA$241,26,FALSE)</f>
        <v>0</v>
      </c>
      <c r="K49" s="28">
        <v>0</v>
      </c>
      <c r="L49" s="28">
        <v>0</v>
      </c>
      <c r="M49" s="128">
        <v>0</v>
      </c>
      <c r="N49" s="128">
        <v>0</v>
      </c>
      <c r="O49" s="128">
        <v>0</v>
      </c>
      <c r="P49" s="128">
        <v>0</v>
      </c>
      <c r="Q49" s="28">
        <f>I49-Table4[[#This Row],[Park Owned6]]</f>
        <v>0</v>
      </c>
      <c r="R49" s="28">
        <f>J49-Table4[[#This Row],[Other Owned7]]</f>
        <v>0</v>
      </c>
      <c r="S49" s="24">
        <f>VLOOKUP($A49,Registry!$A$4:$AA$241,23,FALSE)</f>
        <v>0</v>
      </c>
      <c r="T49" s="61">
        <f t="shared" si="0"/>
        <v>0</v>
      </c>
      <c r="U49" s="35">
        <v>1</v>
      </c>
      <c r="V49" s="90">
        <v>2.4390243902439025E-2</v>
      </c>
      <c r="W49" s="86">
        <v>1</v>
      </c>
      <c r="X49" s="90">
        <v>2.4E-2</v>
      </c>
      <c r="Y49" s="86">
        <v>3</v>
      </c>
      <c r="Z49" s="90">
        <v>7.2999999999999995E-2</v>
      </c>
      <c r="AA49" s="35">
        <f>Table4[[#This Row],['# Lots]]-Table4[[#This Row],['# Lots10]]</f>
        <v>-1</v>
      </c>
      <c r="AB49" s="61">
        <f t="shared" si="4"/>
        <v>-2.4390243902439025E-2</v>
      </c>
      <c r="AC49" s="35">
        <f>Table4[[#This Row],['# Lots]]-Table4[[#This Row],['# Lots14]]</f>
        <v>-3</v>
      </c>
      <c r="AD49" s="61">
        <f t="shared" si="5"/>
        <v>-7.3170731707317069E-2</v>
      </c>
      <c r="AE49" s="138">
        <v>40</v>
      </c>
      <c r="AF49" s="35">
        <v>40</v>
      </c>
      <c r="AG49" s="58">
        <v>38</v>
      </c>
      <c r="AH49" s="58">
        <v>38</v>
      </c>
      <c r="AI49" s="128">
        <f>Table4[[#This Row],[2022 Leased Lots20]]-Table4[[#This Row],[2019 Leased Lots23]]</f>
        <v>2</v>
      </c>
      <c r="AJ49" s="61">
        <f t="shared" si="3"/>
        <v>0.97560975609756095</v>
      </c>
      <c r="AK49" s="139">
        <f>VLOOKUP($A49,Registry!$A$4:$AA$241,27,FALSE)</f>
        <v>215</v>
      </c>
      <c r="AL49" s="65">
        <v>209</v>
      </c>
      <c r="AM49" s="65">
        <v>209</v>
      </c>
      <c r="AN49" s="65">
        <v>202</v>
      </c>
      <c r="AO49" s="120">
        <f>IFERROR((AK49-Table4[[#This Row],[2019 Total Rent29]])/Table4[[#This Row],[2019 Total Rent29]], "-")</f>
        <v>6.4356435643564358E-2</v>
      </c>
    </row>
    <row r="50" spans="1:41" x14ac:dyDescent="0.25">
      <c r="A50" s="25">
        <v>262</v>
      </c>
      <c r="B50" s="54" t="str">
        <f>VLOOKUP(A50,Registry!$A$4:$AA$241,2,FALSE)</f>
        <v>Northern Hill Estates</v>
      </c>
      <c r="C50" s="80" t="str">
        <f>VLOOKUP(A50,Registry!$A$4:$AA$241,3,FALSE)</f>
        <v>Caledonia</v>
      </c>
      <c r="D50" s="80" t="str">
        <f>VLOOKUP(A50,Registry!$A$4:$AA$241,4,FALSE)</f>
        <v>Lyndon</v>
      </c>
      <c r="E50" s="80">
        <f>IF(VLOOKUP(A50,Registry!$A$4:$AA$241,7,FALSE)=0,"",VLOOKUP(A50,Registry!$A$4:$AA$241,7,FALSE))</f>
        <v>1982</v>
      </c>
      <c r="F50" s="80" t="str">
        <f>IF(VLOOKUP(A50,Registry!$A$4:$AA$241,20,FALSE)=0,"",VLOOKUP(A50,Registry!$A$4:$AA$241,20,FALSE))</f>
        <v>For profit</v>
      </c>
      <c r="G50" s="25">
        <v>1982</v>
      </c>
      <c r="H50" s="24">
        <f>VLOOKUP(A50,Registry!$A$4:$AA$241,21,FALSE)</f>
        <v>29</v>
      </c>
      <c r="I50" s="24">
        <f>VLOOKUP(A50,Registry!$A$4:$AA$241,24,FALSE)</f>
        <v>5</v>
      </c>
      <c r="J50" s="24">
        <f>VLOOKUP(A50,Registry!$A$4:$AA$241,26,FALSE)</f>
        <v>0</v>
      </c>
      <c r="K50" s="28">
        <v>5</v>
      </c>
      <c r="L50" s="28">
        <v>0</v>
      </c>
      <c r="M50" s="128">
        <v>5</v>
      </c>
      <c r="N50" s="128">
        <v>0</v>
      </c>
      <c r="O50" s="128">
        <v>4</v>
      </c>
      <c r="P50" s="128">
        <v>0</v>
      </c>
      <c r="Q50" s="28">
        <f>I50-Table4[[#This Row],[Park Owned6]]</f>
        <v>1</v>
      </c>
      <c r="R50" s="28">
        <f>J50-Table4[[#This Row],[Other Owned7]]</f>
        <v>0</v>
      </c>
      <c r="S50" s="24">
        <f>VLOOKUP($A50,Registry!$A$4:$AA$241,23,FALSE)</f>
        <v>1</v>
      </c>
      <c r="T50" s="61">
        <f t="shared" si="0"/>
        <v>3.4482758620689655E-2</v>
      </c>
      <c r="U50" s="35">
        <v>0</v>
      </c>
      <c r="V50" s="90">
        <v>0</v>
      </c>
      <c r="W50" s="86">
        <v>0</v>
      </c>
      <c r="X50" s="90">
        <v>0</v>
      </c>
      <c r="Y50" s="86">
        <v>0</v>
      </c>
      <c r="Z50" s="90">
        <v>0</v>
      </c>
      <c r="AA50" s="35">
        <f>Table4[[#This Row],['# Lots]]-Table4[[#This Row],['# Lots10]]</f>
        <v>1</v>
      </c>
      <c r="AB50" s="61">
        <f t="shared" si="4"/>
        <v>3.4482758620689655E-2</v>
      </c>
      <c r="AC50" s="35">
        <f>Table4[[#This Row],['# Lots]]-Table4[[#This Row],['# Lots14]]</f>
        <v>1</v>
      </c>
      <c r="AD50" s="61">
        <f t="shared" si="5"/>
        <v>3.4482758620689655E-2</v>
      </c>
      <c r="AE50" s="138">
        <v>29</v>
      </c>
      <c r="AF50" s="35">
        <v>29</v>
      </c>
      <c r="AG50" s="58">
        <v>29</v>
      </c>
      <c r="AH50" s="58">
        <v>29</v>
      </c>
      <c r="AI50" s="128">
        <f>Table4[[#This Row],[2022 Leased Lots20]]-Table4[[#This Row],[2019 Leased Lots23]]</f>
        <v>0</v>
      </c>
      <c r="AJ50" s="61">
        <f t="shared" si="3"/>
        <v>1</v>
      </c>
      <c r="AK50" s="139">
        <f>VLOOKUP($A50,Registry!$A$4:$AA$241,27,FALSE)</f>
        <v>345</v>
      </c>
      <c r="AL50" s="65">
        <v>315</v>
      </c>
      <c r="AM50" s="65">
        <v>305</v>
      </c>
      <c r="AN50" s="65">
        <v>296</v>
      </c>
      <c r="AO50" s="120">
        <f>IFERROR((AK50-Table4[[#This Row],[2019 Total Rent29]])/Table4[[#This Row],[2019 Total Rent29]], "-")</f>
        <v>0.16554054054054054</v>
      </c>
    </row>
    <row r="51" spans="1:41" x14ac:dyDescent="0.25">
      <c r="A51" s="25">
        <v>196</v>
      </c>
      <c r="B51" s="54" t="str">
        <f>VLOOKUP(A51,Registry!$A$4:$AA$241,2,FALSE)</f>
        <v>Riverview Estates</v>
      </c>
      <c r="C51" s="80" t="str">
        <f>VLOOKUP(A51,Registry!$A$4:$AA$241,3,FALSE)</f>
        <v>Caledonia</v>
      </c>
      <c r="D51" s="80" t="str">
        <f>VLOOKUP(A51,Registry!$A$4:$AA$241,4,FALSE)</f>
        <v>Lyndon</v>
      </c>
      <c r="E51" s="80">
        <f>IF(VLOOKUP(A51,Registry!$A$4:$AA$241,7,FALSE)=0,"",VLOOKUP(A51,Registry!$A$4:$AA$241,7,FALSE))</f>
        <v>1957</v>
      </c>
      <c r="F51" s="80" t="str">
        <f>IF(VLOOKUP(A51,Registry!$A$4:$AA$241,20,FALSE)=0,"",VLOOKUP(A51,Registry!$A$4:$AA$241,20,FALSE))</f>
        <v>For profit</v>
      </c>
      <c r="G51" s="25">
        <v>2004</v>
      </c>
      <c r="H51" s="24">
        <f>VLOOKUP(A51,Registry!$A$4:$AA$241,21,FALSE)</f>
        <v>34</v>
      </c>
      <c r="I51" s="24">
        <f>VLOOKUP(A51,Registry!$A$4:$AA$241,24,FALSE)</f>
        <v>7</v>
      </c>
      <c r="J51" s="24">
        <f>VLOOKUP(A51,Registry!$A$4:$AA$241,26,FALSE)</f>
        <v>0</v>
      </c>
      <c r="K51" s="28">
        <v>6</v>
      </c>
      <c r="L51" s="28">
        <v>0</v>
      </c>
      <c r="M51" s="128">
        <v>6</v>
      </c>
      <c r="N51" s="128">
        <v>0</v>
      </c>
      <c r="O51" s="128">
        <v>5</v>
      </c>
      <c r="P51" s="128">
        <v>0</v>
      </c>
      <c r="Q51" s="28">
        <f>I51-Table4[[#This Row],[Park Owned6]]</f>
        <v>2</v>
      </c>
      <c r="R51" s="28">
        <f>J51-Table4[[#This Row],[Other Owned7]]</f>
        <v>0</v>
      </c>
      <c r="S51" s="24">
        <f>VLOOKUP($A51,Registry!$A$4:$AA$241,23,FALSE)</f>
        <v>3</v>
      </c>
      <c r="T51" s="61">
        <f t="shared" si="0"/>
        <v>8.8235294117647065E-2</v>
      </c>
      <c r="U51" s="35">
        <v>3</v>
      </c>
      <c r="V51" s="90">
        <v>9.375E-2</v>
      </c>
      <c r="W51" s="86">
        <v>3</v>
      </c>
      <c r="X51" s="90">
        <v>0.1</v>
      </c>
      <c r="Y51" s="86">
        <v>3</v>
      </c>
      <c r="Z51" s="90">
        <v>0.1</v>
      </c>
      <c r="AA51" s="35">
        <f>Table4[[#This Row],['# Lots]]-Table4[[#This Row],['# Lots10]]</f>
        <v>0</v>
      </c>
      <c r="AB51" s="61">
        <f t="shared" si="4"/>
        <v>0</v>
      </c>
      <c r="AC51" s="35">
        <f>Table4[[#This Row],['# Lots]]-Table4[[#This Row],['# Lots14]]</f>
        <v>0</v>
      </c>
      <c r="AD51" s="61">
        <f t="shared" si="5"/>
        <v>0</v>
      </c>
      <c r="AE51" s="138">
        <v>29</v>
      </c>
      <c r="AF51" s="35">
        <v>27</v>
      </c>
      <c r="AG51" s="58">
        <v>27</v>
      </c>
      <c r="AH51" s="58">
        <v>31</v>
      </c>
      <c r="AI51" s="128">
        <f>Table4[[#This Row],[2022 Leased Lots20]]-Table4[[#This Row],[2019 Leased Lots23]]</f>
        <v>-2</v>
      </c>
      <c r="AJ51" s="61">
        <f t="shared" si="3"/>
        <v>0.8529411764705882</v>
      </c>
      <c r="AK51" s="139">
        <f>VLOOKUP($A51,Registry!$A$4:$AA$241,27,FALSE)</f>
        <v>350</v>
      </c>
      <c r="AL51" s="65">
        <v>330</v>
      </c>
      <c r="AM51" s="65">
        <v>320</v>
      </c>
      <c r="AN51" s="65">
        <v>316</v>
      </c>
      <c r="AO51" s="120">
        <f>IFERROR((AK51-Table4[[#This Row],[2019 Total Rent29]])/Table4[[#This Row],[2019 Total Rent29]], "-")</f>
        <v>0.10759493670886076</v>
      </c>
    </row>
    <row r="52" spans="1:41" x14ac:dyDescent="0.25">
      <c r="A52" s="25">
        <v>260</v>
      </c>
      <c r="B52" s="54" t="str">
        <f>VLOOKUP(A52,Registry!$A$4:$AA$241,2,FALSE)</f>
        <v>Woodland Heights Mobile Home Park</v>
      </c>
      <c r="C52" s="80" t="str">
        <f>VLOOKUP(A52,Registry!$A$4:$AA$241,3,FALSE)</f>
        <v>Caledonia</v>
      </c>
      <c r="D52" s="80" t="str">
        <f>VLOOKUP(A52,Registry!$A$4:$AA$241,4,FALSE)</f>
        <v>Lyndon</v>
      </c>
      <c r="E52" s="80">
        <f>IF(VLOOKUP(A52,Registry!$A$4:$AA$241,7,FALSE)=0,"",VLOOKUP(A52,Registry!$A$4:$AA$241,7,FALSE))</f>
        <v>1989</v>
      </c>
      <c r="F52" s="80" t="str">
        <f>IF(VLOOKUP(A52,Registry!$A$4:$AA$241,20,FALSE)=0,"",VLOOKUP(A52,Registry!$A$4:$AA$241,20,FALSE))</f>
        <v>For profit</v>
      </c>
      <c r="G52" s="25">
        <v>1989</v>
      </c>
      <c r="H52" s="24">
        <f>VLOOKUP(A52,Registry!$A$4:$AA$241,21,FALSE)</f>
        <v>34</v>
      </c>
      <c r="I52" s="24">
        <f>VLOOKUP(A52,Registry!$A$4:$AA$241,24,FALSE)</f>
        <v>7</v>
      </c>
      <c r="J52" s="24">
        <f>VLOOKUP(A52,Registry!$A$4:$AA$241,26,FALSE)</f>
        <v>0</v>
      </c>
      <c r="K52" s="28">
        <v>5</v>
      </c>
      <c r="L52" s="28">
        <v>0</v>
      </c>
      <c r="M52" s="128">
        <v>4</v>
      </c>
      <c r="N52" s="128">
        <v>0</v>
      </c>
      <c r="O52" s="128">
        <v>3</v>
      </c>
      <c r="P52" s="128">
        <v>0</v>
      </c>
      <c r="Q52" s="28">
        <f>I52-Table4[[#This Row],[Park Owned6]]</f>
        <v>4</v>
      </c>
      <c r="R52" s="28">
        <f>J52-Table4[[#This Row],[Other Owned7]]</f>
        <v>0</v>
      </c>
      <c r="S52" s="24">
        <f>VLOOKUP($A52,Registry!$A$4:$AA$241,23,FALSE)</f>
        <v>0</v>
      </c>
      <c r="T52" s="61">
        <f t="shared" si="0"/>
        <v>0</v>
      </c>
      <c r="U52" s="35">
        <v>0</v>
      </c>
      <c r="V52" s="90">
        <v>0</v>
      </c>
      <c r="W52" s="86">
        <v>0</v>
      </c>
      <c r="X52" s="90">
        <v>0</v>
      </c>
      <c r="Y52" s="86">
        <v>0</v>
      </c>
      <c r="Z52" s="90">
        <v>0</v>
      </c>
      <c r="AA52" s="35">
        <f>Table4[[#This Row],['# Lots]]-Table4[[#This Row],['# Lots10]]</f>
        <v>0</v>
      </c>
      <c r="AB52" s="61">
        <f t="shared" si="4"/>
        <v>0</v>
      </c>
      <c r="AC52" s="35">
        <f>Table4[[#This Row],['# Lots]]-Table4[[#This Row],['# Lots14]]</f>
        <v>0</v>
      </c>
      <c r="AD52" s="61">
        <f t="shared" si="5"/>
        <v>0</v>
      </c>
      <c r="AE52" s="138">
        <v>34</v>
      </c>
      <c r="AF52" s="35">
        <v>34</v>
      </c>
      <c r="AG52" s="58">
        <v>34</v>
      </c>
      <c r="AH52" s="58">
        <v>34</v>
      </c>
      <c r="AI52" s="128">
        <f>Table4[[#This Row],[2022 Leased Lots20]]-Table4[[#This Row],[2019 Leased Lots23]]</f>
        <v>0</v>
      </c>
      <c r="AJ52" s="61">
        <f t="shared" si="3"/>
        <v>1</v>
      </c>
      <c r="AK52" s="139">
        <f>VLOOKUP($A52,Registry!$A$4:$AA$241,27,FALSE)</f>
        <v>345</v>
      </c>
      <c r="AL52" s="65">
        <v>315</v>
      </c>
      <c r="AM52" s="65">
        <v>305</v>
      </c>
      <c r="AN52" s="65">
        <v>300</v>
      </c>
      <c r="AO52" s="120">
        <f>IFERROR((AK52-Table4[[#This Row],[2019 Total Rent29]])/Table4[[#This Row],[2019 Total Rent29]], "-")</f>
        <v>0.15</v>
      </c>
    </row>
    <row r="53" spans="1:41" x14ac:dyDescent="0.25">
      <c r="A53" s="25">
        <v>123</v>
      </c>
      <c r="B53" s="54" t="str">
        <f>VLOOKUP(A53,Registry!$A$4:$AA$241,2,FALSE)</f>
        <v>Green Lantern Mobile Home Park</v>
      </c>
      <c r="C53" s="80" t="str">
        <f>VLOOKUP(A53,Registry!$A$4:$AA$241,3,FALSE)</f>
        <v>Caledonia</v>
      </c>
      <c r="D53" s="80" t="str">
        <f>VLOOKUP(A53,Registry!$A$4:$AA$241,4,FALSE)</f>
        <v>St. Johnsbury</v>
      </c>
      <c r="E53" s="80">
        <f>IF(VLOOKUP(A53,Registry!$A$4:$AA$241,7,FALSE)=0,"",VLOOKUP(A53,Registry!$A$4:$AA$241,7,FALSE))</f>
        <v>1955</v>
      </c>
      <c r="F53" s="80" t="str">
        <f>IF(VLOOKUP(A53,Registry!$A$4:$AA$241,20,FALSE)=0,"",VLOOKUP(A53,Registry!$A$4:$AA$241,20,FALSE))</f>
        <v>For profit</v>
      </c>
      <c r="G53" s="25">
        <v>1985</v>
      </c>
      <c r="H53" s="24">
        <f>VLOOKUP(A53,Registry!$A$4:$AA$241,21,FALSE)</f>
        <v>54</v>
      </c>
      <c r="I53" s="24">
        <f>VLOOKUP(A53,Registry!$A$4:$AA$241,24,FALSE)</f>
        <v>0</v>
      </c>
      <c r="J53" s="24">
        <f>VLOOKUP(A53,Registry!$A$4:$AA$241,26,FALSE)</f>
        <v>1</v>
      </c>
      <c r="K53" s="28">
        <v>0</v>
      </c>
      <c r="L53" s="28">
        <v>1</v>
      </c>
      <c r="M53" s="128">
        <v>0</v>
      </c>
      <c r="N53" s="128">
        <v>2</v>
      </c>
      <c r="O53" s="128">
        <v>0</v>
      </c>
      <c r="P53" s="128">
        <v>2</v>
      </c>
      <c r="Q53" s="28">
        <f>I53-Table4[[#This Row],[Park Owned6]]</f>
        <v>0</v>
      </c>
      <c r="R53" s="28">
        <f>J53-Table4[[#This Row],[Other Owned7]]</f>
        <v>-1</v>
      </c>
      <c r="S53" s="24">
        <f>VLOOKUP($A53,Registry!$A$4:$AA$241,23,FALSE)</f>
        <v>19</v>
      </c>
      <c r="T53" s="61">
        <f t="shared" si="0"/>
        <v>0.35185185185185186</v>
      </c>
      <c r="U53" s="35">
        <v>19</v>
      </c>
      <c r="V53" s="90">
        <v>0.35185185185185186</v>
      </c>
      <c r="W53" s="86">
        <v>16</v>
      </c>
      <c r="X53" s="90">
        <v>0.29600000000000004</v>
      </c>
      <c r="Y53" s="86">
        <v>18</v>
      </c>
      <c r="Z53" s="90">
        <v>0.32700000000000001</v>
      </c>
      <c r="AA53" s="35">
        <f>Table4[[#This Row],['# Lots]]-Table4[[#This Row],['# Lots10]]</f>
        <v>0</v>
      </c>
      <c r="AB53" s="61">
        <f t="shared" si="4"/>
        <v>0</v>
      </c>
      <c r="AC53" s="35">
        <f>Table4[[#This Row],['# Lots]]-Table4[[#This Row],['# Lots14]]</f>
        <v>1</v>
      </c>
      <c r="AD53" s="61">
        <f t="shared" si="5"/>
        <v>1.8518518518518517E-2</v>
      </c>
      <c r="AE53" s="138">
        <v>34</v>
      </c>
      <c r="AF53" s="35">
        <v>36</v>
      </c>
      <c r="AG53" s="58">
        <v>35</v>
      </c>
      <c r="AH53" s="58">
        <v>35</v>
      </c>
      <c r="AI53" s="128">
        <f>Table4[[#This Row],[2022 Leased Lots20]]-Table4[[#This Row],[2019 Leased Lots23]]</f>
        <v>-1</v>
      </c>
      <c r="AJ53" s="61">
        <f t="shared" si="3"/>
        <v>0.62962962962962965</v>
      </c>
      <c r="AK53" s="139">
        <f>VLOOKUP($A53,Registry!$A$4:$AA$241,27,FALSE)</f>
        <v>311</v>
      </c>
      <c r="AL53" s="65">
        <v>311</v>
      </c>
      <c r="AM53" s="65">
        <v>302</v>
      </c>
      <c r="AN53" s="65">
        <v>302</v>
      </c>
      <c r="AO53" s="120">
        <f>IFERROR((AK53-Table4[[#This Row],[2019 Total Rent29]])/Table4[[#This Row],[2019 Total Rent29]], "-")</f>
        <v>2.9801324503311258E-2</v>
      </c>
    </row>
    <row r="54" spans="1:41" x14ac:dyDescent="0.25">
      <c r="A54" s="25">
        <v>189</v>
      </c>
      <c r="B54" s="54" t="str">
        <f>VLOOKUP(A54,Registry!$A$4:$AA$241,2,FALSE)</f>
        <v>McGill Avenue MHP</v>
      </c>
      <c r="C54" s="80" t="str">
        <f>VLOOKUP(A54,Registry!$A$4:$AA$241,3,FALSE)</f>
        <v>Caledonia</v>
      </c>
      <c r="D54" s="80" t="str">
        <f>VLOOKUP(A54,Registry!$A$4:$AA$241,4,FALSE)</f>
        <v>St. Johnsbury</v>
      </c>
      <c r="E54" s="80">
        <f>IF(VLOOKUP(A54,Registry!$A$4:$AA$241,7,FALSE)=0,"",VLOOKUP(A54,Registry!$A$4:$AA$241,7,FALSE))</f>
        <v>1955</v>
      </c>
      <c r="F54" s="80" t="str">
        <f>IF(VLOOKUP(A54,Registry!$A$4:$AA$241,20,FALSE)=0,"",VLOOKUP(A54,Registry!$A$4:$AA$241,20,FALSE))</f>
        <v>For profit</v>
      </c>
      <c r="G54" s="25">
        <v>2008</v>
      </c>
      <c r="H54" s="24">
        <f>VLOOKUP(A54,Registry!$A$4:$AA$241,21,FALSE)</f>
        <v>10</v>
      </c>
      <c r="I54" s="24">
        <f>VLOOKUP(A54,Registry!$A$4:$AA$241,24,FALSE)</f>
        <v>8</v>
      </c>
      <c r="J54" s="24">
        <f>VLOOKUP(A54,Registry!$A$4:$AA$241,26,FALSE)</f>
        <v>0</v>
      </c>
      <c r="K54" s="28">
        <v>7</v>
      </c>
      <c r="L54" s="28">
        <v>0</v>
      </c>
      <c r="M54" s="128">
        <v>7</v>
      </c>
      <c r="N54" s="128">
        <v>0</v>
      </c>
      <c r="O54" s="128">
        <v>7</v>
      </c>
      <c r="P54" s="128">
        <v>0</v>
      </c>
      <c r="Q54" s="28">
        <f>I54-Table4[[#This Row],[Park Owned6]]</f>
        <v>1</v>
      </c>
      <c r="R54" s="28">
        <f>J54-Table4[[#This Row],[Other Owned7]]</f>
        <v>0</v>
      </c>
      <c r="S54" s="24">
        <f>VLOOKUP($A54,Registry!$A$4:$AA$241,23,FALSE)</f>
        <v>1</v>
      </c>
      <c r="T54" s="61">
        <f t="shared" si="0"/>
        <v>0.1</v>
      </c>
      <c r="U54" s="35">
        <v>1</v>
      </c>
      <c r="V54" s="90">
        <v>0.1</v>
      </c>
      <c r="W54" s="86">
        <v>1</v>
      </c>
      <c r="X54" s="90">
        <v>0.1</v>
      </c>
      <c r="Y54" s="86">
        <v>1</v>
      </c>
      <c r="Z54" s="90">
        <v>0.1</v>
      </c>
      <c r="AA54" s="35">
        <f>Table4[[#This Row],['# Lots]]-Table4[[#This Row],['# Lots10]]</f>
        <v>0</v>
      </c>
      <c r="AB54" s="61">
        <f t="shared" si="4"/>
        <v>0</v>
      </c>
      <c r="AC54" s="35">
        <f>Table4[[#This Row],['# Lots]]-Table4[[#This Row],['# Lots14]]</f>
        <v>0</v>
      </c>
      <c r="AD54" s="61">
        <f t="shared" si="5"/>
        <v>0</v>
      </c>
      <c r="AE54" s="138">
        <v>9</v>
      </c>
      <c r="AF54" s="35">
        <v>9</v>
      </c>
      <c r="AG54" s="58">
        <v>9</v>
      </c>
      <c r="AH54" s="58">
        <v>9</v>
      </c>
      <c r="AI54" s="128">
        <f>Table4[[#This Row],[2022 Leased Lots20]]-Table4[[#This Row],[2019 Leased Lots23]]</f>
        <v>0</v>
      </c>
      <c r="AJ54" s="61">
        <f t="shared" si="3"/>
        <v>0.9</v>
      </c>
      <c r="AK54" s="139">
        <f>VLOOKUP($A54,Registry!$A$4:$AA$241,27,FALSE)</f>
        <v>275.95999999999998</v>
      </c>
      <c r="AL54" s="65">
        <v>275.95999999999998</v>
      </c>
      <c r="AM54" s="65">
        <v>265.86</v>
      </c>
      <c r="AN54" s="65">
        <v>255.88</v>
      </c>
      <c r="AO54" s="120">
        <f>IFERROR((AK54-Table4[[#This Row],[2019 Total Rent29]])/Table4[[#This Row],[2019 Total Rent29]], "-")</f>
        <v>7.8474284821009793E-2</v>
      </c>
    </row>
    <row r="55" spans="1:41" x14ac:dyDescent="0.25">
      <c r="A55" s="25">
        <v>198</v>
      </c>
      <c r="B55" s="54" t="str">
        <f>VLOOKUP(A55,Registry!$A$4:$AA$241,2,FALSE)</f>
        <v>MT Pleasant MHP, LLC</v>
      </c>
      <c r="C55" s="80" t="str">
        <f>VLOOKUP(A55,Registry!$A$4:$AA$241,3,FALSE)</f>
        <v>Caledonia</v>
      </c>
      <c r="D55" s="80" t="str">
        <f>VLOOKUP(A55,Registry!$A$4:$AA$241,4,FALSE)</f>
        <v>St. Johnsbury</v>
      </c>
      <c r="E55" s="80">
        <f>IF(VLOOKUP(A55,Registry!$A$4:$AA$241,7,FALSE)=0,"",VLOOKUP(A55,Registry!$A$4:$AA$241,7,FALSE))</f>
        <v>1982</v>
      </c>
      <c r="F55" s="80" t="str">
        <f>IF(VLOOKUP(A55,Registry!$A$4:$AA$241,20,FALSE)=0,"",VLOOKUP(A55,Registry!$A$4:$AA$241,20,FALSE))</f>
        <v>For profit</v>
      </c>
      <c r="G55" s="25">
        <v>2017</v>
      </c>
      <c r="H55" s="24">
        <f>VLOOKUP(A55,Registry!$A$4:$AA$241,21,FALSE)</f>
        <v>91</v>
      </c>
      <c r="I55" s="24">
        <f>VLOOKUP(A55,Registry!$A$4:$AA$241,24,FALSE)</f>
        <v>25</v>
      </c>
      <c r="J55" s="24">
        <f>VLOOKUP(A55,Registry!$A$4:$AA$241,26,FALSE)</f>
        <v>0</v>
      </c>
      <c r="K55" s="28">
        <v>27</v>
      </c>
      <c r="L55" s="28">
        <v>1</v>
      </c>
      <c r="M55" s="128">
        <v>29</v>
      </c>
      <c r="N55" s="128">
        <v>1</v>
      </c>
      <c r="O55" s="128">
        <v>28</v>
      </c>
      <c r="P55" s="128">
        <v>1</v>
      </c>
      <c r="Q55" s="28">
        <f>I55-Table4[[#This Row],[Park Owned6]]</f>
        <v>-3</v>
      </c>
      <c r="R55" s="28">
        <f>J55-Table4[[#This Row],[Other Owned7]]</f>
        <v>-1</v>
      </c>
      <c r="S55" s="24">
        <f>VLOOKUP($A55,Registry!$A$4:$AA$241,23,FALSE)</f>
        <v>4</v>
      </c>
      <c r="T55" s="61">
        <f t="shared" si="0"/>
        <v>4.3956043956043959E-2</v>
      </c>
      <c r="U55" s="35">
        <v>2</v>
      </c>
      <c r="V55" s="90">
        <v>2.197802197802198E-2</v>
      </c>
      <c r="W55" s="86">
        <v>4</v>
      </c>
      <c r="X55" s="90">
        <v>4.4000000000000004E-2</v>
      </c>
      <c r="Y55" s="86">
        <v>4</v>
      </c>
      <c r="Z55" s="90">
        <v>4.4000000000000004E-2</v>
      </c>
      <c r="AA55" s="35">
        <f>Table4[[#This Row],['# Lots]]-Table4[[#This Row],['# Lots10]]</f>
        <v>2</v>
      </c>
      <c r="AB55" s="61">
        <f t="shared" si="4"/>
        <v>2.197802197802198E-2</v>
      </c>
      <c r="AC55" s="35">
        <f>Table4[[#This Row],['# Lots]]-Table4[[#This Row],['# Lots14]]</f>
        <v>0</v>
      </c>
      <c r="AD55" s="61">
        <f t="shared" si="5"/>
        <v>0</v>
      </c>
      <c r="AE55" s="138">
        <v>83</v>
      </c>
      <c r="AF55" s="35">
        <v>77</v>
      </c>
      <c r="AG55" s="58">
        <v>77</v>
      </c>
      <c r="AH55" s="58">
        <v>82</v>
      </c>
      <c r="AI55" s="128">
        <f>Table4[[#This Row],[2022 Leased Lots20]]-Table4[[#This Row],[2019 Leased Lots23]]</f>
        <v>1</v>
      </c>
      <c r="AJ55" s="61">
        <f t="shared" si="3"/>
        <v>0.91208791208791207</v>
      </c>
      <c r="AK55" s="139">
        <f>VLOOKUP($A55,Registry!$A$4:$AA$241,27,FALSE)</f>
        <v>337</v>
      </c>
      <c r="AL55" s="65">
        <v>324</v>
      </c>
      <c r="AM55" s="65">
        <v>316</v>
      </c>
      <c r="AN55" s="65">
        <v>306</v>
      </c>
      <c r="AO55" s="120">
        <f>IFERROR((AK55-Table4[[#This Row],[2019 Total Rent29]])/Table4[[#This Row],[2019 Total Rent29]], "-")</f>
        <v>0.10130718954248366</v>
      </c>
    </row>
    <row r="56" spans="1:41" x14ac:dyDescent="0.25">
      <c r="A56" s="25">
        <v>125</v>
      </c>
      <c r="B56" s="54" t="str">
        <f>VLOOKUP(A56,Registry!$A$4:$AA$241,2,FALSE)</f>
        <v>Oak Street Mobile Home Park</v>
      </c>
      <c r="C56" s="80" t="str">
        <f>VLOOKUP(A56,Registry!$A$4:$AA$241,3,FALSE)</f>
        <v>Caledonia</v>
      </c>
      <c r="D56" s="80" t="str">
        <f>VLOOKUP(A56,Registry!$A$4:$AA$241,4,FALSE)</f>
        <v>St. Johnsbury</v>
      </c>
      <c r="E56" s="80">
        <f>IF(VLOOKUP(A56,Registry!$A$4:$AA$241,7,FALSE)=0,"",VLOOKUP(A56,Registry!$A$4:$AA$241,7,FALSE))</f>
        <v>1956</v>
      </c>
      <c r="F56" s="80" t="str">
        <f>IF(VLOOKUP(A56,Registry!$A$4:$AA$241,20,FALSE)=0,"",VLOOKUP(A56,Registry!$A$4:$AA$241,20,FALSE))</f>
        <v>For profit</v>
      </c>
      <c r="G56" s="25">
        <v>2014</v>
      </c>
      <c r="H56" s="24">
        <f>VLOOKUP(A56,Registry!$A$4:$AA$241,21,FALSE)</f>
        <v>8</v>
      </c>
      <c r="I56" s="24">
        <f>VLOOKUP(A56,Registry!$A$4:$AA$241,24,FALSE)</f>
        <v>0</v>
      </c>
      <c r="J56" s="24">
        <f>VLOOKUP(A56,Registry!$A$4:$AA$241,26,FALSE)</f>
        <v>0</v>
      </c>
      <c r="K56" s="28">
        <v>0</v>
      </c>
      <c r="L56" s="28">
        <v>0</v>
      </c>
      <c r="M56" s="128">
        <v>0</v>
      </c>
      <c r="N56" s="128">
        <v>0</v>
      </c>
      <c r="O56" s="128">
        <v>0</v>
      </c>
      <c r="P56" s="128">
        <v>0</v>
      </c>
      <c r="Q56" s="28">
        <f>I56-Table4[[#This Row],[Park Owned6]]</f>
        <v>0</v>
      </c>
      <c r="R56" s="28">
        <f>J56-Table4[[#This Row],[Other Owned7]]</f>
        <v>0</v>
      </c>
      <c r="S56" s="24">
        <f>VLOOKUP($A56,Registry!$A$4:$AA$241,23,FALSE)</f>
        <v>4</v>
      </c>
      <c r="T56" s="61">
        <f t="shared" si="0"/>
        <v>0.5</v>
      </c>
      <c r="U56" s="35">
        <v>4</v>
      </c>
      <c r="V56" s="90">
        <v>0.5</v>
      </c>
      <c r="W56" s="86">
        <v>4</v>
      </c>
      <c r="X56" s="90">
        <v>0.5</v>
      </c>
      <c r="Y56" s="86">
        <v>4</v>
      </c>
      <c r="Z56" s="90">
        <v>0.5</v>
      </c>
      <c r="AA56" s="35">
        <f>Table4[[#This Row],['# Lots]]-Table4[[#This Row],['# Lots10]]</f>
        <v>0</v>
      </c>
      <c r="AB56" s="61">
        <f t="shared" si="4"/>
        <v>0</v>
      </c>
      <c r="AC56" s="35">
        <f>Table4[[#This Row],['# Lots]]-Table4[[#This Row],['# Lots14]]</f>
        <v>0</v>
      </c>
      <c r="AD56" s="61">
        <f t="shared" si="5"/>
        <v>0</v>
      </c>
      <c r="AE56" s="138">
        <v>4</v>
      </c>
      <c r="AF56" s="35">
        <v>4</v>
      </c>
      <c r="AG56" s="58">
        <v>4</v>
      </c>
      <c r="AH56" s="58">
        <v>4</v>
      </c>
      <c r="AI56" s="128">
        <f>Table4[[#This Row],[2022 Leased Lots20]]-Table4[[#This Row],[2019 Leased Lots23]]</f>
        <v>0</v>
      </c>
      <c r="AJ56" s="61">
        <f t="shared" si="3"/>
        <v>0.5</v>
      </c>
      <c r="AK56" s="139">
        <f>VLOOKUP($A56,Registry!$A$4:$AA$241,27,FALSE)</f>
        <v>336</v>
      </c>
      <c r="AL56" s="65">
        <v>316</v>
      </c>
      <c r="AM56" s="65">
        <v>316</v>
      </c>
      <c r="AN56" s="65">
        <v>311</v>
      </c>
      <c r="AO56" s="120">
        <f>IFERROR((AK56-Table4[[#This Row],[2019 Total Rent29]])/Table4[[#This Row],[2019 Total Rent29]], "-")</f>
        <v>8.0385852090032156E-2</v>
      </c>
    </row>
    <row r="57" spans="1:41" x14ac:dyDescent="0.25">
      <c r="A57" s="25">
        <v>138</v>
      </c>
      <c r="B57" s="54" t="str">
        <f>VLOOKUP(A57,Registry!$A$4:$AA$241,2,FALSE)</f>
        <v>Fernwood Manor</v>
      </c>
      <c r="C57" s="80" t="str">
        <f>VLOOKUP(A57,Registry!$A$4:$AA$241,3,FALSE)</f>
        <v>Chittenden</v>
      </c>
      <c r="D57" s="80" t="str">
        <f>VLOOKUP(A57,Registry!$A$4:$AA$241,4,FALSE)</f>
        <v>Bolton</v>
      </c>
      <c r="E57" s="80">
        <f>IF(VLOOKUP(A57,Registry!$A$4:$AA$241,7,FALSE)=0,"",VLOOKUP(A57,Registry!$A$4:$AA$241,7,FALSE))</f>
        <v>1978</v>
      </c>
      <c r="F57" s="80" t="str">
        <f>IF(VLOOKUP(A57,Registry!$A$4:$AA$241,20,FALSE)=0,"",VLOOKUP(A57,Registry!$A$4:$AA$241,20,FALSE))</f>
        <v>Non-profit</v>
      </c>
      <c r="G57" s="25">
        <v>1991</v>
      </c>
      <c r="H57" s="24">
        <f>VLOOKUP(A57,Registry!$A$4:$AA$241,21,FALSE)</f>
        <v>78</v>
      </c>
      <c r="I57" s="24">
        <f>VLOOKUP(A57,Registry!$A$4:$AA$241,24,FALSE)</f>
        <v>0</v>
      </c>
      <c r="J57" s="24">
        <f>VLOOKUP(A57,Registry!$A$4:$AA$241,26,FALSE)</f>
        <v>0</v>
      </c>
      <c r="K57" s="28">
        <v>0</v>
      </c>
      <c r="L57" s="28">
        <v>0</v>
      </c>
      <c r="M57" s="128">
        <v>0</v>
      </c>
      <c r="N57" s="128">
        <v>0</v>
      </c>
      <c r="O57" s="128">
        <v>0</v>
      </c>
      <c r="P57" s="128">
        <v>0</v>
      </c>
      <c r="Q57" s="28">
        <f>I57-Table4[[#This Row],[Park Owned6]]</f>
        <v>0</v>
      </c>
      <c r="R57" s="28">
        <f>J57-Table4[[#This Row],[Other Owned7]]</f>
        <v>0</v>
      </c>
      <c r="S57" s="24">
        <f>VLOOKUP($A57,Registry!$A$4:$AA$241,23,FALSE)</f>
        <v>0</v>
      </c>
      <c r="T57" s="61">
        <f t="shared" si="0"/>
        <v>0</v>
      </c>
      <c r="U57" s="35">
        <v>0</v>
      </c>
      <c r="V57" s="90">
        <v>0</v>
      </c>
      <c r="W57" s="86">
        <v>0</v>
      </c>
      <c r="X57" s="90">
        <v>0</v>
      </c>
      <c r="Y57" s="86">
        <v>0</v>
      </c>
      <c r="Z57" s="90">
        <v>0</v>
      </c>
      <c r="AA57" s="35">
        <f>Table4[[#This Row],['# Lots]]-Table4[[#This Row],['# Lots10]]</f>
        <v>0</v>
      </c>
      <c r="AB57" s="61">
        <f t="shared" si="4"/>
        <v>0</v>
      </c>
      <c r="AC57" s="35">
        <f>Table4[[#This Row],['# Lots]]-Table4[[#This Row],['# Lots14]]</f>
        <v>0</v>
      </c>
      <c r="AD57" s="61">
        <f t="shared" si="5"/>
        <v>0</v>
      </c>
      <c r="AE57" s="138">
        <v>78</v>
      </c>
      <c r="AF57" s="35">
        <v>78</v>
      </c>
      <c r="AG57" s="58">
        <v>78</v>
      </c>
      <c r="AH57" s="58">
        <v>78</v>
      </c>
      <c r="AI57" s="128">
        <f>Table4[[#This Row],[2022 Leased Lots20]]-Table4[[#This Row],[2019 Leased Lots23]]</f>
        <v>0</v>
      </c>
      <c r="AJ57" s="61">
        <f t="shared" si="3"/>
        <v>1</v>
      </c>
      <c r="AK57" s="139">
        <f>VLOOKUP($A57,Registry!$A$4:$AA$241,27,FALSE)</f>
        <v>467</v>
      </c>
      <c r="AL57" s="65">
        <v>467</v>
      </c>
      <c r="AM57" s="65">
        <v>453</v>
      </c>
      <c r="AN57" s="65">
        <v>440</v>
      </c>
      <c r="AO57" s="120">
        <f>IFERROR((AK57-Table4[[#This Row],[2019 Total Rent29]])/Table4[[#This Row],[2019 Total Rent29]], "-")</f>
        <v>6.1363636363636363E-2</v>
      </c>
    </row>
    <row r="58" spans="1:41" x14ac:dyDescent="0.25">
      <c r="A58" s="25">
        <v>68</v>
      </c>
      <c r="B58" s="54" t="str">
        <f>VLOOKUP(A58,Registry!$A$4:$AA$241,2,FALSE)</f>
        <v>North Avenue Co-op</v>
      </c>
      <c r="C58" s="80" t="str">
        <f>VLOOKUP(A58,Registry!$A$4:$AA$241,3,FALSE)</f>
        <v>Chittenden</v>
      </c>
      <c r="D58" s="80" t="str">
        <f>VLOOKUP(A58,Registry!$A$4:$AA$241,4,FALSE)</f>
        <v>Burlington</v>
      </c>
      <c r="E58" s="80">
        <f>IF(VLOOKUP(A58,Registry!$A$4:$AA$241,7,FALSE)=0,"",VLOOKUP(A58,Registry!$A$4:$AA$241,7,FALSE))</f>
        <v>1923</v>
      </c>
      <c r="F58" s="80" t="str">
        <f>IF(VLOOKUP(A58,Registry!$A$4:$AA$241,20,FALSE)=0,"",VLOOKUP(A58,Registry!$A$4:$AA$241,20,FALSE))</f>
        <v>Cooperative</v>
      </c>
      <c r="G58" s="25">
        <v>2015</v>
      </c>
      <c r="H58" s="24">
        <f>VLOOKUP(A58,Registry!$A$4:$AA$241,21,FALSE)</f>
        <v>119</v>
      </c>
      <c r="I58" s="24">
        <f>VLOOKUP(A58,Registry!$A$4:$AA$241,24,FALSE)</f>
        <v>0</v>
      </c>
      <c r="J58" s="24">
        <f>VLOOKUP(A58,Registry!$A$4:$AA$241,26,FALSE)</f>
        <v>0</v>
      </c>
      <c r="K58" s="28">
        <v>0</v>
      </c>
      <c r="L58" s="28">
        <v>0</v>
      </c>
      <c r="M58" s="128">
        <v>0</v>
      </c>
      <c r="N58" s="128">
        <v>3</v>
      </c>
      <c r="O58" s="128">
        <v>0</v>
      </c>
      <c r="P58" s="128">
        <v>4</v>
      </c>
      <c r="Q58" s="28">
        <f>I58-Table4[[#This Row],[Park Owned6]]</f>
        <v>0</v>
      </c>
      <c r="R58" s="28">
        <f>J58-Table4[[#This Row],[Other Owned7]]</f>
        <v>-4</v>
      </c>
      <c r="S58" s="24">
        <f>VLOOKUP($A58,Registry!$A$4:$AA$241,23,FALSE)</f>
        <v>2</v>
      </c>
      <c r="T58" s="61">
        <f t="shared" si="0"/>
        <v>1.680672268907563E-2</v>
      </c>
      <c r="U58" s="35">
        <v>4</v>
      </c>
      <c r="V58" s="90">
        <v>3.3613445378151259E-2</v>
      </c>
      <c r="W58" s="86">
        <v>4</v>
      </c>
      <c r="X58" s="90">
        <v>3.4000000000000002E-2</v>
      </c>
      <c r="Y58" s="86">
        <v>4</v>
      </c>
      <c r="Z58" s="90">
        <v>3.4000000000000002E-2</v>
      </c>
      <c r="AA58" s="35">
        <f>Table4[[#This Row],['# Lots]]-Table4[[#This Row],['# Lots10]]</f>
        <v>-2</v>
      </c>
      <c r="AB58" s="61">
        <f t="shared" si="4"/>
        <v>-1.680672268907563E-2</v>
      </c>
      <c r="AC58" s="35">
        <f>Table4[[#This Row],['# Lots]]-Table4[[#This Row],['# Lots14]]</f>
        <v>-2</v>
      </c>
      <c r="AD58" s="61">
        <f t="shared" si="5"/>
        <v>-1.680672268907563E-2</v>
      </c>
      <c r="AE58" s="138">
        <v>113</v>
      </c>
      <c r="AF58" s="35">
        <v>112</v>
      </c>
      <c r="AG58" s="58">
        <v>111</v>
      </c>
      <c r="AH58" s="58">
        <v>111</v>
      </c>
      <c r="AI58" s="128">
        <f>Table4[[#This Row],[2022 Leased Lots20]]-Table4[[#This Row],[2019 Leased Lots23]]</f>
        <v>2</v>
      </c>
      <c r="AJ58" s="61">
        <f t="shared" si="3"/>
        <v>0.94957983193277307</v>
      </c>
      <c r="AK58" s="139">
        <f>VLOOKUP($A58,Registry!$A$4:$AA$241,27,FALSE)</f>
        <v>426</v>
      </c>
      <c r="AL58" s="65">
        <v>426</v>
      </c>
      <c r="AM58" s="65">
        <v>415</v>
      </c>
      <c r="AN58" s="65">
        <v>415</v>
      </c>
      <c r="AO58" s="120">
        <f>IFERROR((AK58-Table4[[#This Row],[2019 Total Rent29]])/Table4[[#This Row],[2019 Total Rent29]], "-")</f>
        <v>2.6506024096385541E-2</v>
      </c>
    </row>
    <row r="59" spans="1:41" x14ac:dyDescent="0.25">
      <c r="A59" s="25">
        <v>89</v>
      </c>
      <c r="B59" s="54" t="str">
        <f>VLOOKUP(A59,Registry!$A$4:$AA$241,2,FALSE)</f>
        <v>Tenney Mobile Home Park</v>
      </c>
      <c r="C59" s="80" t="str">
        <f>VLOOKUP(A59,Registry!$A$4:$AA$241,3,FALSE)</f>
        <v>Chittenden</v>
      </c>
      <c r="D59" s="80" t="str">
        <f>VLOOKUP(A59,Registry!$A$4:$AA$241,4,FALSE)</f>
        <v>Charlotte</v>
      </c>
      <c r="E59" s="80">
        <f>IF(VLOOKUP(A59,Registry!$A$4:$AA$241,7,FALSE)=0,"",VLOOKUP(A59,Registry!$A$4:$AA$241,7,FALSE))</f>
        <v>1966</v>
      </c>
      <c r="F59" s="80" t="str">
        <f>IF(VLOOKUP(A59,Registry!$A$4:$AA$241,20,FALSE)=0,"",VLOOKUP(A59,Registry!$A$4:$AA$241,20,FALSE))</f>
        <v>For profit</v>
      </c>
      <c r="G59" s="25">
        <v>1965</v>
      </c>
      <c r="H59" s="24">
        <f>VLOOKUP(A59,Registry!$A$4:$AA$241,21,FALSE)</f>
        <v>7</v>
      </c>
      <c r="I59" s="24">
        <f>VLOOKUP(A59,Registry!$A$4:$AA$241,24,FALSE)</f>
        <v>0</v>
      </c>
      <c r="J59" s="24">
        <f>VLOOKUP(A59,Registry!$A$4:$AA$241,26,FALSE)</f>
        <v>0</v>
      </c>
      <c r="K59" s="28">
        <v>0</v>
      </c>
      <c r="L59" s="28">
        <v>0</v>
      </c>
      <c r="M59" s="128">
        <v>0</v>
      </c>
      <c r="N59" s="128">
        <v>0</v>
      </c>
      <c r="O59" s="128">
        <v>0</v>
      </c>
      <c r="P59" s="128">
        <v>0</v>
      </c>
      <c r="Q59" s="28">
        <f>I59-Table4[[#This Row],[Park Owned6]]</f>
        <v>0</v>
      </c>
      <c r="R59" s="28">
        <f>J59-Table4[[#This Row],[Other Owned7]]</f>
        <v>0</v>
      </c>
      <c r="S59" s="24">
        <f>VLOOKUP($A59,Registry!$A$4:$AA$241,23,FALSE)</f>
        <v>0</v>
      </c>
      <c r="T59" s="61">
        <f t="shared" si="0"/>
        <v>0</v>
      </c>
      <c r="U59" s="35">
        <v>0</v>
      </c>
      <c r="V59" s="90">
        <v>0</v>
      </c>
      <c r="W59" s="86">
        <v>0</v>
      </c>
      <c r="X59" s="90">
        <v>0</v>
      </c>
      <c r="Y59" s="86">
        <v>0</v>
      </c>
      <c r="Z59" s="90">
        <v>0</v>
      </c>
      <c r="AA59" s="35">
        <f>Table4[[#This Row],['# Lots]]-Table4[[#This Row],['# Lots10]]</f>
        <v>0</v>
      </c>
      <c r="AB59" s="61">
        <f t="shared" si="4"/>
        <v>0</v>
      </c>
      <c r="AC59" s="35">
        <f>Table4[[#This Row],['# Lots]]-Table4[[#This Row],['# Lots14]]</f>
        <v>0</v>
      </c>
      <c r="AD59" s="61">
        <f t="shared" si="5"/>
        <v>0</v>
      </c>
      <c r="AE59" s="138">
        <v>7</v>
      </c>
      <c r="AF59" s="35">
        <v>7</v>
      </c>
      <c r="AG59" s="58">
        <v>7</v>
      </c>
      <c r="AH59" s="58">
        <v>7</v>
      </c>
      <c r="AI59" s="128">
        <f>Table4[[#This Row],[2022 Leased Lots20]]-Table4[[#This Row],[2019 Leased Lots23]]</f>
        <v>0</v>
      </c>
      <c r="AJ59" s="61">
        <f t="shared" si="3"/>
        <v>1</v>
      </c>
      <c r="AK59" s="139">
        <f>VLOOKUP($A59,Registry!$A$4:$AA$241,27,FALSE)</f>
        <v>560.5</v>
      </c>
      <c r="AL59" s="65">
        <v>543.65</v>
      </c>
      <c r="AM59" s="65">
        <v>523.75</v>
      </c>
      <c r="AN59" s="65">
        <v>504.25</v>
      </c>
      <c r="AO59" s="120">
        <f>IFERROR((AK59-Table4[[#This Row],[2019 Total Rent29]])/Table4[[#This Row],[2019 Total Rent29]], "-")</f>
        <v>0.11155180961824492</v>
      </c>
    </row>
    <row r="60" spans="1:41" x14ac:dyDescent="0.25">
      <c r="A60" s="25">
        <v>256</v>
      </c>
      <c r="B60" s="54" t="str">
        <f>VLOOKUP(A60,Registry!$A$4:$AA$241,2,FALSE)</f>
        <v>Breezy Acres Cooperative</v>
      </c>
      <c r="C60" s="80" t="str">
        <f>VLOOKUP(A60,Registry!$A$4:$AA$241,3,FALSE)</f>
        <v>Chittenden</v>
      </c>
      <c r="D60" s="80" t="str">
        <f>VLOOKUP(A60,Registry!$A$4:$AA$241,4,FALSE)</f>
        <v>Colchester</v>
      </c>
      <c r="E60" s="80">
        <f>IF(VLOOKUP(A60,Registry!$A$4:$AA$241,7,FALSE)=0,"",VLOOKUP(A60,Registry!$A$4:$AA$241,7,FALSE))</f>
        <v>1962</v>
      </c>
      <c r="F60" s="80" t="str">
        <f>IF(VLOOKUP(A60,Registry!$A$4:$AA$241,20,FALSE)=0,"",VLOOKUP(A60,Registry!$A$4:$AA$241,20,FALSE))</f>
        <v>Cooperative</v>
      </c>
      <c r="G60" s="25">
        <v>2022</v>
      </c>
      <c r="H60" s="24">
        <f>VLOOKUP(A60,Registry!$A$4:$AA$241,21,FALSE)</f>
        <v>196</v>
      </c>
      <c r="I60" s="24">
        <f>VLOOKUP(A60,Registry!$A$4:$AA$241,24,FALSE)</f>
        <v>0</v>
      </c>
      <c r="J60" s="24">
        <f>VLOOKUP(A60,Registry!$A$4:$AA$241,26,FALSE)</f>
        <v>0</v>
      </c>
      <c r="K60" s="28">
        <v>0</v>
      </c>
      <c r="L60" s="28">
        <v>0</v>
      </c>
      <c r="M60" s="128">
        <v>9</v>
      </c>
      <c r="N60" s="128">
        <v>0</v>
      </c>
      <c r="O60" s="128">
        <v>16</v>
      </c>
      <c r="P60" s="128">
        <v>0</v>
      </c>
      <c r="Q60" s="28">
        <f>I60-Table4[[#This Row],[Park Owned6]]</f>
        <v>-16</v>
      </c>
      <c r="R60" s="28">
        <f>J60-Table4[[#This Row],[Other Owned7]]</f>
        <v>0</v>
      </c>
      <c r="S60" s="24">
        <f>VLOOKUP($A60,Registry!$A$4:$AA$241,23,FALSE)</f>
        <v>4</v>
      </c>
      <c r="T60" s="61">
        <f t="shared" si="0"/>
        <v>2.0408163265306121E-2</v>
      </c>
      <c r="U60" s="35">
        <v>6</v>
      </c>
      <c r="V60" s="90">
        <v>3.1413612565445025E-2</v>
      </c>
      <c r="W60" s="86">
        <v>5</v>
      </c>
      <c r="X60" s="90">
        <v>2.6000000000000002E-2</v>
      </c>
      <c r="Y60" s="86">
        <v>6</v>
      </c>
      <c r="Z60" s="90">
        <v>3.1E-2</v>
      </c>
      <c r="AA60" s="35">
        <f>Table4[[#This Row],['# Lots]]-Table4[[#This Row],['# Lots10]]</f>
        <v>-2</v>
      </c>
      <c r="AB60" s="61">
        <f t="shared" si="4"/>
        <v>-1.020408163265306E-2</v>
      </c>
      <c r="AC60" s="35">
        <f>Table4[[#This Row],['# Lots]]-Table4[[#This Row],['# Lots14]]</f>
        <v>-2</v>
      </c>
      <c r="AD60" s="61">
        <f t="shared" si="5"/>
        <v>-1.020408163265306E-2</v>
      </c>
      <c r="AE60" s="138">
        <v>185</v>
      </c>
      <c r="AF60" s="35">
        <v>181</v>
      </c>
      <c r="AG60" s="58">
        <v>180</v>
      </c>
      <c r="AH60" s="58">
        <v>186</v>
      </c>
      <c r="AI60" s="128">
        <f>Table4[[#This Row],[2022 Leased Lots20]]-Table4[[#This Row],[2019 Leased Lots23]]</f>
        <v>-1</v>
      </c>
      <c r="AJ60" s="61">
        <f t="shared" si="3"/>
        <v>0.94387755102040816</v>
      </c>
      <c r="AK60" s="139">
        <f>VLOOKUP($A60,Registry!$A$4:$AA$241,27,FALSE)</f>
        <v>488</v>
      </c>
      <c r="AL60" s="65">
        <v>459</v>
      </c>
      <c r="AM60" s="65">
        <v>459</v>
      </c>
      <c r="AN60" s="65">
        <v>459</v>
      </c>
      <c r="AO60" s="120">
        <f>IFERROR((AK60-Table4[[#This Row],[2019 Total Rent29]])/Table4[[#This Row],[2019 Total Rent29]], "-")</f>
        <v>6.3180827886710242E-2</v>
      </c>
    </row>
    <row r="61" spans="1:41" x14ac:dyDescent="0.25">
      <c r="A61" s="25">
        <v>253</v>
      </c>
      <c r="B61" s="54" t="str">
        <f>VLOOKUP(A61,Registry!$A$4:$AA$241,2,FALSE)</f>
        <v>Hillcrest Resident Owned Community</v>
      </c>
      <c r="C61" s="80" t="str">
        <f>VLOOKUP(A61,Registry!$A$4:$AA$241,3,FALSE)</f>
        <v>Chittenden</v>
      </c>
      <c r="D61" s="80" t="str">
        <f>VLOOKUP(A61,Registry!$A$4:$AA$241,4,FALSE)</f>
        <v>Colchester</v>
      </c>
      <c r="E61" s="80">
        <f>IF(VLOOKUP(A61,Registry!$A$4:$AA$241,7,FALSE)=0,"",VLOOKUP(A61,Registry!$A$4:$AA$241,7,FALSE))</f>
        <v>1965</v>
      </c>
      <c r="F61" s="80" t="str">
        <f>IF(VLOOKUP(A61,Registry!$A$4:$AA$241,20,FALSE)=0,"",VLOOKUP(A61,Registry!$A$4:$AA$241,20,FALSE))</f>
        <v>Cooperative</v>
      </c>
      <c r="G61" s="25">
        <v>2022</v>
      </c>
      <c r="H61" s="24">
        <f>VLOOKUP(A61,Registry!$A$4:$AA$241,21,FALSE)</f>
        <v>44</v>
      </c>
      <c r="I61" s="24">
        <f>VLOOKUP(A61,Registry!$A$4:$AA$241,24,FALSE)</f>
        <v>1</v>
      </c>
      <c r="J61" s="24">
        <f>VLOOKUP(A61,Registry!$A$4:$AA$241,26,FALSE)</f>
        <v>0</v>
      </c>
      <c r="K61" s="28">
        <v>1</v>
      </c>
      <c r="L61" s="28">
        <v>0</v>
      </c>
      <c r="M61" s="128">
        <v>2</v>
      </c>
      <c r="N61" s="128">
        <v>0</v>
      </c>
      <c r="O61" s="128">
        <v>2</v>
      </c>
      <c r="P61" s="128">
        <v>0</v>
      </c>
      <c r="Q61" s="28">
        <f>I61-Table4[[#This Row],[Park Owned6]]</f>
        <v>-1</v>
      </c>
      <c r="R61" s="28">
        <f>J61-Table4[[#This Row],[Other Owned7]]</f>
        <v>0</v>
      </c>
      <c r="S61" s="24">
        <f>VLOOKUP($A61,Registry!$A$4:$AA$241,23,FALSE)</f>
        <v>0</v>
      </c>
      <c r="T61" s="61">
        <f t="shared" si="0"/>
        <v>0</v>
      </c>
      <c r="U61" s="35">
        <v>0</v>
      </c>
      <c r="V61" s="90">
        <v>0</v>
      </c>
      <c r="W61" s="86">
        <v>0</v>
      </c>
      <c r="X61" s="90">
        <v>0</v>
      </c>
      <c r="Y61" s="86">
        <v>0</v>
      </c>
      <c r="Z61" s="90">
        <v>0</v>
      </c>
      <c r="AA61" s="35">
        <f>Table4[[#This Row],['# Lots]]-Table4[[#This Row],['# Lots10]]</f>
        <v>0</v>
      </c>
      <c r="AB61" s="61">
        <f t="shared" si="4"/>
        <v>0</v>
      </c>
      <c r="AC61" s="35">
        <f>Table4[[#This Row],['# Lots]]-Table4[[#This Row],['# Lots14]]</f>
        <v>0</v>
      </c>
      <c r="AD61" s="61">
        <f t="shared" si="5"/>
        <v>0</v>
      </c>
      <c r="AE61" s="138">
        <v>44</v>
      </c>
      <c r="AF61" s="35">
        <v>43</v>
      </c>
      <c r="AG61" s="58">
        <v>43</v>
      </c>
      <c r="AH61" s="58">
        <v>44</v>
      </c>
      <c r="AI61" s="128">
        <f>Table4[[#This Row],[2022 Leased Lots20]]-Table4[[#This Row],[2019 Leased Lots23]]</f>
        <v>0</v>
      </c>
      <c r="AJ61" s="61">
        <f t="shared" si="3"/>
        <v>1</v>
      </c>
      <c r="AK61" s="139">
        <f>VLOOKUP($A61,Registry!$A$4:$AA$241,27,FALSE)</f>
        <v>492</v>
      </c>
      <c r="AL61" s="65">
        <v>469</v>
      </c>
      <c r="AM61" s="65">
        <v>469</v>
      </c>
      <c r="AN61" s="65">
        <v>469</v>
      </c>
      <c r="AO61" s="120">
        <f>IFERROR((AK61-Table4[[#This Row],[2019 Total Rent29]])/Table4[[#This Row],[2019 Total Rent29]], "-")</f>
        <v>4.9040511727078892E-2</v>
      </c>
    </row>
    <row r="62" spans="1:41" x14ac:dyDescent="0.25">
      <c r="A62" s="25">
        <v>27</v>
      </c>
      <c r="B62" s="54" t="str">
        <f>VLOOKUP(A62,Registry!$A$4:$AA$241,2,FALSE)</f>
        <v>Westbury Park</v>
      </c>
      <c r="C62" s="80" t="str">
        <f>VLOOKUP(A62,Registry!$A$4:$AA$241,3,FALSE)</f>
        <v>Chittenden</v>
      </c>
      <c r="D62" s="80" t="str">
        <f>VLOOKUP(A62,Registry!$A$4:$AA$241,4,FALSE)</f>
        <v>Colchester</v>
      </c>
      <c r="E62" s="80">
        <f>IF(VLOOKUP(A62,Registry!$A$4:$AA$241,7,FALSE)=0,"",VLOOKUP(A62,Registry!$A$4:$AA$241,7,FALSE))</f>
        <v>1972</v>
      </c>
      <c r="F62" s="80" t="str">
        <f>IF(VLOOKUP(A62,Registry!$A$4:$AA$241,20,FALSE)=0,"",VLOOKUP(A62,Registry!$A$4:$AA$241,20,FALSE))</f>
        <v>Cooperative</v>
      </c>
      <c r="G62" s="25">
        <v>2019</v>
      </c>
      <c r="H62" s="24">
        <f>VLOOKUP(A62,Registry!$A$4:$AA$241,21,FALSE)</f>
        <v>250</v>
      </c>
      <c r="I62" s="24">
        <f>VLOOKUP(A62,Registry!$A$4:$AA$241,24,FALSE)</f>
        <v>0</v>
      </c>
      <c r="J62" s="24">
        <f>VLOOKUP(A62,Registry!$A$4:$AA$241,26,FALSE)</f>
        <v>0</v>
      </c>
      <c r="K62" s="28">
        <v>0</v>
      </c>
      <c r="L62" s="28">
        <v>0</v>
      </c>
      <c r="M62" s="128">
        <v>0</v>
      </c>
      <c r="N62" s="128">
        <v>0</v>
      </c>
      <c r="O62" s="128">
        <v>0</v>
      </c>
      <c r="P62" s="128">
        <v>0</v>
      </c>
      <c r="Q62" s="28">
        <f>I62-Table4[[#This Row],[Park Owned6]]</f>
        <v>0</v>
      </c>
      <c r="R62" s="28">
        <f>J62-Table4[[#This Row],[Other Owned7]]</f>
        <v>0</v>
      </c>
      <c r="S62" s="24">
        <f>VLOOKUP($A62,Registry!$A$4:$AA$241,23,FALSE)</f>
        <v>0</v>
      </c>
      <c r="T62" s="61">
        <f t="shared" si="0"/>
        <v>0</v>
      </c>
      <c r="U62" s="35">
        <v>0</v>
      </c>
      <c r="V62" s="90">
        <v>0</v>
      </c>
      <c r="W62" s="86">
        <v>0</v>
      </c>
      <c r="X62" s="90">
        <v>0</v>
      </c>
      <c r="Y62" s="86">
        <v>0</v>
      </c>
      <c r="Z62" s="90">
        <v>0</v>
      </c>
      <c r="AA62" s="35">
        <f>Table4[[#This Row],['# Lots]]-Table4[[#This Row],['# Lots10]]</f>
        <v>0</v>
      </c>
      <c r="AB62" s="61">
        <f t="shared" si="4"/>
        <v>0</v>
      </c>
      <c r="AC62" s="35">
        <f>Table4[[#This Row],['# Lots]]-Table4[[#This Row],['# Lots14]]</f>
        <v>0</v>
      </c>
      <c r="AD62" s="61">
        <f t="shared" si="5"/>
        <v>0</v>
      </c>
      <c r="AE62" s="138">
        <v>250</v>
      </c>
      <c r="AF62" s="35">
        <v>250</v>
      </c>
      <c r="AG62" s="58">
        <v>250</v>
      </c>
      <c r="AH62" s="58">
        <v>249</v>
      </c>
      <c r="AI62" s="128">
        <f>Table4[[#This Row],[2022 Leased Lots20]]-Table4[[#This Row],[2019 Leased Lots23]]</f>
        <v>1</v>
      </c>
      <c r="AJ62" s="61">
        <f t="shared" si="3"/>
        <v>1</v>
      </c>
      <c r="AK62" s="139">
        <f>VLOOKUP($A62,Registry!$A$4:$AA$241,27,FALSE)</f>
        <v>502</v>
      </c>
      <c r="AL62" s="65">
        <v>495</v>
      </c>
      <c r="AM62" s="65">
        <v>488</v>
      </c>
      <c r="AN62" s="65">
        <v>488</v>
      </c>
      <c r="AO62" s="120">
        <f>IFERROR((AK62-Table4[[#This Row],[2019 Total Rent29]])/Table4[[#This Row],[2019 Total Rent29]], "-")</f>
        <v>2.8688524590163935E-2</v>
      </c>
    </row>
    <row r="63" spans="1:41" x14ac:dyDescent="0.25">
      <c r="A63" s="25">
        <v>144</v>
      </c>
      <c r="B63" s="54" t="str">
        <f>VLOOKUP(A63,Registry!$A$4:$AA$241,2,FALSE)</f>
        <v>Windemere Estates</v>
      </c>
      <c r="C63" s="80" t="str">
        <f>VLOOKUP(A63,Registry!$A$4:$AA$241,3,FALSE)</f>
        <v>Chittenden</v>
      </c>
      <c r="D63" s="80" t="str">
        <f>VLOOKUP(A63,Registry!$A$4:$AA$241,4,FALSE)</f>
        <v>Colchester</v>
      </c>
      <c r="E63" s="80" t="str">
        <f>IF(VLOOKUP(A63,Registry!$A$4:$AA$241,7,FALSE)=0,"",VLOOKUP(A63,Registry!$A$4:$AA$241,7,FALSE))</f>
        <v/>
      </c>
      <c r="F63" s="80" t="str">
        <f>IF(VLOOKUP(A63,Registry!$A$4:$AA$241,20,FALSE)=0,"",VLOOKUP(A63,Registry!$A$4:$AA$241,20,FALSE))</f>
        <v>Non-profit</v>
      </c>
      <c r="G63" s="25">
        <v>1992</v>
      </c>
      <c r="H63" s="24">
        <f>VLOOKUP(A63,Registry!$A$4:$AA$241,21,FALSE)</f>
        <v>83</v>
      </c>
      <c r="I63" s="24">
        <f>VLOOKUP(A63,Registry!$A$4:$AA$241,24,FALSE)</f>
        <v>0</v>
      </c>
      <c r="J63" s="24">
        <f>VLOOKUP(A63,Registry!$A$4:$AA$241,26,FALSE)</f>
        <v>0</v>
      </c>
      <c r="K63" s="28">
        <v>0</v>
      </c>
      <c r="L63" s="28">
        <v>0</v>
      </c>
      <c r="M63" s="128">
        <v>3</v>
      </c>
      <c r="N63" s="128">
        <v>0</v>
      </c>
      <c r="O63" s="128">
        <v>1</v>
      </c>
      <c r="P63" s="128">
        <v>0</v>
      </c>
      <c r="Q63" s="28">
        <f>I63-Table4[[#This Row],[Park Owned6]]</f>
        <v>-1</v>
      </c>
      <c r="R63" s="28">
        <f>J63-Table4[[#This Row],[Other Owned7]]</f>
        <v>0</v>
      </c>
      <c r="S63" s="24">
        <f>VLOOKUP($A63,Registry!$A$4:$AA$241,23,FALSE)</f>
        <v>11</v>
      </c>
      <c r="T63" s="61">
        <f t="shared" si="0"/>
        <v>0.13253012048192772</v>
      </c>
      <c r="U63" s="35">
        <v>11</v>
      </c>
      <c r="V63" s="90">
        <v>0.13253012048192772</v>
      </c>
      <c r="W63" s="86">
        <v>9</v>
      </c>
      <c r="X63" s="90">
        <v>0.10800000000000001</v>
      </c>
      <c r="Y63" s="86">
        <v>10</v>
      </c>
      <c r="Z63" s="90">
        <v>0.12</v>
      </c>
      <c r="AA63" s="35">
        <f>Table4[[#This Row],['# Lots]]-Table4[[#This Row],['# Lots10]]</f>
        <v>0</v>
      </c>
      <c r="AB63" s="61">
        <f t="shared" si="4"/>
        <v>0</v>
      </c>
      <c r="AC63" s="35">
        <f>Table4[[#This Row],['# Lots]]-Table4[[#This Row],['# Lots14]]</f>
        <v>1</v>
      </c>
      <c r="AD63" s="61">
        <f t="shared" si="5"/>
        <v>1.2048192771084338E-2</v>
      </c>
      <c r="AE63" s="138">
        <v>72</v>
      </c>
      <c r="AF63" s="35">
        <v>72</v>
      </c>
      <c r="AG63" s="58">
        <v>72</v>
      </c>
      <c r="AH63" s="58">
        <v>72</v>
      </c>
      <c r="AI63" s="128">
        <f>Table4[[#This Row],[2022 Leased Lots20]]-Table4[[#This Row],[2019 Leased Lots23]]</f>
        <v>0</v>
      </c>
      <c r="AJ63" s="61">
        <f t="shared" si="3"/>
        <v>0.86746987951807231</v>
      </c>
      <c r="AK63" s="139">
        <f>VLOOKUP($A63,Registry!$A$4:$AA$241,27,FALSE)</f>
        <v>475</v>
      </c>
      <c r="AL63" s="65">
        <v>461</v>
      </c>
      <c r="AM63" s="65">
        <v>449</v>
      </c>
      <c r="AN63" s="65">
        <v>432</v>
      </c>
      <c r="AO63" s="120">
        <f>IFERROR((AK63-Table4[[#This Row],[2019 Total Rent29]])/Table4[[#This Row],[2019 Total Rent29]], "-")</f>
        <v>9.9537037037037035E-2</v>
      </c>
    </row>
    <row r="64" spans="1:41" x14ac:dyDescent="0.25">
      <c r="A64" s="25">
        <v>81</v>
      </c>
      <c r="B64" s="54" t="str">
        <f>VLOOKUP(A64,Registry!$A$4:$AA$241,2,FALSE)</f>
        <v>Woodland Shores Park RLLP</v>
      </c>
      <c r="C64" s="80" t="str">
        <f>VLOOKUP(A64,Registry!$A$4:$AA$241,3,FALSE)</f>
        <v>Chittenden</v>
      </c>
      <c r="D64" s="80" t="str">
        <f>VLOOKUP(A64,Registry!$A$4:$AA$241,4,FALSE)</f>
        <v>Colchester</v>
      </c>
      <c r="E64" s="80">
        <f>IF(VLOOKUP(A64,Registry!$A$4:$AA$241,7,FALSE)=0,"",VLOOKUP(A64,Registry!$A$4:$AA$241,7,FALSE))</f>
        <v>1952</v>
      </c>
      <c r="F64" s="80" t="str">
        <f>IF(VLOOKUP(A64,Registry!$A$4:$AA$241,20,FALSE)=0,"",VLOOKUP(A64,Registry!$A$4:$AA$241,20,FALSE))</f>
        <v>For profit</v>
      </c>
      <c r="G64" s="25">
        <v>0</v>
      </c>
      <c r="H64" s="24">
        <f>VLOOKUP(A64,Registry!$A$4:$AA$241,21,FALSE)</f>
        <v>56</v>
      </c>
      <c r="I64" s="24">
        <f>VLOOKUP(A64,Registry!$A$4:$AA$241,24,FALSE)</f>
        <v>3</v>
      </c>
      <c r="J64" s="24">
        <f>VLOOKUP(A64,Registry!$A$4:$AA$241,26,FALSE)</f>
        <v>7</v>
      </c>
      <c r="K64" s="28">
        <v>3</v>
      </c>
      <c r="L64" s="28">
        <v>7</v>
      </c>
      <c r="M64" s="128">
        <v>3</v>
      </c>
      <c r="N64" s="128">
        <v>4</v>
      </c>
      <c r="O64" s="128">
        <v>3</v>
      </c>
      <c r="P64" s="128">
        <v>5</v>
      </c>
      <c r="Q64" s="28">
        <f>I64-Table4[[#This Row],[Park Owned6]]</f>
        <v>0</v>
      </c>
      <c r="R64" s="28">
        <f>J64-Table4[[#This Row],[Other Owned7]]</f>
        <v>2</v>
      </c>
      <c r="S64" s="24">
        <f>VLOOKUP($A64,Registry!$A$4:$AA$241,23,FALSE)</f>
        <v>0</v>
      </c>
      <c r="T64" s="61">
        <f t="shared" si="0"/>
        <v>0</v>
      </c>
      <c r="U64" s="35">
        <v>0</v>
      </c>
      <c r="V64" s="90">
        <v>0</v>
      </c>
      <c r="W64" s="86">
        <v>0</v>
      </c>
      <c r="X64" s="90">
        <v>0</v>
      </c>
      <c r="Y64" s="86">
        <v>0</v>
      </c>
      <c r="Z64" s="90">
        <v>0</v>
      </c>
      <c r="AA64" s="35">
        <f>Table4[[#This Row],['# Lots]]-Table4[[#This Row],['# Lots10]]</f>
        <v>0</v>
      </c>
      <c r="AB64" s="61">
        <f t="shared" si="4"/>
        <v>0</v>
      </c>
      <c r="AC64" s="35">
        <f>Table4[[#This Row],['# Lots]]-Table4[[#This Row],['# Lots14]]</f>
        <v>0</v>
      </c>
      <c r="AD64" s="61">
        <f t="shared" si="5"/>
        <v>0</v>
      </c>
      <c r="AE64" s="138">
        <v>46</v>
      </c>
      <c r="AF64" s="35">
        <v>49</v>
      </c>
      <c r="AG64" s="58">
        <v>48</v>
      </c>
      <c r="AH64" s="58">
        <v>48</v>
      </c>
      <c r="AI64" s="128">
        <f>Table4[[#This Row],[2022 Leased Lots20]]-Table4[[#This Row],[2019 Leased Lots23]]</f>
        <v>-2</v>
      </c>
      <c r="AJ64" s="61">
        <f t="shared" si="3"/>
        <v>0.8214285714285714</v>
      </c>
      <c r="AK64" s="139">
        <f>VLOOKUP($A64,Registry!$A$4:$AA$241,27,FALSE)</f>
        <v>429</v>
      </c>
      <c r="AL64" s="65">
        <v>411</v>
      </c>
      <c r="AM64" s="65">
        <v>412</v>
      </c>
      <c r="AN64" s="65">
        <v>396</v>
      </c>
      <c r="AO64" s="120">
        <f>IFERROR((AK64-Table4[[#This Row],[2019 Total Rent29]])/Table4[[#This Row],[2019 Total Rent29]], "-")</f>
        <v>8.3333333333333329E-2</v>
      </c>
    </row>
    <row r="65" spans="1:41" x14ac:dyDescent="0.25">
      <c r="A65" s="25">
        <v>79</v>
      </c>
      <c r="B65" s="54" t="str">
        <f>VLOOKUP(A65,Registry!$A$4:$AA$241,2,FALSE)</f>
        <v>River Hill Mobile Home Park</v>
      </c>
      <c r="C65" s="80" t="str">
        <f>VLOOKUP(A65,Registry!$A$4:$AA$241,3,FALSE)</f>
        <v>Chittenden</v>
      </c>
      <c r="D65" s="80" t="str">
        <f>VLOOKUP(A65,Registry!$A$4:$AA$241,4,FALSE)</f>
        <v>Essex</v>
      </c>
      <c r="E65" s="80">
        <f>IF(VLOOKUP(A65,Registry!$A$4:$AA$241,7,FALSE)=0,"",VLOOKUP(A65,Registry!$A$4:$AA$241,7,FALSE))</f>
        <v>1965</v>
      </c>
      <c r="F65" s="80" t="str">
        <f>IF(VLOOKUP(A65,Registry!$A$4:$AA$241,20,FALSE)=0,"",VLOOKUP(A65,Registry!$A$4:$AA$241,20,FALSE))</f>
        <v>For profit</v>
      </c>
      <c r="G65" s="25">
        <v>1978</v>
      </c>
      <c r="H65" s="24">
        <f>VLOOKUP(A65,Registry!$A$4:$AA$241,21,FALSE)</f>
        <v>15</v>
      </c>
      <c r="I65" s="24">
        <f>VLOOKUP(A65,Registry!$A$4:$AA$241,24,FALSE)</f>
        <v>0</v>
      </c>
      <c r="J65" s="24">
        <f>VLOOKUP(A65,Registry!$A$4:$AA$241,26,FALSE)</f>
        <v>0</v>
      </c>
      <c r="K65" s="28">
        <v>0</v>
      </c>
      <c r="L65" s="28">
        <v>0</v>
      </c>
      <c r="M65" s="128">
        <v>0</v>
      </c>
      <c r="N65" s="128">
        <v>0</v>
      </c>
      <c r="O65" s="128">
        <v>0</v>
      </c>
      <c r="P65" s="128">
        <v>0</v>
      </c>
      <c r="Q65" s="28">
        <f>I65-Table4[[#This Row],[Park Owned6]]</f>
        <v>0</v>
      </c>
      <c r="R65" s="28">
        <f>J65-Table4[[#This Row],[Other Owned7]]</f>
        <v>0</v>
      </c>
      <c r="S65" s="24">
        <f>VLOOKUP($A65,Registry!$A$4:$AA$241,23,FALSE)</f>
        <v>0</v>
      </c>
      <c r="T65" s="61">
        <f t="shared" si="0"/>
        <v>0</v>
      </c>
      <c r="U65" s="35">
        <v>0</v>
      </c>
      <c r="V65" s="90">
        <v>0</v>
      </c>
      <c r="W65" s="86">
        <v>0</v>
      </c>
      <c r="X65" s="90">
        <v>0</v>
      </c>
      <c r="Y65" s="86">
        <v>0</v>
      </c>
      <c r="Z65" s="90">
        <v>0</v>
      </c>
      <c r="AA65" s="35">
        <f>Table4[[#This Row],['# Lots]]-Table4[[#This Row],['# Lots10]]</f>
        <v>0</v>
      </c>
      <c r="AB65" s="61">
        <f t="shared" si="4"/>
        <v>0</v>
      </c>
      <c r="AC65" s="35">
        <f>Table4[[#This Row],['# Lots]]-Table4[[#This Row],['# Lots14]]</f>
        <v>0</v>
      </c>
      <c r="AD65" s="61">
        <f t="shared" si="5"/>
        <v>0</v>
      </c>
      <c r="AE65" s="138">
        <v>15</v>
      </c>
      <c r="AF65" s="35">
        <v>15</v>
      </c>
      <c r="AG65" s="58">
        <v>15</v>
      </c>
      <c r="AH65" s="58">
        <v>15</v>
      </c>
      <c r="AI65" s="128">
        <f>Table4[[#This Row],[2022 Leased Lots20]]-Table4[[#This Row],[2019 Leased Lots23]]</f>
        <v>0</v>
      </c>
      <c r="AJ65" s="61">
        <f t="shared" si="3"/>
        <v>1</v>
      </c>
      <c r="AK65" s="139">
        <f>VLOOKUP($A65,Registry!$A$4:$AA$241,27,FALSE)</f>
        <v>482</v>
      </c>
      <c r="AL65" s="65">
        <v>482</v>
      </c>
      <c r="AM65" s="65">
        <v>468</v>
      </c>
      <c r="AN65" s="65">
        <v>452</v>
      </c>
      <c r="AO65" s="120">
        <f>IFERROR((AK65-Table4[[#This Row],[2019 Total Rent29]])/Table4[[#This Row],[2019 Total Rent29]], "-")</f>
        <v>6.637168141592921E-2</v>
      </c>
    </row>
    <row r="66" spans="1:41" x14ac:dyDescent="0.25">
      <c r="A66" s="25">
        <v>139</v>
      </c>
      <c r="B66" s="54" t="str">
        <f>VLOOKUP(A66,Registry!$A$4:$AA$241,2,FALSE)</f>
        <v>Mountain View Mobile Home Park</v>
      </c>
      <c r="C66" s="80" t="str">
        <f>VLOOKUP(A66,Registry!$A$4:$AA$241,3,FALSE)</f>
        <v>Chittenden</v>
      </c>
      <c r="D66" s="80" t="str">
        <f>VLOOKUP(A66,Registry!$A$4:$AA$241,4,FALSE)</f>
        <v>Hinesburg</v>
      </c>
      <c r="E66" s="80">
        <f>IF(VLOOKUP(A66,Registry!$A$4:$AA$241,7,FALSE)=0,"",VLOOKUP(A66,Registry!$A$4:$AA$241,7,FALSE))</f>
        <v>1968</v>
      </c>
      <c r="F66" s="80" t="str">
        <f>IF(VLOOKUP(A66,Registry!$A$4:$AA$241,20,FALSE)=0,"",VLOOKUP(A66,Registry!$A$4:$AA$241,20,FALSE))</f>
        <v>Non-profit</v>
      </c>
      <c r="G66" s="25">
        <v>1989</v>
      </c>
      <c r="H66" s="24">
        <f>VLOOKUP(A66,Registry!$A$4:$AA$241,21,FALSE)</f>
        <v>52</v>
      </c>
      <c r="I66" s="24">
        <f>VLOOKUP(A66,Registry!$A$4:$AA$241,24,FALSE)</f>
        <v>0</v>
      </c>
      <c r="J66" s="24">
        <f>VLOOKUP(A66,Registry!$A$4:$AA$241,26,FALSE)</f>
        <v>0</v>
      </c>
      <c r="K66" s="28">
        <v>2</v>
      </c>
      <c r="L66" s="28">
        <v>0</v>
      </c>
      <c r="M66" s="128">
        <v>2</v>
      </c>
      <c r="N66" s="128">
        <v>0</v>
      </c>
      <c r="O66" s="128">
        <v>1</v>
      </c>
      <c r="P66" s="128">
        <v>0</v>
      </c>
      <c r="Q66" s="28">
        <f>I66-Table4[[#This Row],[Park Owned6]]</f>
        <v>-1</v>
      </c>
      <c r="R66" s="28">
        <f>J66-Table4[[#This Row],[Other Owned7]]</f>
        <v>0</v>
      </c>
      <c r="S66" s="24">
        <f>VLOOKUP($A66,Registry!$A$4:$AA$241,23,FALSE)</f>
        <v>3</v>
      </c>
      <c r="T66" s="61">
        <f t="shared" si="0"/>
        <v>5.7692307692307696E-2</v>
      </c>
      <c r="U66" s="35">
        <v>4</v>
      </c>
      <c r="V66" s="90">
        <v>7.6923076923076927E-2</v>
      </c>
      <c r="W66" s="86">
        <v>3</v>
      </c>
      <c r="X66" s="90">
        <v>5.7999999999999996E-2</v>
      </c>
      <c r="Y66" s="86">
        <v>4</v>
      </c>
      <c r="Z66" s="90">
        <v>7.6999999999999999E-2</v>
      </c>
      <c r="AA66" s="35">
        <f>Table4[[#This Row],['# Lots]]-Table4[[#This Row],['# Lots10]]</f>
        <v>-1</v>
      </c>
      <c r="AB66" s="61">
        <f t="shared" si="4"/>
        <v>-1.9230769230769232E-2</v>
      </c>
      <c r="AC66" s="35">
        <f>Table4[[#This Row],['# Lots]]-Table4[[#This Row],['# Lots14]]</f>
        <v>-1</v>
      </c>
      <c r="AD66" s="61">
        <f t="shared" si="5"/>
        <v>-1.9230769230769232E-2</v>
      </c>
      <c r="AE66" s="138">
        <v>46</v>
      </c>
      <c r="AF66" s="35">
        <v>47</v>
      </c>
      <c r="AG66" s="58">
        <v>47</v>
      </c>
      <c r="AH66" s="58">
        <v>48</v>
      </c>
      <c r="AI66" s="128">
        <f>Table4[[#This Row],[2022 Leased Lots20]]-Table4[[#This Row],[2019 Leased Lots23]]</f>
        <v>-2</v>
      </c>
      <c r="AJ66" s="61">
        <f t="shared" si="3"/>
        <v>0.88461538461538458</v>
      </c>
      <c r="AK66" s="139">
        <f>VLOOKUP($A66,Registry!$A$4:$AA$241,27,FALSE)</f>
        <v>462</v>
      </c>
      <c r="AL66" s="65">
        <v>462</v>
      </c>
      <c r="AM66" s="65">
        <v>449</v>
      </c>
      <c r="AN66" s="65">
        <v>437</v>
      </c>
      <c r="AO66" s="120">
        <f>IFERROR((AK66-Table4[[#This Row],[2019 Total Rent29]])/Table4[[#This Row],[2019 Total Rent29]], "-")</f>
        <v>5.7208237986270026E-2</v>
      </c>
    </row>
    <row r="67" spans="1:41" x14ac:dyDescent="0.25">
      <c r="A67" s="25">
        <v>101</v>
      </c>
      <c r="B67" s="54" t="str">
        <f>VLOOKUP(A67,Registry!$A$4:$AA$241,2,FALSE)</f>
        <v>Sunset Lake Cooperative</v>
      </c>
      <c r="C67" s="80" t="str">
        <f>VLOOKUP(A67,Registry!$A$4:$AA$241,3,FALSE)</f>
        <v>Chittenden</v>
      </c>
      <c r="D67" s="80" t="str">
        <f>VLOOKUP(A67,Registry!$A$4:$AA$241,4,FALSE)</f>
        <v>Hinesburg</v>
      </c>
      <c r="E67" s="80">
        <f>IF(VLOOKUP(A67,Registry!$A$4:$AA$241,7,FALSE)=0,"",VLOOKUP(A67,Registry!$A$4:$AA$241,7,FALSE))</f>
        <v>1962</v>
      </c>
      <c r="F67" s="80" t="str">
        <f>IF(VLOOKUP(A67,Registry!$A$4:$AA$241,20,FALSE)=0,"",VLOOKUP(A67,Registry!$A$4:$AA$241,20,FALSE))</f>
        <v>Cooperative</v>
      </c>
      <c r="G67" s="25">
        <v>2019</v>
      </c>
      <c r="H67" s="24">
        <f>VLOOKUP(A67,Registry!$A$4:$AA$241,21,FALSE)</f>
        <v>55</v>
      </c>
      <c r="I67" s="24">
        <f>VLOOKUP(A67,Registry!$A$4:$AA$241,24,FALSE)</f>
        <v>0</v>
      </c>
      <c r="J67" s="24">
        <f>VLOOKUP(A67,Registry!$A$4:$AA$241,26,FALSE)</f>
        <v>0</v>
      </c>
      <c r="K67" s="28">
        <v>0</v>
      </c>
      <c r="L67" s="28">
        <v>0</v>
      </c>
      <c r="M67" s="128">
        <v>0</v>
      </c>
      <c r="N67" s="128">
        <v>0</v>
      </c>
      <c r="O67" s="128">
        <v>0</v>
      </c>
      <c r="P67" s="128">
        <v>0</v>
      </c>
      <c r="Q67" s="28">
        <f>I67-Table4[[#This Row],[Park Owned6]]</f>
        <v>0</v>
      </c>
      <c r="R67" s="28">
        <f>J67-Table4[[#This Row],[Other Owned7]]</f>
        <v>0</v>
      </c>
      <c r="S67" s="24">
        <f>VLOOKUP($A67,Registry!$A$4:$AA$241,23,FALSE)</f>
        <v>1</v>
      </c>
      <c r="T67" s="61">
        <f t="shared" si="0"/>
        <v>1.8181818181818181E-2</v>
      </c>
      <c r="U67" s="35">
        <v>0</v>
      </c>
      <c r="V67" s="90">
        <v>0</v>
      </c>
      <c r="W67" s="86">
        <v>0</v>
      </c>
      <c r="X67" s="90">
        <v>0</v>
      </c>
      <c r="Y67" s="86">
        <v>2</v>
      </c>
      <c r="Z67" s="90">
        <v>3.6000000000000004E-2</v>
      </c>
      <c r="AA67" s="35">
        <f>Table4[[#This Row],['# Lots]]-Table4[[#This Row],['# Lots10]]</f>
        <v>1</v>
      </c>
      <c r="AB67" s="61">
        <f t="shared" si="4"/>
        <v>1.8181818181818181E-2</v>
      </c>
      <c r="AC67" s="35">
        <f>Table4[[#This Row],['# Lots]]-Table4[[#This Row],['# Lots14]]</f>
        <v>-1</v>
      </c>
      <c r="AD67" s="61">
        <f t="shared" si="5"/>
        <v>-1.8181818181818181E-2</v>
      </c>
      <c r="AE67" s="138">
        <v>54</v>
      </c>
      <c r="AF67" s="35">
        <v>54</v>
      </c>
      <c r="AG67" s="58">
        <v>53</v>
      </c>
      <c r="AH67" s="58">
        <v>53</v>
      </c>
      <c r="AI67" s="128">
        <f>Table4[[#This Row],[2022 Leased Lots20]]-Table4[[#This Row],[2019 Leased Lots23]]</f>
        <v>1</v>
      </c>
      <c r="AJ67" s="61">
        <f t="shared" si="3"/>
        <v>0.98181818181818181</v>
      </c>
      <c r="AK67" s="139">
        <f>VLOOKUP($A67,Registry!$A$4:$AA$241,27,FALSE)</f>
        <v>455</v>
      </c>
      <c r="AL67" s="65">
        <v>455</v>
      </c>
      <c r="AM67" s="65">
        <v>455</v>
      </c>
      <c r="AN67" s="65">
        <v>455</v>
      </c>
      <c r="AO67" s="120">
        <f>IFERROR((AK67-Table4[[#This Row],[2019 Total Rent29]])/Table4[[#This Row],[2019 Total Rent29]], "-")</f>
        <v>0</v>
      </c>
    </row>
    <row r="68" spans="1:41" x14ac:dyDescent="0.25">
      <c r="A68" s="25">
        <v>85</v>
      </c>
      <c r="B68" s="54" t="str">
        <f>VLOOKUP(A68,Registry!$A$4:$AA$241,2,FALSE)</f>
        <v>Triple L Mobile Home Park</v>
      </c>
      <c r="C68" s="80" t="str">
        <f>VLOOKUP(A68,Registry!$A$4:$AA$241,3,FALSE)</f>
        <v>Chittenden</v>
      </c>
      <c r="D68" s="80" t="str">
        <f>VLOOKUP(A68,Registry!$A$4:$AA$241,4,FALSE)</f>
        <v>Hinesburg</v>
      </c>
      <c r="E68" s="80">
        <f>IF(VLOOKUP(A68,Registry!$A$4:$AA$241,7,FALSE)=0,"",VLOOKUP(A68,Registry!$A$4:$AA$241,7,FALSE))</f>
        <v>1966</v>
      </c>
      <c r="F68" s="80" t="str">
        <f>IF(VLOOKUP(A68,Registry!$A$4:$AA$241,20,FALSE)=0,"",VLOOKUP(A68,Registry!$A$4:$AA$241,20,FALSE))</f>
        <v>For profit</v>
      </c>
      <c r="G68" s="25">
        <v>2011</v>
      </c>
      <c r="H68" s="24">
        <f>VLOOKUP(A68,Registry!$A$4:$AA$241,21,FALSE)</f>
        <v>65</v>
      </c>
      <c r="I68" s="24">
        <f>VLOOKUP(A68,Registry!$A$4:$AA$241,24,FALSE)</f>
        <v>2</v>
      </c>
      <c r="J68" s="24">
        <f>VLOOKUP(A68,Registry!$A$4:$AA$241,26,FALSE)</f>
        <v>0</v>
      </c>
      <c r="K68" s="28">
        <v>2</v>
      </c>
      <c r="L68" s="28">
        <v>0</v>
      </c>
      <c r="M68" s="128">
        <v>2</v>
      </c>
      <c r="N68" s="128">
        <v>0</v>
      </c>
      <c r="O68" s="128">
        <v>2</v>
      </c>
      <c r="P68" s="128">
        <v>0</v>
      </c>
      <c r="Q68" s="28">
        <f>I68-Table4[[#This Row],[Park Owned6]]</f>
        <v>0</v>
      </c>
      <c r="R68" s="28">
        <f>J68-Table4[[#This Row],[Other Owned7]]</f>
        <v>0</v>
      </c>
      <c r="S68" s="24">
        <f>VLOOKUP($A68,Registry!$A$4:$AA$241,23,FALSE)</f>
        <v>0</v>
      </c>
      <c r="T68" s="61">
        <f t="shared" ref="T68:T131" si="6">S68/$H68</f>
        <v>0</v>
      </c>
      <c r="U68" s="35">
        <v>1</v>
      </c>
      <c r="V68" s="90">
        <v>1.5151515151515152E-2</v>
      </c>
      <c r="W68" s="86">
        <v>0</v>
      </c>
      <c r="X68" s="90">
        <v>0</v>
      </c>
      <c r="Y68" s="86">
        <v>0</v>
      </c>
      <c r="Z68" s="90">
        <v>0</v>
      </c>
      <c r="AA68" s="35">
        <f>Table4[[#This Row],['# Lots]]-Table4[[#This Row],['# Lots10]]</f>
        <v>-1</v>
      </c>
      <c r="AB68" s="61">
        <f t="shared" ref="AB68:AB99" si="7">AA68/$H68</f>
        <v>-1.5384615384615385E-2</v>
      </c>
      <c r="AC68" s="35">
        <f>Table4[[#This Row],['# Lots]]-Table4[[#This Row],['# Lots14]]</f>
        <v>0</v>
      </c>
      <c r="AD68" s="61">
        <f t="shared" ref="AD68:AD99" si="8">AC68/$H68</f>
        <v>0</v>
      </c>
      <c r="AE68" s="138">
        <v>65</v>
      </c>
      <c r="AF68" s="35">
        <v>66</v>
      </c>
      <c r="AG68" s="58">
        <v>66</v>
      </c>
      <c r="AH68" s="58">
        <v>65</v>
      </c>
      <c r="AI68" s="128">
        <f>Table4[[#This Row],[2022 Leased Lots20]]-Table4[[#This Row],[2019 Leased Lots23]]</f>
        <v>0</v>
      </c>
      <c r="AJ68" s="61">
        <f t="shared" si="3"/>
        <v>1</v>
      </c>
      <c r="AK68" s="139">
        <f>VLOOKUP($A68,Registry!$A$4:$AA$241,27,FALSE)</f>
        <v>406</v>
      </c>
      <c r="AL68" s="65">
        <v>391</v>
      </c>
      <c r="AM68" s="65">
        <v>373</v>
      </c>
      <c r="AN68" s="65">
        <v>373</v>
      </c>
      <c r="AO68" s="120">
        <f>IFERROR((AK68-Table4[[#This Row],[2019 Total Rent29]])/Table4[[#This Row],[2019 Total Rent29]], "-")</f>
        <v>8.8471849865951746E-2</v>
      </c>
    </row>
    <row r="69" spans="1:41" x14ac:dyDescent="0.25">
      <c r="A69" s="25">
        <v>83</v>
      </c>
      <c r="B69" s="54" t="str">
        <f>VLOOKUP(A69,Registry!$A$4:$AA$241,2,FALSE)</f>
        <v>Birchwood Manor</v>
      </c>
      <c r="C69" s="80" t="str">
        <f>VLOOKUP(A69,Registry!$A$4:$AA$241,3,FALSE)</f>
        <v>Chittenden</v>
      </c>
      <c r="D69" s="80" t="str">
        <f>VLOOKUP(A69,Registry!$A$4:$AA$241,4,FALSE)</f>
        <v>Milton</v>
      </c>
      <c r="E69" s="80">
        <f>IF(VLOOKUP(A69,Registry!$A$4:$AA$241,7,FALSE)=0,"",VLOOKUP(A69,Registry!$A$4:$AA$241,7,FALSE))</f>
        <v>1966</v>
      </c>
      <c r="F69" s="80" t="str">
        <f>IF(VLOOKUP(A69,Registry!$A$4:$AA$241,20,FALSE)=0,"",VLOOKUP(A69,Registry!$A$4:$AA$241,20,FALSE))</f>
        <v>Non-profit</v>
      </c>
      <c r="G69" s="25">
        <v>2000</v>
      </c>
      <c r="H69" s="24">
        <f>VLOOKUP(A69,Registry!$A$4:$AA$241,21,FALSE)</f>
        <v>172</v>
      </c>
      <c r="I69" s="24">
        <f>VLOOKUP(A69,Registry!$A$4:$AA$241,24,FALSE)</f>
        <v>0</v>
      </c>
      <c r="J69" s="24">
        <f>VLOOKUP(A69,Registry!$A$4:$AA$241,26,FALSE)</f>
        <v>0</v>
      </c>
      <c r="K69" s="128">
        <v>1</v>
      </c>
      <c r="L69" s="128">
        <v>0</v>
      </c>
      <c r="M69" s="128">
        <v>5</v>
      </c>
      <c r="N69" s="128">
        <v>0</v>
      </c>
      <c r="O69" s="128">
        <v>0</v>
      </c>
      <c r="P69" s="128">
        <v>1</v>
      </c>
      <c r="Q69" s="28">
        <f>I69-Table4[[#This Row],[Park Owned6]]</f>
        <v>0</v>
      </c>
      <c r="R69" s="28">
        <f>J69-Table4[[#This Row],[Other Owned7]]</f>
        <v>-1</v>
      </c>
      <c r="S69" s="24">
        <f>VLOOKUP($A69,Registry!$A$4:$AA$241,23,FALSE)</f>
        <v>5</v>
      </c>
      <c r="T69" s="61">
        <f t="shared" si="6"/>
        <v>2.9069767441860465E-2</v>
      </c>
      <c r="U69" s="35">
        <v>6</v>
      </c>
      <c r="V69" s="90">
        <v>3.4883720930232558E-2</v>
      </c>
      <c r="W69" s="86">
        <v>3</v>
      </c>
      <c r="X69" s="90">
        <v>1.7000000000000001E-2</v>
      </c>
      <c r="Y69" s="86">
        <v>6</v>
      </c>
      <c r="Z69" s="90">
        <v>3.5000000000000003E-2</v>
      </c>
      <c r="AA69" s="35">
        <f>Table4[[#This Row],['# Lots]]-Table4[[#This Row],['# Lots10]]</f>
        <v>-1</v>
      </c>
      <c r="AB69" s="61">
        <f t="shared" si="7"/>
        <v>-5.8139534883720929E-3</v>
      </c>
      <c r="AC69" s="35">
        <f>Table4[[#This Row],['# Lots]]-Table4[[#This Row],['# Lots14]]</f>
        <v>-1</v>
      </c>
      <c r="AD69" s="61">
        <f t="shared" si="8"/>
        <v>-5.8139534883720929E-3</v>
      </c>
      <c r="AE69" s="138">
        <v>165</v>
      </c>
      <c r="AF69" s="35">
        <v>166</v>
      </c>
      <c r="AG69" s="58">
        <v>166</v>
      </c>
      <c r="AH69" s="58">
        <v>167</v>
      </c>
      <c r="AI69" s="128">
        <f>Table4[[#This Row],[2022 Leased Lots20]]-Table4[[#This Row],[2019 Leased Lots23]]</f>
        <v>-2</v>
      </c>
      <c r="AJ69" s="61">
        <f t="shared" ref="AJ69:AJ132" si="9">AE69/H69</f>
        <v>0.95930232558139539</v>
      </c>
      <c r="AK69" s="139">
        <f>VLOOKUP($A69,Registry!$A$4:$AA$241,27,FALSE)</f>
        <v>357</v>
      </c>
      <c r="AL69" s="65">
        <v>342</v>
      </c>
      <c r="AM69" s="65">
        <v>332</v>
      </c>
      <c r="AN69" s="65">
        <v>320</v>
      </c>
      <c r="AO69" s="120">
        <f>IFERROR((AK69-Table4[[#This Row],[2019 Total Rent29]])/Table4[[#This Row],[2019 Total Rent29]], "-")</f>
        <v>0.11562500000000001</v>
      </c>
    </row>
    <row r="70" spans="1:41" x14ac:dyDescent="0.25">
      <c r="A70" s="25">
        <v>91</v>
      </c>
      <c r="B70" s="54" t="str">
        <f>VLOOKUP(A70,Registry!$A$4:$AA$241,2,FALSE)</f>
        <v>Milton Mobile Home Cooperative, Inc.</v>
      </c>
      <c r="C70" s="80" t="str">
        <f>VLOOKUP(A70,Registry!$A$4:$AA$241,3,FALSE)</f>
        <v>Chittenden</v>
      </c>
      <c r="D70" s="80" t="str">
        <f>VLOOKUP(A70,Registry!$A$4:$AA$241,4,FALSE)</f>
        <v>Milton</v>
      </c>
      <c r="E70" s="80">
        <f>IF(VLOOKUP(A70,Registry!$A$4:$AA$241,7,FALSE)=0,"",VLOOKUP(A70,Registry!$A$4:$AA$241,7,FALSE))</f>
        <v>1968</v>
      </c>
      <c r="F70" s="80" t="str">
        <f>IF(VLOOKUP(A70,Registry!$A$4:$AA$241,20,FALSE)=0,"",VLOOKUP(A70,Registry!$A$4:$AA$241,20,FALSE))</f>
        <v>Cooperative</v>
      </c>
      <c r="G70" s="25">
        <v>2012</v>
      </c>
      <c r="H70" s="24">
        <f>VLOOKUP(A70,Registry!$A$4:$AA$241,21,FALSE)</f>
        <v>100</v>
      </c>
      <c r="I70" s="24">
        <f>VLOOKUP(A70,Registry!$A$4:$AA$241,24,FALSE)</f>
        <v>0</v>
      </c>
      <c r="J70" s="24">
        <f>VLOOKUP(A70,Registry!$A$4:$AA$241,26,FALSE)</f>
        <v>0</v>
      </c>
      <c r="K70" s="128">
        <v>0</v>
      </c>
      <c r="L70" s="128">
        <v>0</v>
      </c>
      <c r="M70" s="128">
        <v>0</v>
      </c>
      <c r="N70" s="128">
        <v>0</v>
      </c>
      <c r="O70" s="128">
        <v>0</v>
      </c>
      <c r="P70" s="128">
        <v>0</v>
      </c>
      <c r="Q70" s="28">
        <f>I70-Table4[[#This Row],[Park Owned6]]</f>
        <v>0</v>
      </c>
      <c r="R70" s="28">
        <f>J70-Table4[[#This Row],[Other Owned7]]</f>
        <v>0</v>
      </c>
      <c r="S70" s="24">
        <f>VLOOKUP($A70,Registry!$A$4:$AA$241,23,FALSE)</f>
        <v>0</v>
      </c>
      <c r="T70" s="61">
        <f t="shared" si="6"/>
        <v>0</v>
      </c>
      <c r="U70" s="35">
        <v>0</v>
      </c>
      <c r="V70" s="90">
        <v>0</v>
      </c>
      <c r="W70" s="86">
        <v>0</v>
      </c>
      <c r="X70" s="90">
        <v>0</v>
      </c>
      <c r="Y70" s="86">
        <v>0</v>
      </c>
      <c r="Z70" s="90">
        <v>0</v>
      </c>
      <c r="AA70" s="35">
        <f>Table4[[#This Row],['# Lots]]-Table4[[#This Row],['# Lots10]]</f>
        <v>0</v>
      </c>
      <c r="AB70" s="61">
        <f t="shared" si="7"/>
        <v>0</v>
      </c>
      <c r="AC70" s="35">
        <f>Table4[[#This Row],['# Lots]]-Table4[[#This Row],['# Lots14]]</f>
        <v>0</v>
      </c>
      <c r="AD70" s="61">
        <f t="shared" si="8"/>
        <v>0</v>
      </c>
      <c r="AE70" s="138">
        <v>100</v>
      </c>
      <c r="AF70" s="35">
        <v>100</v>
      </c>
      <c r="AG70" s="58">
        <v>100</v>
      </c>
      <c r="AH70" s="58">
        <v>100</v>
      </c>
      <c r="AI70" s="128">
        <f>Table4[[#This Row],[2022 Leased Lots20]]-Table4[[#This Row],[2019 Leased Lots23]]</f>
        <v>0</v>
      </c>
      <c r="AJ70" s="61">
        <f t="shared" si="9"/>
        <v>1</v>
      </c>
      <c r="AK70" s="139">
        <f>VLOOKUP($A70,Registry!$A$4:$AA$241,27,FALSE)</f>
        <v>390</v>
      </c>
      <c r="AL70" s="65">
        <v>390</v>
      </c>
      <c r="AM70" s="65">
        <v>390</v>
      </c>
      <c r="AN70" s="65">
        <v>390</v>
      </c>
      <c r="AO70" s="120">
        <f>IFERROR((AK70-Table4[[#This Row],[2019 Total Rent29]])/Table4[[#This Row],[2019 Total Rent29]], "-")</f>
        <v>0</v>
      </c>
    </row>
    <row r="71" spans="1:41" x14ac:dyDescent="0.25">
      <c r="A71" s="25">
        <v>126</v>
      </c>
      <c r="B71" s="54" t="str">
        <f>VLOOKUP(A71,Registry!$A$4:$AA$241,2,FALSE)</f>
        <v>Woodbriar Mobile Home Park</v>
      </c>
      <c r="C71" s="80" t="str">
        <f>VLOOKUP(A71,Registry!$A$4:$AA$241,3,FALSE)</f>
        <v>Chittenden</v>
      </c>
      <c r="D71" s="80" t="str">
        <f>VLOOKUP(A71,Registry!$A$4:$AA$241,4,FALSE)</f>
        <v>Milton</v>
      </c>
      <c r="E71" s="80">
        <f>IF(VLOOKUP(A71,Registry!$A$4:$AA$241,7,FALSE)=0,"",VLOOKUP(A71,Registry!$A$4:$AA$241,7,FALSE))</f>
        <v>1957</v>
      </c>
      <c r="F71" s="80" t="str">
        <f>IF(VLOOKUP(A71,Registry!$A$4:$AA$241,20,FALSE)=0,"",VLOOKUP(A71,Registry!$A$4:$AA$241,20,FALSE))</f>
        <v>For profit</v>
      </c>
      <c r="G71" s="25">
        <v>1993</v>
      </c>
      <c r="H71" s="24">
        <f>VLOOKUP(A71,Registry!$A$4:$AA$241,21,FALSE)</f>
        <v>51</v>
      </c>
      <c r="I71" s="24">
        <f>VLOOKUP(A71,Registry!$A$4:$AA$241,24,FALSE)</f>
        <v>0</v>
      </c>
      <c r="J71" s="24">
        <f>VLOOKUP(A71,Registry!$A$4:$AA$241,26,FALSE)</f>
        <v>0</v>
      </c>
      <c r="K71" s="128">
        <v>0</v>
      </c>
      <c r="L71" s="128">
        <v>0</v>
      </c>
      <c r="M71" s="128">
        <v>0</v>
      </c>
      <c r="N71" s="128">
        <v>0</v>
      </c>
      <c r="O71" s="128">
        <v>0</v>
      </c>
      <c r="P71" s="128">
        <v>0</v>
      </c>
      <c r="Q71" s="28">
        <f>I71-Table4[[#This Row],[Park Owned6]]</f>
        <v>0</v>
      </c>
      <c r="R71" s="28">
        <f>J71-Table4[[#This Row],[Other Owned7]]</f>
        <v>0</v>
      </c>
      <c r="S71" s="24">
        <f>VLOOKUP($A71,Registry!$A$4:$AA$241,23,FALSE)</f>
        <v>0</v>
      </c>
      <c r="T71" s="61">
        <f t="shared" si="6"/>
        <v>0</v>
      </c>
      <c r="U71" s="35">
        <v>0</v>
      </c>
      <c r="V71" s="90">
        <v>0</v>
      </c>
      <c r="W71" s="86">
        <v>0</v>
      </c>
      <c r="X71" s="90">
        <v>0</v>
      </c>
      <c r="Y71" s="86">
        <v>1</v>
      </c>
      <c r="Z71" s="90">
        <v>0.02</v>
      </c>
      <c r="AA71" s="35">
        <f>Table4[[#This Row],['# Lots]]-Table4[[#This Row],['# Lots10]]</f>
        <v>0</v>
      </c>
      <c r="AB71" s="61">
        <f t="shared" si="7"/>
        <v>0</v>
      </c>
      <c r="AC71" s="35">
        <f>Table4[[#This Row],['# Lots]]-Table4[[#This Row],['# Lots14]]</f>
        <v>-1</v>
      </c>
      <c r="AD71" s="61">
        <f t="shared" si="8"/>
        <v>-1.9607843137254902E-2</v>
      </c>
      <c r="AE71" s="138">
        <v>51</v>
      </c>
      <c r="AF71" s="35">
        <v>51</v>
      </c>
      <c r="AG71" s="58">
        <v>50</v>
      </c>
      <c r="AH71" s="58">
        <v>49</v>
      </c>
      <c r="AI71" s="128">
        <f>Table4[[#This Row],[2022 Leased Lots20]]-Table4[[#This Row],[2019 Leased Lots23]]</f>
        <v>2</v>
      </c>
      <c r="AJ71" s="61">
        <f t="shared" si="9"/>
        <v>1</v>
      </c>
      <c r="AK71" s="139">
        <f>VLOOKUP($A71,Registry!$A$4:$AA$241,27,FALSE)</f>
        <v>351</v>
      </c>
      <c r="AL71" s="65">
        <v>351</v>
      </c>
      <c r="AM71" s="65">
        <v>341</v>
      </c>
      <c r="AN71" s="65">
        <v>341</v>
      </c>
      <c r="AO71" s="120">
        <f>IFERROR((AK71-Table4[[#This Row],[2019 Total Rent29]])/Table4[[#This Row],[2019 Total Rent29]], "-")</f>
        <v>2.932551319648094E-2</v>
      </c>
    </row>
    <row r="72" spans="1:41" x14ac:dyDescent="0.25">
      <c r="A72" s="25">
        <v>238</v>
      </c>
      <c r="B72" s="54" t="str">
        <f>VLOOKUP(A72,Registry!$A$4:$AA$241,2,FALSE)</f>
        <v>Riverview Commons</v>
      </c>
      <c r="C72" s="80" t="str">
        <f>VLOOKUP(A72,Registry!$A$4:$AA$241,3,FALSE)</f>
        <v>Chittenden</v>
      </c>
      <c r="D72" s="80" t="str">
        <f>VLOOKUP(A72,Registry!$A$4:$AA$241,4,FALSE)</f>
        <v>Richmond</v>
      </c>
      <c r="E72" s="80">
        <f>IF(VLOOKUP(A72,Registry!$A$4:$AA$241,7,FALSE)=0,"",VLOOKUP(A72,Registry!$A$4:$AA$241,7,FALSE))</f>
        <v>1960</v>
      </c>
      <c r="F72" s="80" t="str">
        <f>IF(VLOOKUP(A72,Registry!$A$4:$AA$241,20,FALSE)=0,"",VLOOKUP(A72,Registry!$A$4:$AA$241,20,FALSE))</f>
        <v>For profit</v>
      </c>
      <c r="G72" s="25">
        <v>1984</v>
      </c>
      <c r="H72" s="24">
        <f>VLOOKUP(A72,Registry!$A$4:$AA$241,21,FALSE)</f>
        <v>150</v>
      </c>
      <c r="I72" s="24">
        <f>VLOOKUP(A72,Registry!$A$4:$AA$241,24,FALSE)</f>
        <v>0</v>
      </c>
      <c r="J72" s="24">
        <f>VLOOKUP(A72,Registry!$A$4:$AA$241,26,FALSE)</f>
        <v>0</v>
      </c>
      <c r="K72" s="128">
        <v>0</v>
      </c>
      <c r="L72" s="128">
        <v>0</v>
      </c>
      <c r="M72" s="128">
        <v>0</v>
      </c>
      <c r="N72" s="128">
        <v>0</v>
      </c>
      <c r="O72" s="128">
        <v>0</v>
      </c>
      <c r="P72" s="128">
        <v>0</v>
      </c>
      <c r="Q72" s="28">
        <f>I72-Table4[[#This Row],[Park Owned6]]</f>
        <v>0</v>
      </c>
      <c r="R72" s="28">
        <f>J72-Table4[[#This Row],[Other Owned7]]</f>
        <v>0</v>
      </c>
      <c r="S72" s="24">
        <f>VLOOKUP($A72,Registry!$A$4:$AA$241,23,FALSE)</f>
        <v>1</v>
      </c>
      <c r="T72" s="61">
        <f t="shared" si="6"/>
        <v>6.6666666666666671E-3</v>
      </c>
      <c r="U72" s="35">
        <v>1</v>
      </c>
      <c r="V72" s="90">
        <v>6.6666666666666671E-3</v>
      </c>
      <c r="W72" s="86">
        <v>1</v>
      </c>
      <c r="X72" s="90">
        <v>6.9999999999999993E-3</v>
      </c>
      <c r="Y72" s="86">
        <v>0</v>
      </c>
      <c r="Z72" s="90">
        <v>0</v>
      </c>
      <c r="AA72" s="35">
        <f>Table4[[#This Row],['# Lots]]-Table4[[#This Row],['# Lots10]]</f>
        <v>0</v>
      </c>
      <c r="AB72" s="61">
        <f t="shared" si="7"/>
        <v>0</v>
      </c>
      <c r="AC72" s="35">
        <f>Table4[[#This Row],['# Lots]]-Table4[[#This Row],['# Lots14]]</f>
        <v>1</v>
      </c>
      <c r="AD72" s="61">
        <f t="shared" si="8"/>
        <v>6.6666666666666671E-3</v>
      </c>
      <c r="AE72" s="138">
        <v>148</v>
      </c>
      <c r="AF72" s="35">
        <v>148</v>
      </c>
      <c r="AG72" s="58">
        <v>150</v>
      </c>
      <c r="AH72" s="58">
        <v>147</v>
      </c>
      <c r="AI72" s="128">
        <f>Table4[[#This Row],[2022 Leased Lots20]]-Table4[[#This Row],[2019 Leased Lots23]]</f>
        <v>1</v>
      </c>
      <c r="AJ72" s="61">
        <f t="shared" si="9"/>
        <v>0.98666666666666669</v>
      </c>
      <c r="AK72" s="139">
        <f>VLOOKUP($A72,Registry!$A$4:$AA$241,27,FALSE)</f>
        <v>550</v>
      </c>
      <c r="AL72" s="65">
        <v>535</v>
      </c>
      <c r="AM72" s="65">
        <v>520</v>
      </c>
      <c r="AN72" s="65">
        <v>520</v>
      </c>
      <c r="AO72" s="120">
        <f>IFERROR((AK72-Table4[[#This Row],[2019 Total Rent29]])/Table4[[#This Row],[2019 Total Rent29]], "-")</f>
        <v>5.7692307692307696E-2</v>
      </c>
    </row>
    <row r="73" spans="1:41" x14ac:dyDescent="0.25">
      <c r="A73" s="25">
        <v>82</v>
      </c>
      <c r="B73" s="54" t="str">
        <f>VLOOKUP(A73,Registry!$A$4:$AA$241,2,FALSE)</f>
        <v>Lakeview Mobile Home Park</v>
      </c>
      <c r="C73" s="80" t="str">
        <f>VLOOKUP(A73,Registry!$A$4:$AA$241,3,FALSE)</f>
        <v>Chittenden</v>
      </c>
      <c r="D73" s="80" t="str">
        <f>VLOOKUP(A73,Registry!$A$4:$AA$241,4,FALSE)</f>
        <v>Shelburne</v>
      </c>
      <c r="E73" s="80">
        <f>IF(VLOOKUP(A73,Registry!$A$4:$AA$241,7,FALSE)=0,"",VLOOKUP(A73,Registry!$A$4:$AA$241,7,FALSE))</f>
        <v>1959</v>
      </c>
      <c r="F73" s="80" t="str">
        <f>IF(VLOOKUP(A73,Registry!$A$4:$AA$241,20,FALSE)=0,"",VLOOKUP(A73,Registry!$A$4:$AA$241,20,FALSE))</f>
        <v>Cooperative</v>
      </c>
      <c r="G73" s="25">
        <v>2019</v>
      </c>
      <c r="H73" s="24">
        <f>VLOOKUP(A73,Registry!$A$4:$AA$241,21,FALSE)</f>
        <v>64</v>
      </c>
      <c r="I73" s="24">
        <f>VLOOKUP(A73,Registry!$A$4:$AA$241,24,FALSE)</f>
        <v>0</v>
      </c>
      <c r="J73" s="24">
        <f>VLOOKUP(A73,Registry!$A$4:$AA$241,26,FALSE)</f>
        <v>0</v>
      </c>
      <c r="K73" s="128">
        <v>0</v>
      </c>
      <c r="L73" s="128">
        <v>0</v>
      </c>
      <c r="M73" s="128">
        <v>0</v>
      </c>
      <c r="N73" s="128">
        <v>0</v>
      </c>
      <c r="O73" s="128">
        <v>0</v>
      </c>
      <c r="P73" s="128">
        <v>0</v>
      </c>
      <c r="Q73" s="28">
        <f>I73-Table4[[#This Row],[Park Owned6]]</f>
        <v>0</v>
      </c>
      <c r="R73" s="28">
        <f>J73-Table4[[#This Row],[Other Owned7]]</f>
        <v>0</v>
      </c>
      <c r="S73" s="24">
        <f>VLOOKUP($A73,Registry!$A$4:$AA$241,23,FALSE)</f>
        <v>0</v>
      </c>
      <c r="T73" s="61">
        <f t="shared" si="6"/>
        <v>0</v>
      </c>
      <c r="U73" s="35">
        <v>0</v>
      </c>
      <c r="V73" s="90">
        <v>0</v>
      </c>
      <c r="W73" s="86">
        <v>0</v>
      </c>
      <c r="X73" s="90">
        <v>0</v>
      </c>
      <c r="Y73" s="86">
        <v>0</v>
      </c>
      <c r="Z73" s="90">
        <v>0</v>
      </c>
      <c r="AA73" s="35">
        <f>Table4[[#This Row],['# Lots]]-Table4[[#This Row],['# Lots10]]</f>
        <v>0</v>
      </c>
      <c r="AB73" s="61">
        <f t="shared" si="7"/>
        <v>0</v>
      </c>
      <c r="AC73" s="35">
        <f>Table4[[#This Row],['# Lots]]-Table4[[#This Row],['# Lots14]]</f>
        <v>0</v>
      </c>
      <c r="AD73" s="61">
        <f t="shared" si="8"/>
        <v>0</v>
      </c>
      <c r="AE73" s="138">
        <v>64</v>
      </c>
      <c r="AF73" s="35">
        <v>64</v>
      </c>
      <c r="AG73" s="58">
        <v>64</v>
      </c>
      <c r="AH73" s="58">
        <v>64</v>
      </c>
      <c r="AI73" s="128">
        <f>Table4[[#This Row],[2022 Leased Lots20]]-Table4[[#This Row],[2019 Leased Lots23]]</f>
        <v>0</v>
      </c>
      <c r="AJ73" s="61">
        <f t="shared" si="9"/>
        <v>1</v>
      </c>
      <c r="AK73" s="139">
        <f>VLOOKUP($A73,Registry!$A$4:$AA$241,27,FALSE)</f>
        <v>323</v>
      </c>
      <c r="AL73" s="65">
        <v>323</v>
      </c>
      <c r="AM73" s="65">
        <v>323</v>
      </c>
      <c r="AN73" s="65">
        <v>323</v>
      </c>
      <c r="AO73" s="120">
        <f>IFERROR((AK73-Table4[[#This Row],[2019 Total Rent29]])/Table4[[#This Row],[2019 Total Rent29]], "-")</f>
        <v>0</v>
      </c>
    </row>
    <row r="74" spans="1:41" x14ac:dyDescent="0.25">
      <c r="A74" s="25">
        <v>96</v>
      </c>
      <c r="B74" s="54" t="str">
        <f>VLOOKUP(A74,Registry!$A$4:$AA$241,2,FALSE)</f>
        <v>Livingston's Trailer Park</v>
      </c>
      <c r="C74" s="80" t="str">
        <f>VLOOKUP(A74,Registry!$A$4:$AA$241,3,FALSE)</f>
        <v>Chittenden</v>
      </c>
      <c r="D74" s="80" t="str">
        <f>VLOOKUP(A74,Registry!$A$4:$AA$241,4,FALSE)</f>
        <v>Shelburne</v>
      </c>
      <c r="E74" s="80">
        <f>IF(VLOOKUP(A74,Registry!$A$4:$AA$241,7,FALSE)=0,"",VLOOKUP(A74,Registry!$A$4:$AA$241,7,FALSE))</f>
        <v>1965</v>
      </c>
      <c r="F74" s="80" t="str">
        <f>IF(VLOOKUP(A74,Registry!$A$4:$AA$241,20,FALSE)=0,"",VLOOKUP(A74,Registry!$A$4:$AA$241,20,FALSE))</f>
        <v>For profit</v>
      </c>
      <c r="G74" s="25">
        <v>1977</v>
      </c>
      <c r="H74" s="24">
        <f>VLOOKUP(A74,Registry!$A$4:$AA$241,21,FALSE)</f>
        <v>17</v>
      </c>
      <c r="I74" s="24">
        <f>VLOOKUP(A74,Registry!$A$4:$AA$241,24,FALSE)</f>
        <v>16</v>
      </c>
      <c r="J74" s="24">
        <f>VLOOKUP(A74,Registry!$A$4:$AA$241,26,FALSE)</f>
        <v>0</v>
      </c>
      <c r="K74" s="128">
        <v>16</v>
      </c>
      <c r="L74" s="128">
        <v>0</v>
      </c>
      <c r="M74" s="128">
        <v>16</v>
      </c>
      <c r="N74" s="128">
        <v>0</v>
      </c>
      <c r="O74" s="128">
        <v>15</v>
      </c>
      <c r="P74" s="128">
        <v>1</v>
      </c>
      <c r="Q74" s="28">
        <f>I74-Table4[[#This Row],[Park Owned6]]</f>
        <v>1</v>
      </c>
      <c r="R74" s="28">
        <f>J74-Table4[[#This Row],[Other Owned7]]</f>
        <v>-1</v>
      </c>
      <c r="S74" s="24">
        <f>VLOOKUP($A74,Registry!$A$4:$AA$241,23,FALSE)</f>
        <v>0</v>
      </c>
      <c r="T74" s="61">
        <f t="shared" si="6"/>
        <v>0</v>
      </c>
      <c r="U74" s="35">
        <v>0</v>
      </c>
      <c r="V74" s="90">
        <v>0</v>
      </c>
      <c r="W74" s="86">
        <v>0</v>
      </c>
      <c r="X74" s="90">
        <v>0</v>
      </c>
      <c r="Y74" s="86">
        <v>0</v>
      </c>
      <c r="Z74" s="90">
        <v>0</v>
      </c>
      <c r="AA74" s="35">
        <f>Table4[[#This Row],['# Lots]]-Table4[[#This Row],['# Lots10]]</f>
        <v>0</v>
      </c>
      <c r="AB74" s="61">
        <f t="shared" si="7"/>
        <v>0</v>
      </c>
      <c r="AC74" s="35">
        <f>Table4[[#This Row],['# Lots]]-Table4[[#This Row],['# Lots14]]</f>
        <v>0</v>
      </c>
      <c r="AD74" s="61">
        <f t="shared" si="8"/>
        <v>0</v>
      </c>
      <c r="AE74" s="138">
        <v>17</v>
      </c>
      <c r="AF74" s="35">
        <v>16</v>
      </c>
      <c r="AG74" s="58">
        <v>15</v>
      </c>
      <c r="AH74" s="58">
        <v>17</v>
      </c>
      <c r="AI74" s="128">
        <f>Table4[[#This Row],[2022 Leased Lots20]]-Table4[[#This Row],[2019 Leased Lots23]]</f>
        <v>0</v>
      </c>
      <c r="AJ74" s="61">
        <f t="shared" si="9"/>
        <v>1</v>
      </c>
      <c r="AK74" s="139">
        <f>VLOOKUP($A74,Registry!$A$4:$AA$241,27,FALSE)</f>
        <v>300</v>
      </c>
      <c r="AL74" s="65">
        <v>300</v>
      </c>
      <c r="AM74" s="65">
        <v>300</v>
      </c>
      <c r="AN74" s="65">
        <v>300</v>
      </c>
      <c r="AO74" s="120">
        <f>IFERROR((AK74-Table4[[#This Row],[2019 Total Rent29]])/Table4[[#This Row],[2019 Total Rent29]], "-")</f>
        <v>0</v>
      </c>
    </row>
    <row r="75" spans="1:41" x14ac:dyDescent="0.25">
      <c r="A75" s="25">
        <v>279</v>
      </c>
      <c r="B75" s="54" t="str">
        <f>VLOOKUP(A75,Registry!$A$4:$AA$241,2,FALSE)</f>
        <v>Shelburnewood Cooperative, Inc.</v>
      </c>
      <c r="C75" s="80" t="str">
        <f>VLOOKUP(A75,Registry!$A$4:$AA$241,3,FALSE)</f>
        <v>Chittenden</v>
      </c>
      <c r="D75" s="80" t="str">
        <f>VLOOKUP(A75,Registry!$A$4:$AA$241,4,FALSE)</f>
        <v>Shelburne</v>
      </c>
      <c r="E75" s="80">
        <f>IF(VLOOKUP(A75,Registry!$A$4:$AA$241,7,FALSE)=0,"",VLOOKUP(A75,Registry!$A$4:$AA$241,7,FALSE))</f>
        <v>1950</v>
      </c>
      <c r="F75" s="80" t="str">
        <f>IF(VLOOKUP(A75,Registry!$A$4:$AA$241,20,FALSE)=0,"",VLOOKUP(A75,Registry!$A$4:$AA$241,20,FALSE))</f>
        <v>Cooperative</v>
      </c>
      <c r="G75" s="25">
        <v>2015</v>
      </c>
      <c r="H75" s="24">
        <f>VLOOKUP(A75,Registry!$A$4:$AA$241,21,FALSE)</f>
        <v>28</v>
      </c>
      <c r="I75" s="24">
        <f>VLOOKUP(A75,Registry!$A$4:$AA$241,24,FALSE)</f>
        <v>0</v>
      </c>
      <c r="J75" s="24">
        <f>VLOOKUP(A75,Registry!$A$4:$AA$241,26,FALSE)</f>
        <v>0</v>
      </c>
      <c r="K75" s="128">
        <v>0</v>
      </c>
      <c r="L75" s="128">
        <v>0</v>
      </c>
      <c r="M75" s="128">
        <v>0</v>
      </c>
      <c r="N75" s="128">
        <v>0</v>
      </c>
      <c r="O75" s="128">
        <v>0</v>
      </c>
      <c r="P75" s="128">
        <v>0</v>
      </c>
      <c r="Q75" s="28">
        <f>I75-Table4[[#This Row],[Park Owned6]]</f>
        <v>0</v>
      </c>
      <c r="R75" s="28">
        <f>J75-Table4[[#This Row],[Other Owned7]]</f>
        <v>0</v>
      </c>
      <c r="S75" s="24">
        <f>VLOOKUP($A75,Registry!$A$4:$AA$241,23,FALSE)</f>
        <v>0</v>
      </c>
      <c r="T75" s="61">
        <f t="shared" si="6"/>
        <v>0</v>
      </c>
      <c r="U75" s="35">
        <v>0</v>
      </c>
      <c r="V75" s="90">
        <v>0</v>
      </c>
      <c r="W75" s="86">
        <v>0</v>
      </c>
      <c r="X75" s="90">
        <v>0</v>
      </c>
      <c r="Y75" s="86">
        <v>0</v>
      </c>
      <c r="Z75" s="90">
        <v>0</v>
      </c>
      <c r="AA75" s="35">
        <f>Table4[[#This Row],['# Lots]]-Table4[[#This Row],['# Lots10]]</f>
        <v>0</v>
      </c>
      <c r="AB75" s="61">
        <f t="shared" si="7"/>
        <v>0</v>
      </c>
      <c r="AC75" s="35">
        <f>Table4[[#This Row],['# Lots]]-Table4[[#This Row],['# Lots14]]</f>
        <v>0</v>
      </c>
      <c r="AD75" s="61">
        <f t="shared" si="8"/>
        <v>0</v>
      </c>
      <c r="AE75" s="138">
        <v>28</v>
      </c>
      <c r="AF75" s="35">
        <v>27</v>
      </c>
      <c r="AG75" s="58">
        <v>28</v>
      </c>
      <c r="AH75" s="58">
        <v>27</v>
      </c>
      <c r="AI75" s="128">
        <f>Table4[[#This Row],[2022 Leased Lots20]]-Table4[[#This Row],[2019 Leased Lots23]]</f>
        <v>1</v>
      </c>
      <c r="AJ75" s="61">
        <f t="shared" si="9"/>
        <v>1</v>
      </c>
      <c r="AK75" s="139">
        <f>VLOOKUP($A75,Registry!$A$4:$AA$241,27,FALSE)</f>
        <v>318</v>
      </c>
      <c r="AL75" s="65">
        <v>345</v>
      </c>
      <c r="AM75" s="65">
        <v>342</v>
      </c>
      <c r="AN75" s="65">
        <v>336</v>
      </c>
      <c r="AO75" s="120">
        <f>IFERROR((AK75-Table4[[#This Row],[2019 Total Rent29]])/Table4[[#This Row],[2019 Total Rent29]], "-")</f>
        <v>-5.3571428571428568E-2</v>
      </c>
    </row>
    <row r="76" spans="1:41" x14ac:dyDescent="0.25">
      <c r="A76" s="25">
        <v>28</v>
      </c>
      <c r="B76" s="54" t="str">
        <f>VLOOKUP(A76,Registry!$A$4:$AA$241,2,FALSE)</f>
        <v>Chambers MHP</v>
      </c>
      <c r="C76" s="80" t="str">
        <f>VLOOKUP(A76,Registry!$A$4:$AA$241,3,FALSE)</f>
        <v>Chittenden</v>
      </c>
      <c r="D76" s="80" t="str">
        <f>VLOOKUP(A76,Registry!$A$4:$AA$241,4,FALSE)</f>
        <v>St. George</v>
      </c>
      <c r="E76" s="80">
        <f>IF(VLOOKUP(A76,Registry!$A$4:$AA$241,7,FALSE)=0,"",VLOOKUP(A76,Registry!$A$4:$AA$241,7,FALSE))</f>
        <v>1967</v>
      </c>
      <c r="F76" s="80" t="str">
        <f>IF(VLOOKUP(A76,Registry!$A$4:$AA$241,20,FALSE)=0,"",VLOOKUP(A76,Registry!$A$4:$AA$241,20,FALSE))</f>
        <v>For profit</v>
      </c>
      <c r="G76" s="25">
        <v>2021</v>
      </c>
      <c r="H76" s="24">
        <f>VLOOKUP(A76,Registry!$A$4:$AA$241,21,FALSE)</f>
        <v>8</v>
      </c>
      <c r="I76" s="24">
        <f>VLOOKUP(A76,Registry!$A$4:$AA$241,24,FALSE)</f>
        <v>2</v>
      </c>
      <c r="J76" s="24">
        <f>VLOOKUP(A76,Registry!$A$4:$AA$241,26,FALSE)</f>
        <v>0</v>
      </c>
      <c r="K76" s="128">
        <v>4</v>
      </c>
      <c r="L76" s="128">
        <v>2</v>
      </c>
      <c r="M76" s="128">
        <v>5</v>
      </c>
      <c r="N76" s="128">
        <v>1</v>
      </c>
      <c r="O76" s="128">
        <v>5</v>
      </c>
      <c r="P76" s="128">
        <v>1</v>
      </c>
      <c r="Q76" s="28">
        <f>I76-Table4[[#This Row],[Park Owned6]]</f>
        <v>-3</v>
      </c>
      <c r="R76" s="28">
        <f>J76-Table4[[#This Row],[Other Owned7]]</f>
        <v>-1</v>
      </c>
      <c r="S76" s="24">
        <f>VLOOKUP($A76,Registry!$A$4:$AA$241,23,FALSE)</f>
        <v>2</v>
      </c>
      <c r="T76" s="61">
        <f t="shared" si="6"/>
        <v>0.25</v>
      </c>
      <c r="U76" s="35">
        <v>2</v>
      </c>
      <c r="V76" s="90">
        <v>0.25</v>
      </c>
      <c r="W76" s="86">
        <v>0</v>
      </c>
      <c r="X76" s="90">
        <v>0</v>
      </c>
      <c r="Y76" s="86">
        <v>0</v>
      </c>
      <c r="Z76" s="90">
        <v>0</v>
      </c>
      <c r="AA76" s="35">
        <f>Table4[[#This Row],['# Lots]]-Table4[[#This Row],['# Lots10]]</f>
        <v>0</v>
      </c>
      <c r="AB76" s="61">
        <f t="shared" si="7"/>
        <v>0</v>
      </c>
      <c r="AC76" s="35">
        <f>Table4[[#This Row],['# Lots]]-Table4[[#This Row],['# Lots14]]</f>
        <v>2</v>
      </c>
      <c r="AD76" s="61">
        <f t="shared" si="8"/>
        <v>0.25</v>
      </c>
      <c r="AE76" s="138">
        <v>4</v>
      </c>
      <c r="AF76" s="35">
        <v>4</v>
      </c>
      <c r="AG76" s="58">
        <v>6</v>
      </c>
      <c r="AH76" s="58">
        <v>7</v>
      </c>
      <c r="AI76" s="128">
        <f>Table4[[#This Row],[2022 Leased Lots20]]-Table4[[#This Row],[2019 Leased Lots23]]</f>
        <v>-3</v>
      </c>
      <c r="AJ76" s="61">
        <f t="shared" si="9"/>
        <v>0.5</v>
      </c>
      <c r="AK76" s="139">
        <f>VLOOKUP($A76,Registry!$A$4:$AA$241,27,FALSE)</f>
        <v>395</v>
      </c>
      <c r="AL76" s="65">
        <v>273</v>
      </c>
      <c r="AM76" s="65">
        <v>264</v>
      </c>
      <c r="AN76" s="65">
        <v>263</v>
      </c>
      <c r="AO76" s="120">
        <f>IFERROR((AK76-Table4[[#This Row],[2019 Total Rent29]])/Table4[[#This Row],[2019 Total Rent29]], "-")</f>
        <v>0.50190114068441061</v>
      </c>
    </row>
    <row r="77" spans="1:41" x14ac:dyDescent="0.25">
      <c r="A77" s="25">
        <v>130</v>
      </c>
      <c r="B77" s="54" t="str">
        <f>VLOOKUP(A77,Registry!$A$4:$AA$241,2,FALSE)</f>
        <v>St. George Villa</v>
      </c>
      <c r="C77" s="80" t="str">
        <f>VLOOKUP(A77,Registry!$A$4:$AA$241,3,FALSE)</f>
        <v>Chittenden</v>
      </c>
      <c r="D77" s="80" t="str">
        <f>VLOOKUP(A77,Registry!$A$4:$AA$241,4,FALSE)</f>
        <v>St. George</v>
      </c>
      <c r="E77" s="80">
        <f>IF(VLOOKUP(A77,Registry!$A$4:$AA$241,7,FALSE)=0,"",VLOOKUP(A77,Registry!$A$4:$AA$241,7,FALSE))</f>
        <v>1966</v>
      </c>
      <c r="F77" s="80" t="str">
        <f>IF(VLOOKUP(A77,Registry!$A$4:$AA$241,20,FALSE)=0,"",VLOOKUP(A77,Registry!$A$4:$AA$241,20,FALSE))</f>
        <v>Cooperative</v>
      </c>
      <c r="G77" s="25">
        <v>2019</v>
      </c>
      <c r="H77" s="24">
        <f>VLOOKUP(A77,Registry!$A$4:$AA$241,21,FALSE)</f>
        <v>120</v>
      </c>
      <c r="I77" s="24">
        <f>VLOOKUP(A77,Registry!$A$4:$AA$241,24,FALSE)</f>
        <v>0</v>
      </c>
      <c r="J77" s="24">
        <f>VLOOKUP(A77,Registry!$A$4:$AA$241,26,FALSE)</f>
        <v>0</v>
      </c>
      <c r="K77" s="128">
        <v>0</v>
      </c>
      <c r="L77" s="128">
        <v>0</v>
      </c>
      <c r="M77" s="128">
        <v>0</v>
      </c>
      <c r="N77" s="128">
        <v>0</v>
      </c>
      <c r="O77" s="128">
        <v>0</v>
      </c>
      <c r="P77" s="128">
        <v>1</v>
      </c>
      <c r="Q77" s="28">
        <f>I77-Table4[[#This Row],[Park Owned6]]</f>
        <v>0</v>
      </c>
      <c r="R77" s="28">
        <f>J77-Table4[[#This Row],[Other Owned7]]</f>
        <v>-1</v>
      </c>
      <c r="S77" s="24">
        <f>VLOOKUP($A77,Registry!$A$4:$AA$241,23,FALSE)</f>
        <v>0</v>
      </c>
      <c r="T77" s="61">
        <f t="shared" si="6"/>
        <v>0</v>
      </c>
      <c r="U77" s="35">
        <v>0</v>
      </c>
      <c r="V77" s="90">
        <v>0</v>
      </c>
      <c r="W77" s="86">
        <v>0</v>
      </c>
      <c r="X77" s="90">
        <v>0</v>
      </c>
      <c r="Y77" s="86">
        <v>1</v>
      </c>
      <c r="Z77" s="90">
        <v>8.0000000000000002E-3</v>
      </c>
      <c r="AA77" s="35">
        <f>Table4[[#This Row],['# Lots]]-Table4[[#This Row],['# Lots10]]</f>
        <v>0</v>
      </c>
      <c r="AB77" s="61">
        <f t="shared" si="7"/>
        <v>0</v>
      </c>
      <c r="AC77" s="35">
        <f>Table4[[#This Row],['# Lots]]-Table4[[#This Row],['# Lots14]]</f>
        <v>-1</v>
      </c>
      <c r="AD77" s="61">
        <f t="shared" si="8"/>
        <v>-8.3333333333333332E-3</v>
      </c>
      <c r="AE77" s="138">
        <v>118</v>
      </c>
      <c r="AF77" s="35">
        <v>120</v>
      </c>
      <c r="AG77" s="58">
        <v>119</v>
      </c>
      <c r="AH77" s="58">
        <v>120</v>
      </c>
      <c r="AI77" s="128">
        <f>Table4[[#This Row],[2022 Leased Lots20]]-Table4[[#This Row],[2019 Leased Lots23]]</f>
        <v>-2</v>
      </c>
      <c r="AJ77" s="61">
        <f t="shared" si="9"/>
        <v>0.98333333333333328</v>
      </c>
      <c r="AK77" s="139">
        <f>VLOOKUP($A77,Registry!$A$4:$AA$241,27,FALSE)</f>
        <v>432</v>
      </c>
      <c r="AL77" s="65">
        <v>432</v>
      </c>
      <c r="AM77" s="65">
        <v>455</v>
      </c>
      <c r="AN77" s="65">
        <v>455</v>
      </c>
      <c r="AO77" s="120">
        <f>IFERROR((AK77-Table4[[#This Row],[2019 Total Rent29]])/Table4[[#This Row],[2019 Total Rent29]], "-")</f>
        <v>-5.054945054945055E-2</v>
      </c>
    </row>
    <row r="78" spans="1:41" x14ac:dyDescent="0.25">
      <c r="A78" s="25">
        <v>75</v>
      </c>
      <c r="B78" s="54" t="str">
        <f>VLOOKUP(A78,Registry!$A$4:$AA$241,2,FALSE)</f>
        <v>French Hill Manor</v>
      </c>
      <c r="C78" s="80" t="str">
        <f>VLOOKUP(A78,Registry!$A$4:$AA$241,3,FALSE)</f>
        <v>Chittenden</v>
      </c>
      <c r="D78" s="80" t="str">
        <f>VLOOKUP(A78,Registry!$A$4:$AA$241,4,FALSE)</f>
        <v>Williston</v>
      </c>
      <c r="E78" s="80">
        <f>IF(VLOOKUP(A78,Registry!$A$4:$AA$241,7,FALSE)=0,"",VLOOKUP(A78,Registry!$A$4:$AA$241,7,FALSE))</f>
        <v>1970</v>
      </c>
      <c r="F78" s="80" t="str">
        <f>IF(VLOOKUP(A78,Registry!$A$4:$AA$241,20,FALSE)=0,"",VLOOKUP(A78,Registry!$A$4:$AA$241,20,FALSE))</f>
        <v>Non-profit</v>
      </c>
      <c r="G78" s="25">
        <v>1990</v>
      </c>
      <c r="H78" s="24">
        <f>VLOOKUP(A78,Registry!$A$4:$AA$241,21,FALSE)</f>
        <v>8</v>
      </c>
      <c r="I78" s="24">
        <f>VLOOKUP(A78,Registry!$A$4:$AA$241,24,FALSE)</f>
        <v>0</v>
      </c>
      <c r="J78" s="24">
        <f>VLOOKUP(A78,Registry!$A$4:$AA$241,26,FALSE)</f>
        <v>0</v>
      </c>
      <c r="K78" s="128">
        <v>0</v>
      </c>
      <c r="L78" s="128">
        <v>0</v>
      </c>
      <c r="M78" s="128">
        <v>0</v>
      </c>
      <c r="N78" s="128">
        <v>0</v>
      </c>
      <c r="O78" s="128">
        <v>0</v>
      </c>
      <c r="P78" s="128">
        <v>0</v>
      </c>
      <c r="Q78" s="28">
        <f>I78-Table4[[#This Row],[Park Owned6]]</f>
        <v>0</v>
      </c>
      <c r="R78" s="28">
        <f>J78-Table4[[#This Row],[Other Owned7]]</f>
        <v>0</v>
      </c>
      <c r="S78" s="24">
        <f>VLOOKUP($A78,Registry!$A$4:$AA$241,23,FALSE)</f>
        <v>0</v>
      </c>
      <c r="T78" s="61">
        <f t="shared" si="6"/>
        <v>0</v>
      </c>
      <c r="U78" s="35">
        <v>0</v>
      </c>
      <c r="V78" s="90">
        <v>0</v>
      </c>
      <c r="W78" s="86">
        <v>1</v>
      </c>
      <c r="X78" s="90">
        <v>0.111</v>
      </c>
      <c r="Y78" s="86">
        <v>1</v>
      </c>
      <c r="Z78" s="90">
        <v>0.111</v>
      </c>
      <c r="AA78" s="35">
        <f>Table4[[#This Row],['# Lots]]-Table4[[#This Row],['# Lots10]]</f>
        <v>0</v>
      </c>
      <c r="AB78" s="61">
        <f t="shared" si="7"/>
        <v>0</v>
      </c>
      <c r="AC78" s="35">
        <f>Table4[[#This Row],['# Lots]]-Table4[[#This Row],['# Lots14]]</f>
        <v>-1</v>
      </c>
      <c r="AD78" s="61">
        <f t="shared" si="8"/>
        <v>-0.125</v>
      </c>
      <c r="AE78" s="138">
        <v>8</v>
      </c>
      <c r="AF78" s="35">
        <v>8</v>
      </c>
      <c r="AG78" s="58">
        <v>8</v>
      </c>
      <c r="AH78" s="58">
        <v>8</v>
      </c>
      <c r="AI78" s="128">
        <f>Table4[[#This Row],[2022 Leased Lots20]]-Table4[[#This Row],[2019 Leased Lots23]]</f>
        <v>0</v>
      </c>
      <c r="AJ78" s="61">
        <f t="shared" si="9"/>
        <v>1</v>
      </c>
      <c r="AK78" s="139">
        <f>VLOOKUP($A78,Registry!$A$4:$AA$241,27,FALSE)</f>
        <v>426</v>
      </c>
      <c r="AL78" s="65">
        <v>408</v>
      </c>
      <c r="AM78" s="65">
        <v>397</v>
      </c>
      <c r="AN78" s="65">
        <v>383</v>
      </c>
      <c r="AO78" s="120">
        <f>IFERROR((AK78-Table4[[#This Row],[2019 Total Rent29]])/Table4[[#This Row],[2019 Total Rent29]], "-")</f>
        <v>0.1122715404699739</v>
      </c>
    </row>
    <row r="79" spans="1:41" x14ac:dyDescent="0.25">
      <c r="A79" s="25">
        <v>281</v>
      </c>
      <c r="B79" s="54" t="str">
        <f>VLOOKUP(A79,Registry!$A$4:$AA$241,2,FALSE)</f>
        <v>Oak Hill Trailer Park</v>
      </c>
      <c r="C79" s="80" t="str">
        <f>VLOOKUP(A79,Registry!$A$4:$AA$241,3,FALSE)</f>
        <v>Chittenden</v>
      </c>
      <c r="D79" s="80" t="str">
        <f>VLOOKUP(A79,Registry!$A$4:$AA$241,4,FALSE)</f>
        <v>Williston</v>
      </c>
      <c r="E79" s="80">
        <f>IF(VLOOKUP(A79,Registry!$A$4:$AA$241,7,FALSE)=0,"",VLOOKUP(A79,Registry!$A$4:$AA$241,7,FALSE))</f>
        <v>1987</v>
      </c>
      <c r="F79" s="80" t="str">
        <f>IF(VLOOKUP(A79,Registry!$A$4:$AA$241,20,FALSE)=0,"",VLOOKUP(A79,Registry!$A$4:$AA$241,20,FALSE))</f>
        <v>For profit</v>
      </c>
      <c r="G79" s="25">
        <v>1990</v>
      </c>
      <c r="H79" s="24">
        <f>VLOOKUP(A79,Registry!$A$4:$AA$241,21,FALSE)</f>
        <v>6</v>
      </c>
      <c r="I79" s="24">
        <f>VLOOKUP(A79,Registry!$A$4:$AA$241,24,FALSE)</f>
        <v>5</v>
      </c>
      <c r="J79" s="24">
        <f>VLOOKUP(A79,Registry!$A$4:$AA$241,26,FALSE)</f>
        <v>0</v>
      </c>
      <c r="K79" s="128">
        <v>5</v>
      </c>
      <c r="L79" s="128">
        <v>0</v>
      </c>
      <c r="M79" s="128">
        <v>5</v>
      </c>
      <c r="N79" s="128">
        <v>0</v>
      </c>
      <c r="O79" s="128">
        <v>5</v>
      </c>
      <c r="P79" s="128">
        <v>0</v>
      </c>
      <c r="Q79" s="28">
        <f>I79-Table4[[#This Row],[Park Owned6]]</f>
        <v>0</v>
      </c>
      <c r="R79" s="28">
        <f>J79-Table4[[#This Row],[Other Owned7]]</f>
        <v>0</v>
      </c>
      <c r="S79" s="24">
        <f>VLOOKUP($A79,Registry!$A$4:$AA$241,23,FALSE)</f>
        <v>0</v>
      </c>
      <c r="T79" s="61">
        <f t="shared" si="6"/>
        <v>0</v>
      </c>
      <c r="U79" s="35">
        <v>0</v>
      </c>
      <c r="V79" s="90">
        <v>0</v>
      </c>
      <c r="W79" s="86">
        <v>0</v>
      </c>
      <c r="X79" s="90">
        <v>0</v>
      </c>
      <c r="Y79" s="86">
        <v>0</v>
      </c>
      <c r="Z79" s="90">
        <v>0</v>
      </c>
      <c r="AA79" s="35">
        <f>Table4[[#This Row],['# Lots]]-Table4[[#This Row],['# Lots10]]</f>
        <v>0</v>
      </c>
      <c r="AB79" s="61">
        <f t="shared" si="7"/>
        <v>0</v>
      </c>
      <c r="AC79" s="35">
        <f>Table4[[#This Row],['# Lots]]-Table4[[#This Row],['# Lots14]]</f>
        <v>0</v>
      </c>
      <c r="AD79" s="61">
        <f t="shared" si="8"/>
        <v>0</v>
      </c>
      <c r="AE79" s="138">
        <v>6</v>
      </c>
      <c r="AF79" s="35">
        <v>6</v>
      </c>
      <c r="AG79" s="58">
        <v>6</v>
      </c>
      <c r="AH79" s="58">
        <v>6</v>
      </c>
      <c r="AI79" s="128">
        <f>Table4[[#This Row],[2022 Leased Lots20]]-Table4[[#This Row],[2019 Leased Lots23]]</f>
        <v>0</v>
      </c>
      <c r="AJ79" s="61">
        <f t="shared" si="9"/>
        <v>1</v>
      </c>
      <c r="AK79" s="139">
        <f>VLOOKUP($A79,Registry!$A$4:$AA$241,27,FALSE)</f>
        <v>519.21</v>
      </c>
      <c r="AL79" s="65">
        <v>496.85</v>
      </c>
      <c r="AM79" s="65">
        <v>481.91</v>
      </c>
      <c r="AN79" s="65">
        <v>464.27</v>
      </c>
      <c r="AO79" s="120">
        <f>IFERROR((AK79-Table4[[#This Row],[2019 Total Rent29]])/Table4[[#This Row],[2019 Total Rent29]], "-")</f>
        <v>0.11833631292136054</v>
      </c>
    </row>
    <row r="80" spans="1:41" x14ac:dyDescent="0.25">
      <c r="A80" s="25">
        <v>129</v>
      </c>
      <c r="B80" s="54" t="str">
        <f>VLOOKUP(A80,Registry!$A$4:$AA$241,2,FALSE)</f>
        <v>Williston Woods Cooperative Housing Corp</v>
      </c>
      <c r="C80" s="80" t="str">
        <f>VLOOKUP(A80,Registry!$A$4:$AA$241,3,FALSE)</f>
        <v>Chittenden</v>
      </c>
      <c r="D80" s="80" t="str">
        <f>VLOOKUP(A80,Registry!$A$4:$AA$241,4,FALSE)</f>
        <v>Williston</v>
      </c>
      <c r="E80" s="80">
        <f>IF(VLOOKUP(A80,Registry!$A$4:$AA$241,7,FALSE)=0,"",VLOOKUP(A80,Registry!$A$4:$AA$241,7,FALSE))</f>
        <v>1983</v>
      </c>
      <c r="F80" s="80" t="str">
        <f>IF(VLOOKUP(A80,Registry!$A$4:$AA$241,20,FALSE)=0,"",VLOOKUP(A80,Registry!$A$4:$AA$241,20,FALSE))</f>
        <v>Cooperative</v>
      </c>
      <c r="G80" s="25">
        <v>1993</v>
      </c>
      <c r="H80" s="24">
        <f>VLOOKUP(A80,Registry!$A$4:$AA$241,21,FALSE)</f>
        <v>112</v>
      </c>
      <c r="I80" s="24">
        <f>VLOOKUP(A80,Registry!$A$4:$AA$241,24,FALSE)</f>
        <v>0</v>
      </c>
      <c r="J80" s="24">
        <f>VLOOKUP(A80,Registry!$A$4:$AA$241,26,FALSE)</f>
        <v>0</v>
      </c>
      <c r="K80" s="128">
        <v>0</v>
      </c>
      <c r="L80" s="128">
        <v>0</v>
      </c>
      <c r="M80" s="128">
        <v>0</v>
      </c>
      <c r="N80" s="128">
        <v>0</v>
      </c>
      <c r="O80" s="128">
        <v>0</v>
      </c>
      <c r="P80" s="128">
        <v>0</v>
      </c>
      <c r="Q80" s="28">
        <f>I80-Table4[[#This Row],[Park Owned6]]</f>
        <v>0</v>
      </c>
      <c r="R80" s="28">
        <f>J80-Table4[[#This Row],[Other Owned7]]</f>
        <v>0</v>
      </c>
      <c r="S80" s="24">
        <f>VLOOKUP($A80,Registry!$A$4:$AA$241,23,FALSE)</f>
        <v>0</v>
      </c>
      <c r="T80" s="61">
        <f t="shared" si="6"/>
        <v>0</v>
      </c>
      <c r="U80" s="35">
        <v>0</v>
      </c>
      <c r="V80" s="90">
        <v>0</v>
      </c>
      <c r="W80" s="86">
        <v>0</v>
      </c>
      <c r="X80" s="90">
        <v>0</v>
      </c>
      <c r="Y80" s="86">
        <v>0</v>
      </c>
      <c r="Z80" s="90">
        <v>0</v>
      </c>
      <c r="AA80" s="35">
        <f>Table4[[#This Row],['# Lots]]-Table4[[#This Row],['# Lots10]]</f>
        <v>0</v>
      </c>
      <c r="AB80" s="61">
        <f t="shared" si="7"/>
        <v>0</v>
      </c>
      <c r="AC80" s="35">
        <f>Table4[[#This Row],['# Lots]]-Table4[[#This Row],['# Lots14]]</f>
        <v>0</v>
      </c>
      <c r="AD80" s="61">
        <f t="shared" si="8"/>
        <v>0</v>
      </c>
      <c r="AE80" s="138">
        <v>112</v>
      </c>
      <c r="AF80" s="35">
        <v>112</v>
      </c>
      <c r="AG80" s="58">
        <v>112</v>
      </c>
      <c r="AH80" s="58">
        <v>112</v>
      </c>
      <c r="AI80" s="128">
        <f>Table4[[#This Row],[2022 Leased Lots20]]-Table4[[#This Row],[2019 Leased Lots23]]</f>
        <v>0</v>
      </c>
      <c r="AJ80" s="61">
        <f t="shared" si="9"/>
        <v>1</v>
      </c>
      <c r="AK80" s="139">
        <f>VLOOKUP($A80,Registry!$A$4:$AA$241,27,FALSE)</f>
        <v>325</v>
      </c>
      <c r="AL80" s="65">
        <v>313.75</v>
      </c>
      <c r="AM80" s="65">
        <v>304.5</v>
      </c>
      <c r="AN80" s="65">
        <v>294</v>
      </c>
      <c r="AO80" s="120">
        <f>IFERROR((AK80-Table4[[#This Row],[2019 Total Rent29]])/Table4[[#This Row],[2019 Total Rent29]], "-")</f>
        <v>0.10544217687074831</v>
      </c>
    </row>
    <row r="81" spans="1:41" x14ac:dyDescent="0.25">
      <c r="A81" s="25">
        <v>199</v>
      </c>
      <c r="B81" s="54" t="str">
        <f>VLOOKUP(A81,Registry!$A$4:$AA$241,2,FALSE)</f>
        <v>Begin Riverside Park</v>
      </c>
      <c r="C81" s="80" t="str">
        <f>VLOOKUP(A81,Registry!$A$4:$AA$241,3,FALSE)</f>
        <v>Essex</v>
      </c>
      <c r="D81" s="80" t="str">
        <f>VLOOKUP(A81,Registry!$A$4:$AA$241,4,FALSE)</f>
        <v>Canaan</v>
      </c>
      <c r="E81" s="80">
        <f>IF(VLOOKUP(A81,Registry!$A$4:$AA$241,7,FALSE)=0,"",VLOOKUP(A81,Registry!$A$4:$AA$241,7,FALSE))</f>
        <v>1970</v>
      </c>
      <c r="F81" s="80" t="str">
        <f>IF(VLOOKUP(A81,Registry!$A$4:$AA$241,20,FALSE)=0,"",VLOOKUP(A81,Registry!$A$4:$AA$241,20,FALSE))</f>
        <v>For profit</v>
      </c>
      <c r="G81" s="25">
        <v>2019</v>
      </c>
      <c r="H81" s="24">
        <f>VLOOKUP(A81,Registry!$A$4:$AA$241,21,FALSE)</f>
        <v>18</v>
      </c>
      <c r="I81" s="24">
        <f>VLOOKUP(A81,Registry!$A$4:$AA$241,24,FALSE)</f>
        <v>0</v>
      </c>
      <c r="J81" s="24">
        <f>VLOOKUP(A81,Registry!$A$4:$AA$241,26,FALSE)</f>
        <v>0</v>
      </c>
      <c r="K81" s="128">
        <v>0</v>
      </c>
      <c r="L81" s="128">
        <v>0</v>
      </c>
      <c r="M81" s="128">
        <v>0</v>
      </c>
      <c r="N81" s="128">
        <v>0</v>
      </c>
      <c r="O81" s="128">
        <v>0</v>
      </c>
      <c r="P81" s="128">
        <v>0</v>
      </c>
      <c r="Q81" s="28">
        <f>I81-Table4[[#This Row],[Park Owned6]]</f>
        <v>0</v>
      </c>
      <c r="R81" s="28">
        <f>J81-Table4[[#This Row],[Other Owned7]]</f>
        <v>0</v>
      </c>
      <c r="S81" s="24">
        <f>VLOOKUP($A81,Registry!$A$4:$AA$241,23,FALSE)</f>
        <v>0</v>
      </c>
      <c r="T81" s="61">
        <f t="shared" si="6"/>
        <v>0</v>
      </c>
      <c r="U81" s="35">
        <v>0</v>
      </c>
      <c r="V81" s="90">
        <v>0</v>
      </c>
      <c r="W81" s="86">
        <v>0</v>
      </c>
      <c r="X81" s="90">
        <v>0</v>
      </c>
      <c r="Y81" s="86">
        <v>0</v>
      </c>
      <c r="Z81" s="90">
        <v>0</v>
      </c>
      <c r="AA81" s="35">
        <f>Table4[[#This Row],['# Lots]]-Table4[[#This Row],['# Lots10]]</f>
        <v>0</v>
      </c>
      <c r="AB81" s="61">
        <f t="shared" si="7"/>
        <v>0</v>
      </c>
      <c r="AC81" s="35">
        <f>Table4[[#This Row],['# Lots]]-Table4[[#This Row],['# Lots14]]</f>
        <v>0</v>
      </c>
      <c r="AD81" s="61">
        <f t="shared" si="8"/>
        <v>0</v>
      </c>
      <c r="AE81" s="138">
        <v>18</v>
      </c>
      <c r="AF81" s="35">
        <v>18</v>
      </c>
      <c r="AG81" s="58">
        <v>18</v>
      </c>
      <c r="AH81" s="58">
        <v>18</v>
      </c>
      <c r="AI81" s="128">
        <f>Table4[[#This Row],[2022 Leased Lots20]]-Table4[[#This Row],[2019 Leased Lots23]]</f>
        <v>0</v>
      </c>
      <c r="AJ81" s="61">
        <f t="shared" si="9"/>
        <v>1</v>
      </c>
      <c r="AK81" s="139">
        <f>VLOOKUP($A81,Registry!$A$4:$AA$241,27,FALSE)</f>
        <v>254</v>
      </c>
      <c r="AL81" s="65">
        <v>254</v>
      </c>
      <c r="AM81" s="65">
        <v>254</v>
      </c>
      <c r="AN81" s="65">
        <v>204</v>
      </c>
      <c r="AO81" s="120">
        <f>IFERROR((AK81-Table4[[#This Row],[2019 Total Rent29]])/Table4[[#This Row],[2019 Total Rent29]], "-")</f>
        <v>0.24509803921568626</v>
      </c>
    </row>
    <row r="82" spans="1:41" x14ac:dyDescent="0.25">
      <c r="A82" s="25">
        <v>74</v>
      </c>
      <c r="B82" s="54" t="str">
        <f>VLOOKUP(A82,Registry!$A$4:$AA$241,2,FALSE)</f>
        <v>Concord Estates MHP</v>
      </c>
      <c r="C82" s="80" t="str">
        <f>VLOOKUP(A82,Registry!$A$4:$AA$241,3,FALSE)</f>
        <v>Essex</v>
      </c>
      <c r="D82" s="80" t="str">
        <f>VLOOKUP(A82,Registry!$A$4:$AA$241,4,FALSE)</f>
        <v>Concord</v>
      </c>
      <c r="E82" s="80">
        <f>IF(VLOOKUP(A82,Registry!$A$4:$AA$241,7,FALSE)=0,"",VLOOKUP(A82,Registry!$A$4:$AA$241,7,FALSE))</f>
        <v>1967</v>
      </c>
      <c r="F82" s="80" t="str">
        <f>IF(VLOOKUP(A82,Registry!$A$4:$AA$241,20,FALSE)=0,"",VLOOKUP(A82,Registry!$A$4:$AA$241,20,FALSE))</f>
        <v>For profit</v>
      </c>
      <c r="G82" s="25">
        <v>2021</v>
      </c>
      <c r="H82" s="24">
        <f>VLOOKUP(A82,Registry!$A$4:$AA$241,21,FALSE)</f>
        <v>24</v>
      </c>
      <c r="I82" s="24">
        <f>VLOOKUP(A82,Registry!$A$4:$AA$241,24,FALSE)</f>
        <v>1</v>
      </c>
      <c r="J82" s="24">
        <f>VLOOKUP(A82,Registry!$A$4:$AA$241,26,FALSE)</f>
        <v>0</v>
      </c>
      <c r="K82" s="128">
        <v>1</v>
      </c>
      <c r="L82" s="128">
        <v>0</v>
      </c>
      <c r="M82" s="128">
        <v>1</v>
      </c>
      <c r="N82" s="128">
        <v>0</v>
      </c>
      <c r="O82" s="128">
        <v>2</v>
      </c>
      <c r="P82" s="128">
        <v>0</v>
      </c>
      <c r="Q82" s="28">
        <f>I82-Table4[[#This Row],[Park Owned6]]</f>
        <v>-1</v>
      </c>
      <c r="R82" s="28">
        <f>J82-Table4[[#This Row],[Other Owned7]]</f>
        <v>0</v>
      </c>
      <c r="S82" s="24">
        <f>VLOOKUP($A82,Registry!$A$4:$AA$241,23,FALSE)</f>
        <v>3</v>
      </c>
      <c r="T82" s="61">
        <f t="shared" si="6"/>
        <v>0.125</v>
      </c>
      <c r="U82" s="35">
        <v>3</v>
      </c>
      <c r="V82" s="90">
        <v>0.125</v>
      </c>
      <c r="W82" s="86">
        <v>3</v>
      </c>
      <c r="X82" s="90">
        <v>0.125</v>
      </c>
      <c r="Y82" s="86">
        <v>3</v>
      </c>
      <c r="Z82" s="90">
        <v>0.125</v>
      </c>
      <c r="AA82" s="35">
        <f>Table4[[#This Row],['# Lots]]-Table4[[#This Row],['# Lots10]]</f>
        <v>0</v>
      </c>
      <c r="AB82" s="61">
        <f t="shared" si="7"/>
        <v>0</v>
      </c>
      <c r="AC82" s="35">
        <f>Table4[[#This Row],['# Lots]]-Table4[[#This Row],['# Lots14]]</f>
        <v>0</v>
      </c>
      <c r="AD82" s="61">
        <f t="shared" si="8"/>
        <v>0</v>
      </c>
      <c r="AE82" s="138">
        <v>21</v>
      </c>
      <c r="AF82" s="35">
        <v>21</v>
      </c>
      <c r="AG82" s="58">
        <v>21</v>
      </c>
      <c r="AH82" s="58">
        <v>21</v>
      </c>
      <c r="AI82" s="128">
        <f>Table4[[#This Row],[2022 Leased Lots20]]-Table4[[#This Row],[2019 Leased Lots23]]</f>
        <v>0</v>
      </c>
      <c r="AJ82" s="61">
        <f t="shared" si="9"/>
        <v>0.875</v>
      </c>
      <c r="AK82" s="139">
        <f>VLOOKUP($A82,Registry!$A$4:$AA$241,27,FALSE)</f>
        <v>290</v>
      </c>
      <c r="AL82" s="65">
        <v>240</v>
      </c>
      <c r="AM82" s="65">
        <v>234</v>
      </c>
      <c r="AN82" s="65">
        <v>225</v>
      </c>
      <c r="AO82" s="120">
        <f>IFERROR((AK82-Table4[[#This Row],[2019 Total Rent29]])/Table4[[#This Row],[2019 Total Rent29]], "-")</f>
        <v>0.28888888888888886</v>
      </c>
    </row>
    <row r="83" spans="1:41" x14ac:dyDescent="0.25">
      <c r="A83" s="25">
        <v>314</v>
      </c>
      <c r="B83" s="54" t="str">
        <f>VLOOKUP(A83,Registry!$A$4:$AA$241,2,FALSE)</f>
        <v>Pleasant View Drive MHP</v>
      </c>
      <c r="C83" s="80" t="str">
        <f>VLOOKUP(A83,Registry!$A$4:$AA$241,3,FALSE)</f>
        <v>Franklin</v>
      </c>
      <c r="D83" s="80" t="str">
        <f>VLOOKUP(A83,Registry!$A$4:$AA$241,4,FALSE)</f>
        <v>Enosburg</v>
      </c>
      <c r="E83" s="80">
        <f>IF(VLOOKUP(A83,Registry!$A$4:$AA$241,7,FALSE)=0,"",VLOOKUP(A83,Registry!$A$4:$AA$241,7,FALSE))</f>
        <v>2005</v>
      </c>
      <c r="F83" s="80" t="str">
        <f>IF(VLOOKUP(A83,Registry!$A$4:$AA$241,20,FALSE)=0,"",VLOOKUP(A83,Registry!$A$4:$AA$241,20,FALSE))</f>
        <v>For profit</v>
      </c>
      <c r="G83" s="25">
        <v>1993</v>
      </c>
      <c r="H83" s="24">
        <f>VLOOKUP(A83,Registry!$A$4:$AA$241,21,FALSE)</f>
        <v>5</v>
      </c>
      <c r="I83" s="24">
        <f>VLOOKUP(A83,Registry!$A$4:$AA$241,24,FALSE)</f>
        <v>4</v>
      </c>
      <c r="J83" s="24">
        <f>VLOOKUP(A83,Registry!$A$4:$AA$241,26,FALSE)</f>
        <v>0</v>
      </c>
      <c r="K83" s="128">
        <v>4</v>
      </c>
      <c r="L83" s="128">
        <v>0</v>
      </c>
      <c r="M83" s="128">
        <v>4</v>
      </c>
      <c r="N83" s="128">
        <v>0</v>
      </c>
      <c r="O83" s="128">
        <v>4</v>
      </c>
      <c r="P83" s="128">
        <v>0</v>
      </c>
      <c r="Q83" s="28">
        <f>I83-Table4[[#This Row],[Park Owned6]]</f>
        <v>0</v>
      </c>
      <c r="R83" s="28">
        <f>J83-Table4[[#This Row],[Other Owned7]]</f>
        <v>0</v>
      </c>
      <c r="S83" s="24">
        <f>VLOOKUP($A83,Registry!$A$4:$AA$241,23,FALSE)</f>
        <v>0</v>
      </c>
      <c r="T83" s="61">
        <f t="shared" si="6"/>
        <v>0</v>
      </c>
      <c r="U83" s="35">
        <v>0</v>
      </c>
      <c r="V83" s="90">
        <v>0</v>
      </c>
      <c r="W83" s="86">
        <v>0</v>
      </c>
      <c r="X83" s="90">
        <v>0</v>
      </c>
      <c r="Y83" s="86">
        <v>0</v>
      </c>
      <c r="Z83" s="90">
        <v>0</v>
      </c>
      <c r="AA83" s="35">
        <f>Table4[[#This Row],['# Lots]]-Table4[[#This Row],['# Lots10]]</f>
        <v>0</v>
      </c>
      <c r="AB83" s="61">
        <f t="shared" si="7"/>
        <v>0</v>
      </c>
      <c r="AC83" s="35">
        <f>Table4[[#This Row],['# Lots]]-Table4[[#This Row],['# Lots14]]</f>
        <v>0</v>
      </c>
      <c r="AD83" s="61">
        <f t="shared" si="8"/>
        <v>0</v>
      </c>
      <c r="AE83" s="138">
        <v>5</v>
      </c>
      <c r="AF83" s="35">
        <v>5</v>
      </c>
      <c r="AG83" s="58">
        <v>5</v>
      </c>
      <c r="AH83" s="58">
        <v>5</v>
      </c>
      <c r="AI83" s="128">
        <f>Table4[[#This Row],[2022 Leased Lots20]]-Table4[[#This Row],[2019 Leased Lots23]]</f>
        <v>0</v>
      </c>
      <c r="AJ83" s="61">
        <f t="shared" si="9"/>
        <v>1</v>
      </c>
      <c r="AK83" s="139">
        <f>VLOOKUP($A83,Registry!$A$4:$AA$241,27,FALSE)</f>
        <v>350</v>
      </c>
      <c r="AL83" s="65">
        <v>350</v>
      </c>
      <c r="AM83" s="65">
        <v>350</v>
      </c>
      <c r="AN83" s="65">
        <v>350</v>
      </c>
      <c r="AO83" s="120">
        <f>IFERROR((AK83-Table4[[#This Row],[2019 Total Rent29]])/Table4[[#This Row],[2019 Total Rent29]], "-")</f>
        <v>0</v>
      </c>
    </row>
    <row r="84" spans="1:41" x14ac:dyDescent="0.25">
      <c r="A84" s="25">
        <v>88</v>
      </c>
      <c r="B84" s="54" t="str">
        <f>VLOOKUP(A84,Registry!$A$4:$AA$241,2,FALSE)</f>
        <v>Vals Mobile Home Park, LLC.</v>
      </c>
      <c r="C84" s="80" t="str">
        <f>VLOOKUP(A84,Registry!$A$4:$AA$241,3,FALSE)</f>
        <v>Franklin</v>
      </c>
      <c r="D84" s="80" t="str">
        <f>VLOOKUP(A84,Registry!$A$4:$AA$241,4,FALSE)</f>
        <v>Enosburg</v>
      </c>
      <c r="E84" s="80">
        <f>IF(VLOOKUP(A84,Registry!$A$4:$AA$241,7,FALSE)=0,"",VLOOKUP(A84,Registry!$A$4:$AA$241,7,FALSE))</f>
        <v>1963</v>
      </c>
      <c r="F84" s="80" t="str">
        <f>IF(VLOOKUP(A84,Registry!$A$4:$AA$241,20,FALSE)=0,"",VLOOKUP(A84,Registry!$A$4:$AA$241,20,FALSE))</f>
        <v>For profit</v>
      </c>
      <c r="G84" s="25">
        <v>1970</v>
      </c>
      <c r="H84" s="24">
        <f>VLOOKUP(A84,Registry!$A$4:$AA$241,21,FALSE)</f>
        <v>38</v>
      </c>
      <c r="I84" s="24">
        <f>VLOOKUP(A84,Registry!$A$4:$AA$241,24,FALSE)</f>
        <v>0</v>
      </c>
      <c r="J84" s="24">
        <f>VLOOKUP(A84,Registry!$A$4:$AA$241,26,FALSE)</f>
        <v>0</v>
      </c>
      <c r="K84" s="128">
        <v>0</v>
      </c>
      <c r="L84" s="128">
        <v>0</v>
      </c>
      <c r="M84" s="128">
        <v>0</v>
      </c>
      <c r="N84" s="128">
        <v>0</v>
      </c>
      <c r="O84" s="128">
        <v>0</v>
      </c>
      <c r="P84" s="128">
        <v>0</v>
      </c>
      <c r="Q84" s="28">
        <f>I84-Table4[[#This Row],[Park Owned6]]</f>
        <v>0</v>
      </c>
      <c r="R84" s="28">
        <f>J84-Table4[[#This Row],[Other Owned7]]</f>
        <v>0</v>
      </c>
      <c r="S84" s="24">
        <f>VLOOKUP($A84,Registry!$A$4:$AA$241,23,FALSE)</f>
        <v>1</v>
      </c>
      <c r="T84" s="61">
        <f t="shared" si="6"/>
        <v>2.6315789473684209E-2</v>
      </c>
      <c r="U84" s="35">
        <v>1</v>
      </c>
      <c r="V84" s="90">
        <v>2.6315789473684209E-2</v>
      </c>
      <c r="W84" s="86">
        <v>1</v>
      </c>
      <c r="X84" s="90">
        <v>2.6000000000000002E-2</v>
      </c>
      <c r="Y84" s="86">
        <v>1</v>
      </c>
      <c r="Z84" s="90">
        <v>2.6000000000000002E-2</v>
      </c>
      <c r="AA84" s="35">
        <f>Table4[[#This Row],['# Lots]]-Table4[[#This Row],['# Lots10]]</f>
        <v>0</v>
      </c>
      <c r="AB84" s="61">
        <f t="shared" si="7"/>
        <v>0</v>
      </c>
      <c r="AC84" s="35">
        <f>Table4[[#This Row],['# Lots]]-Table4[[#This Row],['# Lots14]]</f>
        <v>0</v>
      </c>
      <c r="AD84" s="61">
        <f t="shared" si="8"/>
        <v>0</v>
      </c>
      <c r="AE84" s="138">
        <v>37</v>
      </c>
      <c r="AF84" s="35">
        <v>37</v>
      </c>
      <c r="AG84" s="58">
        <v>37</v>
      </c>
      <c r="AH84" s="58">
        <v>37</v>
      </c>
      <c r="AI84" s="128">
        <f>Table4[[#This Row],[2022 Leased Lots20]]-Table4[[#This Row],[2019 Leased Lots23]]</f>
        <v>0</v>
      </c>
      <c r="AJ84" s="61">
        <f t="shared" si="9"/>
        <v>0.97368421052631582</v>
      </c>
      <c r="AK84" s="139">
        <f>VLOOKUP($A84,Registry!$A$4:$AA$241,27,FALSE)</f>
        <v>355</v>
      </c>
      <c r="AL84" s="65">
        <v>340</v>
      </c>
      <c r="AM84" s="65">
        <v>330</v>
      </c>
      <c r="AN84" s="65">
        <v>320</v>
      </c>
      <c r="AO84" s="120">
        <f>IFERROR((AK84-Table4[[#This Row],[2019 Total Rent29]])/Table4[[#This Row],[2019 Total Rent29]], "-")</f>
        <v>0.109375</v>
      </c>
    </row>
    <row r="85" spans="1:41" x14ac:dyDescent="0.25">
      <c r="A85" s="25">
        <v>104</v>
      </c>
      <c r="B85" s="54" t="str">
        <f>VLOOKUP(A85,Registry!$A$4:$AA$241,2,FALSE)</f>
        <v>Rhodeside Acres</v>
      </c>
      <c r="C85" s="80" t="str">
        <f>VLOOKUP(A85,Registry!$A$4:$AA$241,3,FALSE)</f>
        <v>Franklin</v>
      </c>
      <c r="D85" s="80" t="str">
        <f>VLOOKUP(A85,Registry!$A$4:$AA$241,4,FALSE)</f>
        <v>Georgia</v>
      </c>
      <c r="E85" s="80">
        <f>IF(VLOOKUP(A85,Registry!$A$4:$AA$241,7,FALSE)=0,"",VLOOKUP(A85,Registry!$A$4:$AA$241,7,FALSE))</f>
        <v>1967</v>
      </c>
      <c r="F85" s="80" t="str">
        <f>IF(VLOOKUP(A85,Registry!$A$4:$AA$241,20,FALSE)=0,"",VLOOKUP(A85,Registry!$A$4:$AA$241,20,FALSE))</f>
        <v>For profit</v>
      </c>
      <c r="G85" s="25">
        <v>1985</v>
      </c>
      <c r="H85" s="24">
        <f>VLOOKUP(A85,Registry!$A$4:$AA$241,21,FALSE)</f>
        <v>14</v>
      </c>
      <c r="I85" s="24">
        <f>VLOOKUP(A85,Registry!$A$4:$AA$241,24,FALSE)</f>
        <v>0</v>
      </c>
      <c r="J85" s="24">
        <f>VLOOKUP(A85,Registry!$A$4:$AA$241,26,FALSE)</f>
        <v>0</v>
      </c>
      <c r="K85" s="128">
        <v>0</v>
      </c>
      <c r="L85" s="128">
        <v>0</v>
      </c>
      <c r="M85" s="128">
        <v>0</v>
      </c>
      <c r="N85" s="128">
        <v>0</v>
      </c>
      <c r="O85" s="128">
        <v>0</v>
      </c>
      <c r="P85" s="128">
        <v>0</v>
      </c>
      <c r="Q85" s="28">
        <f>I85-Table4[[#This Row],[Park Owned6]]</f>
        <v>0</v>
      </c>
      <c r="R85" s="28">
        <f>J85-Table4[[#This Row],[Other Owned7]]</f>
        <v>0</v>
      </c>
      <c r="S85" s="24">
        <f>VLOOKUP($A85,Registry!$A$4:$AA$241,23,FALSE)</f>
        <v>0</v>
      </c>
      <c r="T85" s="61">
        <f t="shared" si="6"/>
        <v>0</v>
      </c>
      <c r="U85" s="35">
        <v>0</v>
      </c>
      <c r="V85" s="90">
        <v>0</v>
      </c>
      <c r="W85" s="86">
        <v>0</v>
      </c>
      <c r="X85" s="90">
        <v>0</v>
      </c>
      <c r="Y85" s="86">
        <v>0</v>
      </c>
      <c r="Z85" s="90">
        <v>0</v>
      </c>
      <c r="AA85" s="35">
        <f>Table4[[#This Row],['# Lots]]-Table4[[#This Row],['# Lots10]]</f>
        <v>0</v>
      </c>
      <c r="AB85" s="61">
        <f t="shared" si="7"/>
        <v>0</v>
      </c>
      <c r="AC85" s="35">
        <f>Table4[[#This Row],['# Lots]]-Table4[[#This Row],['# Lots14]]</f>
        <v>0</v>
      </c>
      <c r="AD85" s="61">
        <f t="shared" si="8"/>
        <v>0</v>
      </c>
      <c r="AE85" s="138">
        <v>14</v>
      </c>
      <c r="AF85" s="35">
        <v>14</v>
      </c>
      <c r="AG85" s="58">
        <v>14</v>
      </c>
      <c r="AH85" s="58">
        <v>14</v>
      </c>
      <c r="AI85" s="128">
        <f>Table4[[#This Row],[2022 Leased Lots20]]-Table4[[#This Row],[2019 Leased Lots23]]</f>
        <v>0</v>
      </c>
      <c r="AJ85" s="61">
        <f t="shared" si="9"/>
        <v>1</v>
      </c>
      <c r="AK85" s="139">
        <f>VLOOKUP($A85,Registry!$A$4:$AA$241,27,FALSE)</f>
        <v>347</v>
      </c>
      <c r="AL85" s="65">
        <v>347</v>
      </c>
      <c r="AM85" s="65">
        <v>347</v>
      </c>
      <c r="AN85" s="65">
        <v>347</v>
      </c>
      <c r="AO85" s="120">
        <f>IFERROR((AK85-Table4[[#This Row],[2019 Total Rent29]])/Table4[[#This Row],[2019 Total Rent29]], "-")</f>
        <v>0</v>
      </c>
    </row>
    <row r="86" spans="1:41" x14ac:dyDescent="0.25">
      <c r="A86" s="25">
        <v>181</v>
      </c>
      <c r="B86" s="54" t="str">
        <f>VLOOKUP(A86,Registry!$A$4:$AA$241,2,FALSE)</f>
        <v>ANDCO Mobile Home Park</v>
      </c>
      <c r="C86" s="80" t="str">
        <f>VLOOKUP(A86,Registry!$A$4:$AA$241,3,FALSE)</f>
        <v>Franklin</v>
      </c>
      <c r="D86" s="80" t="str">
        <f>VLOOKUP(A86,Registry!$A$4:$AA$241,4,FALSE)</f>
        <v>Highgate</v>
      </c>
      <c r="E86" s="80">
        <f>IF(VLOOKUP(A86,Registry!$A$4:$AA$241,7,FALSE)=0,"",VLOOKUP(A86,Registry!$A$4:$AA$241,7,FALSE))</f>
        <v>1966</v>
      </c>
      <c r="F86" s="80" t="str">
        <f>IF(VLOOKUP(A86,Registry!$A$4:$AA$241,20,FALSE)=0,"",VLOOKUP(A86,Registry!$A$4:$AA$241,20,FALSE))</f>
        <v>Cooperative</v>
      </c>
      <c r="G86" s="25">
        <v>2013</v>
      </c>
      <c r="H86" s="24">
        <f>VLOOKUP(A86,Registry!$A$4:$AA$241,21,FALSE)</f>
        <v>9</v>
      </c>
      <c r="I86" s="24">
        <f>VLOOKUP(A86,Registry!$A$4:$AA$241,24,FALSE)</f>
        <v>0</v>
      </c>
      <c r="J86" s="24">
        <f>VLOOKUP(A86,Registry!$A$4:$AA$241,26,FALSE)</f>
        <v>0</v>
      </c>
      <c r="K86" s="128">
        <v>0</v>
      </c>
      <c r="L86" s="128">
        <v>0</v>
      </c>
      <c r="M86" s="128">
        <v>0</v>
      </c>
      <c r="N86" s="128">
        <v>0</v>
      </c>
      <c r="O86" s="128">
        <v>0</v>
      </c>
      <c r="P86" s="128">
        <v>0</v>
      </c>
      <c r="Q86" s="28">
        <f>I86-Table4[[#This Row],[Park Owned6]]</f>
        <v>0</v>
      </c>
      <c r="R86" s="28">
        <f>J86-Table4[[#This Row],[Other Owned7]]</f>
        <v>0</v>
      </c>
      <c r="S86" s="24">
        <f>VLOOKUP($A86,Registry!$A$4:$AA$241,23,FALSE)</f>
        <v>1</v>
      </c>
      <c r="T86" s="61">
        <f t="shared" si="6"/>
        <v>0.1111111111111111</v>
      </c>
      <c r="U86" s="35">
        <v>1</v>
      </c>
      <c r="V86" s="90">
        <v>0.1111111111111111</v>
      </c>
      <c r="W86" s="86">
        <v>1</v>
      </c>
      <c r="X86" s="90">
        <v>0.111</v>
      </c>
      <c r="Y86" s="86">
        <v>0</v>
      </c>
      <c r="Z86" s="90">
        <v>0</v>
      </c>
      <c r="AA86" s="35">
        <f>Table4[[#This Row],['# Lots]]-Table4[[#This Row],['# Lots10]]</f>
        <v>0</v>
      </c>
      <c r="AB86" s="61">
        <f t="shared" si="7"/>
        <v>0</v>
      </c>
      <c r="AC86" s="35">
        <f>Table4[[#This Row],['# Lots]]-Table4[[#This Row],['# Lots14]]</f>
        <v>1</v>
      </c>
      <c r="AD86" s="61">
        <f t="shared" si="8"/>
        <v>0.1111111111111111</v>
      </c>
      <c r="AE86" s="138">
        <v>8</v>
      </c>
      <c r="AF86" s="35">
        <v>8</v>
      </c>
      <c r="AG86" s="58">
        <v>9</v>
      </c>
      <c r="AH86" s="58">
        <v>9</v>
      </c>
      <c r="AI86" s="128">
        <f>Table4[[#This Row],[2022 Leased Lots20]]-Table4[[#This Row],[2019 Leased Lots23]]</f>
        <v>-1</v>
      </c>
      <c r="AJ86" s="61">
        <f t="shared" si="9"/>
        <v>0.88888888888888884</v>
      </c>
      <c r="AK86" s="139">
        <f>VLOOKUP($A86,Registry!$A$4:$AA$241,27,FALSE)</f>
        <v>360</v>
      </c>
      <c r="AL86" s="65">
        <v>360</v>
      </c>
      <c r="AM86" s="65">
        <v>340</v>
      </c>
      <c r="AN86" s="65">
        <v>320</v>
      </c>
      <c r="AO86" s="120">
        <f>IFERROR((AK86-Table4[[#This Row],[2019 Total Rent29]])/Table4[[#This Row],[2019 Total Rent29]], "-")</f>
        <v>0.125</v>
      </c>
    </row>
    <row r="87" spans="1:41" x14ac:dyDescent="0.25">
      <c r="A87" s="25">
        <v>113</v>
      </c>
      <c r="B87" s="54" t="str">
        <f>VLOOKUP(A87,Registry!$A$4:$AA$241,2,FALSE)</f>
        <v>Desorcie Mobile Home Park</v>
      </c>
      <c r="C87" s="80" t="str">
        <f>VLOOKUP(A87,Registry!$A$4:$AA$241,3,FALSE)</f>
        <v>Franklin</v>
      </c>
      <c r="D87" s="80" t="str">
        <f>VLOOKUP(A87,Registry!$A$4:$AA$241,4,FALSE)</f>
        <v>Highgate</v>
      </c>
      <c r="E87" s="80">
        <f>IF(VLOOKUP(A87,Registry!$A$4:$AA$241,7,FALSE)=0,"",VLOOKUP(A87,Registry!$A$4:$AA$241,7,FALSE))</f>
        <v>1968</v>
      </c>
      <c r="F87" s="80" t="str">
        <f>IF(VLOOKUP(A87,Registry!$A$4:$AA$241,20,FALSE)=0,"",VLOOKUP(A87,Registry!$A$4:$AA$241,20,FALSE))</f>
        <v>For profit</v>
      </c>
      <c r="G87" s="25">
        <v>2006</v>
      </c>
      <c r="H87" s="24">
        <f>VLOOKUP(A87,Registry!$A$4:$AA$241,21,FALSE)</f>
        <v>5</v>
      </c>
      <c r="I87" s="24">
        <f>VLOOKUP(A87,Registry!$A$4:$AA$241,24,FALSE)</f>
        <v>0</v>
      </c>
      <c r="J87" s="24">
        <f>VLOOKUP(A87,Registry!$A$4:$AA$241,26,FALSE)</f>
        <v>0</v>
      </c>
      <c r="K87" s="128">
        <v>0</v>
      </c>
      <c r="L87" s="128">
        <v>0</v>
      </c>
      <c r="M87" s="128">
        <v>0</v>
      </c>
      <c r="N87" s="128">
        <v>0</v>
      </c>
      <c r="O87" s="128">
        <v>0</v>
      </c>
      <c r="P87" s="128">
        <v>0</v>
      </c>
      <c r="Q87" s="28">
        <f>I87-Table4[[#This Row],[Park Owned6]]</f>
        <v>0</v>
      </c>
      <c r="R87" s="28">
        <f>J87-Table4[[#This Row],[Other Owned7]]</f>
        <v>0</v>
      </c>
      <c r="S87" s="24">
        <f>VLOOKUP($A87,Registry!$A$4:$AA$241,23,FALSE)</f>
        <v>0</v>
      </c>
      <c r="T87" s="61">
        <f t="shared" si="6"/>
        <v>0</v>
      </c>
      <c r="U87" s="35">
        <v>0</v>
      </c>
      <c r="V87" s="90">
        <v>0</v>
      </c>
      <c r="W87" s="86">
        <v>0</v>
      </c>
      <c r="X87" s="90">
        <v>0</v>
      </c>
      <c r="Y87" s="86">
        <v>0</v>
      </c>
      <c r="Z87" s="90">
        <v>0</v>
      </c>
      <c r="AA87" s="35">
        <f>Table4[[#This Row],['# Lots]]-Table4[[#This Row],['# Lots10]]</f>
        <v>0</v>
      </c>
      <c r="AB87" s="61">
        <f t="shared" si="7"/>
        <v>0</v>
      </c>
      <c r="AC87" s="35">
        <f>Table4[[#This Row],['# Lots]]-Table4[[#This Row],['# Lots14]]</f>
        <v>0</v>
      </c>
      <c r="AD87" s="61">
        <f t="shared" si="8"/>
        <v>0</v>
      </c>
      <c r="AE87" s="138">
        <v>5</v>
      </c>
      <c r="AF87" s="35">
        <v>5</v>
      </c>
      <c r="AG87" s="58">
        <v>5</v>
      </c>
      <c r="AH87" s="58">
        <v>5</v>
      </c>
      <c r="AI87" s="128">
        <f>Table4[[#This Row],[2022 Leased Lots20]]-Table4[[#This Row],[2019 Leased Lots23]]</f>
        <v>0</v>
      </c>
      <c r="AJ87" s="61">
        <f t="shared" si="9"/>
        <v>1</v>
      </c>
      <c r="AK87" s="139">
        <f>VLOOKUP($A87,Registry!$A$4:$AA$241,27,FALSE)</f>
        <v>320</v>
      </c>
      <c r="AL87" s="65">
        <v>310</v>
      </c>
      <c r="AM87" s="65">
        <v>310</v>
      </c>
      <c r="AN87" s="65">
        <v>310</v>
      </c>
      <c r="AO87" s="120">
        <f>IFERROR((AK87-Table4[[#This Row],[2019 Total Rent29]])/Table4[[#This Row],[2019 Total Rent29]], "-")</f>
        <v>3.2258064516129031E-2</v>
      </c>
    </row>
    <row r="88" spans="1:41" x14ac:dyDescent="0.25">
      <c r="A88" s="25">
        <v>103</v>
      </c>
      <c r="B88" s="54" t="str">
        <f>VLOOKUP(A88,Registry!$A$4:$AA$241,2,FALSE)</f>
        <v>Lamkin Trailer Park</v>
      </c>
      <c r="C88" s="80" t="str">
        <f>VLOOKUP(A88,Registry!$A$4:$AA$241,3,FALSE)</f>
        <v>Franklin</v>
      </c>
      <c r="D88" s="80" t="str">
        <f>VLOOKUP(A88,Registry!$A$4:$AA$241,4,FALSE)</f>
        <v>Highgate</v>
      </c>
      <c r="E88" s="80">
        <f>IF(VLOOKUP(A88,Registry!$A$4:$AA$241,7,FALSE)=0,"",VLOOKUP(A88,Registry!$A$4:$AA$241,7,FALSE))</f>
        <v>1982</v>
      </c>
      <c r="F88" s="80" t="str">
        <f>IF(VLOOKUP(A88,Registry!$A$4:$AA$241,20,FALSE)=0,"",VLOOKUP(A88,Registry!$A$4:$AA$241,20,FALSE))</f>
        <v>For profit</v>
      </c>
      <c r="G88" s="25">
        <v>1992</v>
      </c>
      <c r="H88" s="24">
        <f>VLOOKUP(A88,Registry!$A$4:$AA$241,21,FALSE)</f>
        <v>9</v>
      </c>
      <c r="I88" s="24">
        <f>VLOOKUP(A88,Registry!$A$4:$AA$241,24,FALSE)</f>
        <v>9</v>
      </c>
      <c r="J88" s="24">
        <f>VLOOKUP(A88,Registry!$A$4:$AA$241,26,FALSE)</f>
        <v>0</v>
      </c>
      <c r="K88" s="128">
        <v>9</v>
      </c>
      <c r="L88" s="128">
        <v>0</v>
      </c>
      <c r="M88" s="128">
        <v>9</v>
      </c>
      <c r="N88" s="128">
        <v>0</v>
      </c>
      <c r="O88" s="128">
        <v>9</v>
      </c>
      <c r="P88" s="128">
        <v>0</v>
      </c>
      <c r="Q88" s="28">
        <f>I88-Table4[[#This Row],[Park Owned6]]</f>
        <v>0</v>
      </c>
      <c r="R88" s="28">
        <f>J88-Table4[[#This Row],[Other Owned7]]</f>
        <v>0</v>
      </c>
      <c r="S88" s="24">
        <f>VLOOKUP($A88,Registry!$A$4:$AA$241,23,FALSE)</f>
        <v>0</v>
      </c>
      <c r="T88" s="61">
        <f t="shared" si="6"/>
        <v>0</v>
      </c>
      <c r="U88" s="35">
        <v>0</v>
      </c>
      <c r="V88" s="90">
        <v>0</v>
      </c>
      <c r="W88" s="86">
        <v>0</v>
      </c>
      <c r="X88" s="90">
        <v>0</v>
      </c>
      <c r="Y88" s="86">
        <v>0</v>
      </c>
      <c r="Z88" s="90">
        <v>0</v>
      </c>
      <c r="AA88" s="35">
        <f>Table4[[#This Row],['# Lots]]-Table4[[#This Row],['# Lots10]]</f>
        <v>0</v>
      </c>
      <c r="AB88" s="61">
        <f t="shared" si="7"/>
        <v>0</v>
      </c>
      <c r="AC88" s="35">
        <f>Table4[[#This Row],['# Lots]]-Table4[[#This Row],['# Lots14]]</f>
        <v>0</v>
      </c>
      <c r="AD88" s="61">
        <f t="shared" si="8"/>
        <v>0</v>
      </c>
      <c r="AE88" s="138">
        <v>9</v>
      </c>
      <c r="AF88" s="35">
        <v>9</v>
      </c>
      <c r="AG88" s="58">
        <v>9</v>
      </c>
      <c r="AH88" s="58">
        <v>9</v>
      </c>
      <c r="AI88" s="128">
        <f>Table4[[#This Row],[2022 Leased Lots20]]-Table4[[#This Row],[2019 Leased Lots23]]</f>
        <v>0</v>
      </c>
      <c r="AJ88" s="61">
        <f t="shared" si="9"/>
        <v>1</v>
      </c>
      <c r="AK88" s="139">
        <f>VLOOKUP($A88,Registry!$A$4:$AA$241,27,FALSE)</f>
        <v>0</v>
      </c>
      <c r="AL88" s="65">
        <v>0</v>
      </c>
      <c r="AM88" s="65"/>
      <c r="AN88" s="65"/>
      <c r="AO88" s="120" t="str">
        <f>IFERROR((AK88-Table4[[#This Row],[2019 Total Rent29]])/Table4[[#This Row],[2019 Total Rent29]], "-")</f>
        <v>-</v>
      </c>
    </row>
    <row r="89" spans="1:41" x14ac:dyDescent="0.25">
      <c r="A89" s="25">
        <v>98</v>
      </c>
      <c r="B89" s="54" t="str">
        <f>VLOOKUP(A89,Registry!$A$4:$AA$241,2,FALSE)</f>
        <v>LynnLou Mobile Home Park</v>
      </c>
      <c r="C89" s="80" t="str">
        <f>VLOOKUP(A89,Registry!$A$4:$AA$241,3,FALSE)</f>
        <v>Franklin</v>
      </c>
      <c r="D89" s="80" t="str">
        <f>VLOOKUP(A89,Registry!$A$4:$AA$241,4,FALSE)</f>
        <v>Highgate</v>
      </c>
      <c r="E89" s="80">
        <f>IF(VLOOKUP(A89,Registry!$A$4:$AA$241,7,FALSE)=0,"",VLOOKUP(A89,Registry!$A$4:$AA$241,7,FALSE))</f>
        <v>1970</v>
      </c>
      <c r="F89" s="80" t="str">
        <f>IF(VLOOKUP(A89,Registry!$A$4:$AA$241,20,FALSE)=0,"",VLOOKUP(A89,Registry!$A$4:$AA$241,20,FALSE))</f>
        <v>For profit</v>
      </c>
      <c r="G89" s="25">
        <v>2021</v>
      </c>
      <c r="H89" s="24">
        <f>VLOOKUP(A89,Registry!$A$4:$AA$241,21,FALSE)</f>
        <v>8</v>
      </c>
      <c r="I89" s="24">
        <f>VLOOKUP(A89,Registry!$A$4:$AA$241,24,FALSE)</f>
        <v>0</v>
      </c>
      <c r="J89" s="24">
        <f>VLOOKUP(A89,Registry!$A$4:$AA$241,26,FALSE)</f>
        <v>0</v>
      </c>
      <c r="K89" s="128">
        <v>0</v>
      </c>
      <c r="L89" s="128">
        <v>0</v>
      </c>
      <c r="M89" s="128">
        <v>0</v>
      </c>
      <c r="N89" s="128">
        <v>0</v>
      </c>
      <c r="O89" s="128">
        <v>0</v>
      </c>
      <c r="P89" s="128">
        <v>0</v>
      </c>
      <c r="Q89" s="28">
        <f>I89-Table4[[#This Row],[Park Owned6]]</f>
        <v>0</v>
      </c>
      <c r="R89" s="28">
        <f>J89-Table4[[#This Row],[Other Owned7]]</f>
        <v>0</v>
      </c>
      <c r="S89" s="24">
        <f>VLOOKUP($A89,Registry!$A$4:$AA$241,23,FALSE)</f>
        <v>0</v>
      </c>
      <c r="T89" s="61">
        <f t="shared" si="6"/>
        <v>0</v>
      </c>
      <c r="U89" s="35">
        <v>0</v>
      </c>
      <c r="V89" s="90">
        <v>0</v>
      </c>
      <c r="W89" s="86">
        <v>0</v>
      </c>
      <c r="X89" s="90">
        <v>0</v>
      </c>
      <c r="Y89" s="86">
        <v>0</v>
      </c>
      <c r="Z89" s="90">
        <v>0</v>
      </c>
      <c r="AA89" s="35">
        <f>Table4[[#This Row],['# Lots]]-Table4[[#This Row],['# Lots10]]</f>
        <v>0</v>
      </c>
      <c r="AB89" s="61">
        <f t="shared" si="7"/>
        <v>0</v>
      </c>
      <c r="AC89" s="35">
        <f>Table4[[#This Row],['# Lots]]-Table4[[#This Row],['# Lots14]]</f>
        <v>0</v>
      </c>
      <c r="AD89" s="61">
        <f t="shared" si="8"/>
        <v>0</v>
      </c>
      <c r="AE89" s="138">
        <v>6</v>
      </c>
      <c r="AF89" s="35">
        <v>6</v>
      </c>
      <c r="AG89" s="58">
        <v>6</v>
      </c>
      <c r="AH89" s="58">
        <v>6</v>
      </c>
      <c r="AI89" s="128">
        <f>Table4[[#This Row],[2022 Leased Lots20]]-Table4[[#This Row],[2019 Leased Lots23]]</f>
        <v>0</v>
      </c>
      <c r="AJ89" s="61">
        <f t="shared" si="9"/>
        <v>0.75</v>
      </c>
      <c r="AK89" s="139">
        <f>VLOOKUP($A89,Registry!$A$4:$AA$241,27,FALSE)</f>
        <v>274</v>
      </c>
      <c r="AL89" s="65">
        <v>263</v>
      </c>
      <c r="AM89" s="65">
        <v>263</v>
      </c>
      <c r="AN89" s="65">
        <v>263</v>
      </c>
      <c r="AO89" s="120">
        <f>IFERROR((AK89-Table4[[#This Row],[2019 Total Rent29]])/Table4[[#This Row],[2019 Total Rent29]], "-")</f>
        <v>4.1825095057034217E-2</v>
      </c>
    </row>
    <row r="90" spans="1:41" x14ac:dyDescent="0.25">
      <c r="A90" s="25">
        <v>100</v>
      </c>
      <c r="B90" s="54" t="str">
        <f>VLOOKUP(A90,Registry!$A$4:$AA$241,2,FALSE)</f>
        <v>N and A Pine Haven Inc.</v>
      </c>
      <c r="C90" s="80" t="str">
        <f>VLOOKUP(A90,Registry!$A$4:$AA$241,3,FALSE)</f>
        <v>Franklin</v>
      </c>
      <c r="D90" s="80" t="str">
        <f>VLOOKUP(A90,Registry!$A$4:$AA$241,4,FALSE)</f>
        <v>Highgate</v>
      </c>
      <c r="E90" s="80">
        <f>IF(VLOOKUP(A90,Registry!$A$4:$AA$241,7,FALSE)=0,"",VLOOKUP(A90,Registry!$A$4:$AA$241,7,FALSE))</f>
        <v>1992</v>
      </c>
      <c r="F90" s="80" t="str">
        <f>IF(VLOOKUP(A90,Registry!$A$4:$AA$241,20,FALSE)=0,"",VLOOKUP(A90,Registry!$A$4:$AA$241,20,FALSE))</f>
        <v>For profit</v>
      </c>
      <c r="G90" s="25">
        <v>1992</v>
      </c>
      <c r="H90" s="24">
        <f>VLOOKUP(A90,Registry!$A$4:$AA$241,21,FALSE)</f>
        <v>7</v>
      </c>
      <c r="I90" s="24">
        <f>VLOOKUP(A90,Registry!$A$4:$AA$241,24,FALSE)</f>
        <v>0</v>
      </c>
      <c r="J90" s="24">
        <f>VLOOKUP(A90,Registry!$A$4:$AA$241,26,FALSE)</f>
        <v>0</v>
      </c>
      <c r="K90" s="128">
        <v>0</v>
      </c>
      <c r="L90" s="128">
        <v>0</v>
      </c>
      <c r="M90" s="128">
        <v>0</v>
      </c>
      <c r="N90" s="128">
        <v>0</v>
      </c>
      <c r="O90" s="128">
        <v>0</v>
      </c>
      <c r="P90" s="128">
        <v>0</v>
      </c>
      <c r="Q90" s="28">
        <f>I90-Table4[[#This Row],[Park Owned6]]</f>
        <v>0</v>
      </c>
      <c r="R90" s="28">
        <f>J90-Table4[[#This Row],[Other Owned7]]</f>
        <v>0</v>
      </c>
      <c r="S90" s="24">
        <f>VLOOKUP($A90,Registry!$A$4:$AA$241,23,FALSE)</f>
        <v>0</v>
      </c>
      <c r="T90" s="61">
        <f t="shared" si="6"/>
        <v>0</v>
      </c>
      <c r="U90" s="35">
        <v>0</v>
      </c>
      <c r="V90" s="90">
        <v>0</v>
      </c>
      <c r="W90" s="86">
        <v>0</v>
      </c>
      <c r="X90" s="90">
        <v>0</v>
      </c>
      <c r="Y90" s="86">
        <v>0</v>
      </c>
      <c r="Z90" s="90">
        <v>0</v>
      </c>
      <c r="AA90" s="35">
        <f>Table4[[#This Row],['# Lots]]-Table4[[#This Row],['# Lots10]]</f>
        <v>0</v>
      </c>
      <c r="AB90" s="61">
        <f t="shared" si="7"/>
        <v>0</v>
      </c>
      <c r="AC90" s="35">
        <f>Table4[[#This Row],['# Lots]]-Table4[[#This Row],['# Lots14]]</f>
        <v>0</v>
      </c>
      <c r="AD90" s="61">
        <f t="shared" si="8"/>
        <v>0</v>
      </c>
      <c r="AE90" s="138">
        <v>7</v>
      </c>
      <c r="AF90" s="35">
        <v>7</v>
      </c>
      <c r="AG90" s="58">
        <v>7</v>
      </c>
      <c r="AH90" s="58">
        <v>7</v>
      </c>
      <c r="AI90" s="128">
        <f>Table4[[#This Row],[2022 Leased Lots20]]-Table4[[#This Row],[2019 Leased Lots23]]</f>
        <v>0</v>
      </c>
      <c r="AJ90" s="61">
        <f t="shared" si="9"/>
        <v>1</v>
      </c>
      <c r="AK90" s="139">
        <f>VLOOKUP($A90,Registry!$A$4:$AA$241,27,FALSE)</f>
        <v>335</v>
      </c>
      <c r="AL90" s="65">
        <v>320</v>
      </c>
      <c r="AM90" s="65">
        <v>320</v>
      </c>
      <c r="AN90" s="65">
        <v>320</v>
      </c>
      <c r="AO90" s="120">
        <f>IFERROR((AK90-Table4[[#This Row],[2019 Total Rent29]])/Table4[[#This Row],[2019 Total Rent29]], "-")</f>
        <v>4.6875E-2</v>
      </c>
    </row>
    <row r="91" spans="1:41" x14ac:dyDescent="0.25">
      <c r="A91" s="25">
        <v>71</v>
      </c>
      <c r="B91" s="54" t="str">
        <f>VLOOKUP(A91,Registry!$A$4:$AA$241,2,FALSE)</f>
        <v>Pine Haven Estates A</v>
      </c>
      <c r="C91" s="80" t="str">
        <f>VLOOKUP(A91,Registry!$A$4:$AA$241,3,FALSE)</f>
        <v>Franklin</v>
      </c>
      <c r="D91" s="80" t="str">
        <f>VLOOKUP(A91,Registry!$A$4:$AA$241,4,FALSE)</f>
        <v>Richford</v>
      </c>
      <c r="E91" s="80">
        <f>IF(VLOOKUP(A91,Registry!$A$4:$AA$241,7,FALSE)=0,"",VLOOKUP(A91,Registry!$A$4:$AA$241,7,FALSE))</f>
        <v>1966</v>
      </c>
      <c r="F91" s="80" t="str">
        <f>IF(VLOOKUP(A91,Registry!$A$4:$AA$241,20,FALSE)=0,"",VLOOKUP(A91,Registry!$A$4:$AA$241,20,FALSE))</f>
        <v>For profit</v>
      </c>
      <c r="G91" s="25">
        <v>2018</v>
      </c>
      <c r="H91" s="24">
        <f>VLOOKUP(A91,Registry!$A$4:$AA$241,21,FALSE)</f>
        <v>10</v>
      </c>
      <c r="I91" s="24">
        <f>VLOOKUP(A91,Registry!$A$4:$AA$241,24,FALSE)</f>
        <v>0</v>
      </c>
      <c r="J91" s="24">
        <f>VLOOKUP(A91,Registry!$A$4:$AA$241,26,FALSE)</f>
        <v>0</v>
      </c>
      <c r="K91" s="128">
        <v>0</v>
      </c>
      <c r="L91" s="128">
        <v>0</v>
      </c>
      <c r="M91" s="128">
        <v>0</v>
      </c>
      <c r="N91" s="128">
        <v>0</v>
      </c>
      <c r="O91" s="128">
        <v>0</v>
      </c>
      <c r="P91" s="128">
        <v>0</v>
      </c>
      <c r="Q91" s="28">
        <f>I91-Table4[[#This Row],[Park Owned6]]</f>
        <v>0</v>
      </c>
      <c r="R91" s="28">
        <f>J91-Table4[[#This Row],[Other Owned7]]</f>
        <v>0</v>
      </c>
      <c r="S91" s="24">
        <f>VLOOKUP($A91,Registry!$A$4:$AA$241,23,FALSE)</f>
        <v>0</v>
      </c>
      <c r="T91" s="61">
        <f t="shared" si="6"/>
        <v>0</v>
      </c>
      <c r="U91" s="35">
        <v>0</v>
      </c>
      <c r="V91" s="90">
        <v>0</v>
      </c>
      <c r="W91" s="86">
        <v>0</v>
      </c>
      <c r="X91" s="90">
        <v>0</v>
      </c>
      <c r="Y91" s="86">
        <v>0</v>
      </c>
      <c r="Z91" s="90">
        <v>0</v>
      </c>
      <c r="AA91" s="35">
        <f>Table4[[#This Row],['# Lots]]-Table4[[#This Row],['# Lots10]]</f>
        <v>0</v>
      </c>
      <c r="AB91" s="61">
        <f t="shared" si="7"/>
        <v>0</v>
      </c>
      <c r="AC91" s="35">
        <f>Table4[[#This Row],['# Lots]]-Table4[[#This Row],['# Lots14]]</f>
        <v>0</v>
      </c>
      <c r="AD91" s="61">
        <f t="shared" si="8"/>
        <v>0</v>
      </c>
      <c r="AE91" s="138">
        <v>10</v>
      </c>
      <c r="AF91" s="35">
        <v>10</v>
      </c>
      <c r="AG91" s="58">
        <v>10</v>
      </c>
      <c r="AH91" s="58">
        <v>10</v>
      </c>
      <c r="AI91" s="128">
        <f>Table4[[#This Row],[2022 Leased Lots20]]-Table4[[#This Row],[2019 Leased Lots23]]</f>
        <v>0</v>
      </c>
      <c r="AJ91" s="61">
        <f t="shared" si="9"/>
        <v>1</v>
      </c>
      <c r="AK91" s="139">
        <f>VLOOKUP($A91,Registry!$A$4:$AA$241,27,FALSE)</f>
        <v>334</v>
      </c>
      <c r="AL91" s="65">
        <v>320</v>
      </c>
      <c r="AM91" s="65">
        <v>320</v>
      </c>
      <c r="AN91" s="65">
        <v>248</v>
      </c>
      <c r="AO91" s="120">
        <f>IFERROR((AK91-Table4[[#This Row],[2019 Total Rent29]])/Table4[[#This Row],[2019 Total Rent29]], "-")</f>
        <v>0.34677419354838712</v>
      </c>
    </row>
    <row r="92" spans="1:41" x14ac:dyDescent="0.25">
      <c r="A92" s="25">
        <v>70</v>
      </c>
      <c r="B92" s="54" t="str">
        <f>VLOOKUP(A92,Registry!$A$4:$AA$241,2,FALSE)</f>
        <v>Pine Haven Estates B</v>
      </c>
      <c r="C92" s="80" t="str">
        <f>VLOOKUP(A92,Registry!$A$4:$AA$241,3,FALSE)</f>
        <v>Franklin</v>
      </c>
      <c r="D92" s="80" t="str">
        <f>VLOOKUP(A92,Registry!$A$4:$AA$241,4,FALSE)</f>
        <v>Richford</v>
      </c>
      <c r="E92" s="80">
        <f>IF(VLOOKUP(A92,Registry!$A$4:$AA$241,7,FALSE)=0,"",VLOOKUP(A92,Registry!$A$4:$AA$241,7,FALSE))</f>
        <v>1970</v>
      </c>
      <c r="F92" s="80" t="str">
        <f>IF(VLOOKUP(A92,Registry!$A$4:$AA$241,20,FALSE)=0,"",VLOOKUP(A92,Registry!$A$4:$AA$241,20,FALSE))</f>
        <v>For profit</v>
      </c>
      <c r="G92" s="25">
        <v>2018</v>
      </c>
      <c r="H92" s="24">
        <f>VLOOKUP(A92,Registry!$A$4:$AA$241,21,FALSE)</f>
        <v>19</v>
      </c>
      <c r="I92" s="24">
        <f>VLOOKUP(A92,Registry!$A$4:$AA$241,24,FALSE)</f>
        <v>0</v>
      </c>
      <c r="J92" s="24">
        <f>VLOOKUP(A92,Registry!$A$4:$AA$241,26,FALSE)</f>
        <v>0</v>
      </c>
      <c r="K92" s="128">
        <v>0</v>
      </c>
      <c r="L92" s="128">
        <v>0</v>
      </c>
      <c r="M92" s="128">
        <v>0</v>
      </c>
      <c r="N92" s="128">
        <v>0</v>
      </c>
      <c r="O92" s="128">
        <v>0</v>
      </c>
      <c r="P92" s="128">
        <v>0</v>
      </c>
      <c r="Q92" s="28">
        <f>I92-Table4[[#This Row],[Park Owned6]]</f>
        <v>0</v>
      </c>
      <c r="R92" s="28">
        <f>J92-Table4[[#This Row],[Other Owned7]]</f>
        <v>0</v>
      </c>
      <c r="S92" s="24">
        <f>VLOOKUP($A92,Registry!$A$4:$AA$241,23,FALSE)</f>
        <v>2</v>
      </c>
      <c r="T92" s="61">
        <f t="shared" si="6"/>
        <v>0.10526315789473684</v>
      </c>
      <c r="U92" s="35">
        <v>7</v>
      </c>
      <c r="V92" s="90">
        <v>0.36842105263157893</v>
      </c>
      <c r="W92" s="86">
        <v>7</v>
      </c>
      <c r="X92" s="90">
        <v>0.36799999999999999</v>
      </c>
      <c r="Y92" s="86">
        <v>5</v>
      </c>
      <c r="Z92" s="90">
        <v>0.26300000000000001</v>
      </c>
      <c r="AA92" s="35">
        <f>Table4[[#This Row],['# Lots]]-Table4[[#This Row],['# Lots10]]</f>
        <v>-5</v>
      </c>
      <c r="AB92" s="61">
        <f t="shared" si="7"/>
        <v>-0.26315789473684209</v>
      </c>
      <c r="AC92" s="35">
        <f>Table4[[#This Row],['# Lots]]-Table4[[#This Row],['# Lots14]]</f>
        <v>-3</v>
      </c>
      <c r="AD92" s="61">
        <f t="shared" si="8"/>
        <v>-0.15789473684210525</v>
      </c>
      <c r="AE92" s="138">
        <v>12</v>
      </c>
      <c r="AF92" s="35">
        <v>12</v>
      </c>
      <c r="AG92" s="58">
        <v>14</v>
      </c>
      <c r="AH92" s="58">
        <v>14</v>
      </c>
      <c r="AI92" s="128">
        <f>Table4[[#This Row],[2022 Leased Lots20]]-Table4[[#This Row],[2019 Leased Lots23]]</f>
        <v>-2</v>
      </c>
      <c r="AJ92" s="61">
        <f t="shared" si="9"/>
        <v>0.63157894736842102</v>
      </c>
      <c r="AK92" s="139">
        <f>VLOOKUP($A92,Registry!$A$4:$AA$241,27,FALSE)</f>
        <v>334</v>
      </c>
      <c r="AL92" s="65">
        <v>320</v>
      </c>
      <c r="AM92" s="65">
        <v>320</v>
      </c>
      <c r="AN92" s="65">
        <v>248</v>
      </c>
      <c r="AO92" s="120">
        <f>IFERROR((AK92-Table4[[#This Row],[2019 Total Rent29]])/Table4[[#This Row],[2019 Total Rent29]], "-")</f>
        <v>0.34677419354838712</v>
      </c>
    </row>
    <row r="93" spans="1:41" x14ac:dyDescent="0.25">
      <c r="A93" s="25">
        <v>109</v>
      </c>
      <c r="B93" s="54" t="str">
        <f>VLOOKUP(A93,Registry!$A$4:$AA$241,2,FALSE)</f>
        <v>Kittell's Mobile Home Park</v>
      </c>
      <c r="C93" s="80" t="str">
        <f>VLOOKUP(A93,Registry!$A$4:$AA$241,3,FALSE)</f>
        <v>Franklin</v>
      </c>
      <c r="D93" s="80" t="str">
        <f>VLOOKUP(A93,Registry!$A$4:$AA$241,4,FALSE)</f>
        <v>Sheldon</v>
      </c>
      <c r="E93" s="80">
        <f>IF(VLOOKUP(A93,Registry!$A$4:$AA$241,7,FALSE)=0,"",VLOOKUP(A93,Registry!$A$4:$AA$241,7,FALSE))</f>
        <v>1968</v>
      </c>
      <c r="F93" s="80" t="str">
        <f>IF(VLOOKUP(A93,Registry!$A$4:$AA$241,20,FALSE)=0,"",VLOOKUP(A93,Registry!$A$4:$AA$241,20,FALSE))</f>
        <v>For profit</v>
      </c>
      <c r="G93" s="25">
        <v>2012</v>
      </c>
      <c r="H93" s="24">
        <f>VLOOKUP(A93,Registry!$A$4:$AA$241,21,FALSE)</f>
        <v>7</v>
      </c>
      <c r="I93" s="24">
        <f>VLOOKUP(A93,Registry!$A$4:$AA$241,24,FALSE)</f>
        <v>0</v>
      </c>
      <c r="J93" s="24">
        <f>VLOOKUP(A93,Registry!$A$4:$AA$241,26,FALSE)</f>
        <v>0</v>
      </c>
      <c r="K93" s="128">
        <v>0</v>
      </c>
      <c r="L93" s="128">
        <v>0</v>
      </c>
      <c r="M93" s="128">
        <v>0</v>
      </c>
      <c r="N93" s="128">
        <v>0</v>
      </c>
      <c r="O93" s="128">
        <v>0</v>
      </c>
      <c r="P93" s="128">
        <v>0</v>
      </c>
      <c r="Q93" s="28">
        <f>I93-Table4[[#This Row],[Park Owned6]]</f>
        <v>0</v>
      </c>
      <c r="R93" s="28">
        <f>J93-Table4[[#This Row],[Other Owned7]]</f>
        <v>0</v>
      </c>
      <c r="S93" s="24">
        <f>VLOOKUP($A93,Registry!$A$4:$AA$241,23,FALSE)</f>
        <v>0</v>
      </c>
      <c r="T93" s="61">
        <f t="shared" si="6"/>
        <v>0</v>
      </c>
      <c r="U93" s="35">
        <v>0</v>
      </c>
      <c r="V93" s="90">
        <v>0</v>
      </c>
      <c r="W93" s="86">
        <v>0</v>
      </c>
      <c r="X93" s="90">
        <v>0</v>
      </c>
      <c r="Y93" s="86">
        <v>0</v>
      </c>
      <c r="Z93" s="90">
        <v>0</v>
      </c>
      <c r="AA93" s="35">
        <f>Table4[[#This Row],['# Lots]]-Table4[[#This Row],['# Lots10]]</f>
        <v>0</v>
      </c>
      <c r="AB93" s="61">
        <f t="shared" si="7"/>
        <v>0</v>
      </c>
      <c r="AC93" s="35">
        <f>Table4[[#This Row],['# Lots]]-Table4[[#This Row],['# Lots14]]</f>
        <v>0</v>
      </c>
      <c r="AD93" s="61">
        <f t="shared" si="8"/>
        <v>0</v>
      </c>
      <c r="AE93" s="138">
        <v>7</v>
      </c>
      <c r="AF93" s="35">
        <v>7</v>
      </c>
      <c r="AG93" s="58">
        <v>7</v>
      </c>
      <c r="AH93" s="58">
        <v>7</v>
      </c>
      <c r="AI93" s="128">
        <f>Table4[[#This Row],[2022 Leased Lots20]]-Table4[[#This Row],[2019 Leased Lots23]]</f>
        <v>0</v>
      </c>
      <c r="AJ93" s="61">
        <f t="shared" si="9"/>
        <v>1</v>
      </c>
      <c r="AK93" s="139">
        <f>VLOOKUP($A93,Registry!$A$4:$AA$241,27,FALSE)</f>
        <v>207.6</v>
      </c>
      <c r="AL93" s="65">
        <v>207.6</v>
      </c>
      <c r="AM93" s="65">
        <v>207.6</v>
      </c>
      <c r="AN93" s="65">
        <v>200</v>
      </c>
      <c r="AO93" s="120">
        <f>IFERROR((AK93-Table4[[#This Row],[2019 Total Rent29]])/Table4[[#This Row],[2019 Total Rent29]], "-")</f>
        <v>3.7999999999999971E-2</v>
      </c>
    </row>
    <row r="94" spans="1:41" x14ac:dyDescent="0.25">
      <c r="A94" s="25">
        <v>118</v>
      </c>
      <c r="B94" s="54" t="str">
        <f>VLOOKUP(A94,Registry!$A$4:$AA$241,2,FALSE)</f>
        <v>Brierwood Mobile Home Park</v>
      </c>
      <c r="C94" s="80" t="str">
        <f>VLOOKUP(A94,Registry!$A$4:$AA$241,3,FALSE)</f>
        <v>Franklin</v>
      </c>
      <c r="D94" s="80" t="str">
        <f>VLOOKUP(A94,Registry!$A$4:$AA$241,4,FALSE)</f>
        <v>St. Albans</v>
      </c>
      <c r="E94" s="80">
        <f>IF(VLOOKUP(A94,Registry!$A$4:$AA$241,7,FALSE)=0,"",VLOOKUP(A94,Registry!$A$4:$AA$241,7,FALSE))</f>
        <v>1953</v>
      </c>
      <c r="F94" s="80" t="str">
        <f>IF(VLOOKUP(A94,Registry!$A$4:$AA$241,20,FALSE)=0,"",VLOOKUP(A94,Registry!$A$4:$AA$241,20,FALSE))</f>
        <v>For profit</v>
      </c>
      <c r="G94" s="25">
        <v>1981</v>
      </c>
      <c r="H94" s="24">
        <f>VLOOKUP(A94,Registry!$A$4:$AA$241,21,FALSE)</f>
        <v>30</v>
      </c>
      <c r="I94" s="24">
        <f>VLOOKUP(A94,Registry!$A$4:$AA$241,24,FALSE)</f>
        <v>0</v>
      </c>
      <c r="J94" s="24">
        <f>VLOOKUP(A94,Registry!$A$4:$AA$241,26,FALSE)</f>
        <v>3</v>
      </c>
      <c r="K94" s="128">
        <v>0</v>
      </c>
      <c r="L94" s="128">
        <v>4</v>
      </c>
      <c r="M94" s="128">
        <v>0</v>
      </c>
      <c r="N94" s="128">
        <v>5</v>
      </c>
      <c r="O94" s="128">
        <v>0</v>
      </c>
      <c r="P94" s="128">
        <v>5</v>
      </c>
      <c r="Q94" s="28">
        <f>I94-Table4[[#This Row],[Park Owned6]]</f>
        <v>0</v>
      </c>
      <c r="R94" s="28">
        <f>J94-Table4[[#This Row],[Other Owned7]]</f>
        <v>-2</v>
      </c>
      <c r="S94" s="24">
        <f>VLOOKUP($A94,Registry!$A$4:$AA$241,23,FALSE)</f>
        <v>3</v>
      </c>
      <c r="T94" s="61">
        <f t="shared" si="6"/>
        <v>0.1</v>
      </c>
      <c r="U94" s="35">
        <v>4</v>
      </c>
      <c r="V94" s="90">
        <v>0.13333333333333333</v>
      </c>
      <c r="W94" s="86">
        <v>7</v>
      </c>
      <c r="X94" s="90">
        <v>0.23300000000000001</v>
      </c>
      <c r="Y94" s="86">
        <v>7</v>
      </c>
      <c r="Z94" s="90">
        <v>0.23300000000000001</v>
      </c>
      <c r="AA94" s="35">
        <f>Table4[[#This Row],['# Lots]]-Table4[[#This Row],['# Lots10]]</f>
        <v>-1</v>
      </c>
      <c r="AB94" s="61">
        <f t="shared" si="7"/>
        <v>-3.3333333333333333E-2</v>
      </c>
      <c r="AC94" s="35">
        <f>Table4[[#This Row],['# Lots]]-Table4[[#This Row],['# Lots14]]</f>
        <v>-4</v>
      </c>
      <c r="AD94" s="61">
        <f t="shared" si="8"/>
        <v>-0.13333333333333333</v>
      </c>
      <c r="AE94" s="138">
        <v>22</v>
      </c>
      <c r="AF94" s="35">
        <v>18</v>
      </c>
      <c r="AG94" s="58">
        <v>18</v>
      </c>
      <c r="AH94" s="58">
        <v>21</v>
      </c>
      <c r="AI94" s="128">
        <f>Table4[[#This Row],[2022 Leased Lots20]]-Table4[[#This Row],[2019 Leased Lots23]]</f>
        <v>1</v>
      </c>
      <c r="AJ94" s="61">
        <f t="shared" si="9"/>
        <v>0.73333333333333328</v>
      </c>
      <c r="AK94" s="139">
        <f>VLOOKUP($A94,Registry!$A$4:$AA$241,27,FALSE)</f>
        <v>360</v>
      </c>
      <c r="AL94" s="65">
        <v>360</v>
      </c>
      <c r="AM94" s="65">
        <v>350</v>
      </c>
      <c r="AN94" s="65">
        <v>350</v>
      </c>
      <c r="AO94" s="120">
        <f>IFERROR((AK94-Table4[[#This Row],[2019 Total Rent29]])/Table4[[#This Row],[2019 Total Rent29]], "-")</f>
        <v>2.8571428571428571E-2</v>
      </c>
    </row>
    <row r="95" spans="1:41" x14ac:dyDescent="0.25">
      <c r="A95" s="25">
        <v>107</v>
      </c>
      <c r="B95" s="54" t="str">
        <f>VLOOKUP(A95,Registry!$A$4:$AA$241,2,FALSE)</f>
        <v>Giroux's Mobile Home Park</v>
      </c>
      <c r="C95" s="80" t="str">
        <f>VLOOKUP(A95,Registry!$A$4:$AA$241,3,FALSE)</f>
        <v>Franklin</v>
      </c>
      <c r="D95" s="80" t="str">
        <f>VLOOKUP(A95,Registry!$A$4:$AA$241,4,FALSE)</f>
        <v>St. Albans</v>
      </c>
      <c r="E95" s="80">
        <f>IF(VLOOKUP(A95,Registry!$A$4:$AA$241,7,FALSE)=0,"",VLOOKUP(A95,Registry!$A$4:$AA$241,7,FALSE))</f>
        <v>2014</v>
      </c>
      <c r="F95" s="80" t="str">
        <f>IF(VLOOKUP(A95,Registry!$A$4:$AA$241,20,FALSE)=0,"",VLOOKUP(A95,Registry!$A$4:$AA$241,20,FALSE))</f>
        <v>For profit</v>
      </c>
      <c r="G95" s="25">
        <v>2022</v>
      </c>
      <c r="H95" s="24">
        <f>VLOOKUP(A95,Registry!$A$4:$AA$241,21,FALSE)</f>
        <v>13</v>
      </c>
      <c r="I95" s="24">
        <f>VLOOKUP(A95,Registry!$A$4:$AA$241,24,FALSE)</f>
        <v>11</v>
      </c>
      <c r="J95" s="24">
        <f>VLOOKUP(A95,Registry!$A$4:$AA$241,26,FALSE)</f>
        <v>0</v>
      </c>
      <c r="K95" s="128">
        <v>11</v>
      </c>
      <c r="L95" s="128">
        <v>0</v>
      </c>
      <c r="M95" s="128">
        <v>11</v>
      </c>
      <c r="N95" s="128">
        <v>0</v>
      </c>
      <c r="O95" s="128">
        <v>10</v>
      </c>
      <c r="P95" s="128">
        <v>0</v>
      </c>
      <c r="Q95" s="28">
        <f>I95-Table4[[#This Row],[Park Owned6]]</f>
        <v>1</v>
      </c>
      <c r="R95" s="28">
        <f>J95-Table4[[#This Row],[Other Owned7]]</f>
        <v>0</v>
      </c>
      <c r="S95" s="24">
        <f>VLOOKUP($A95,Registry!$A$4:$AA$241,23,FALSE)</f>
        <v>0</v>
      </c>
      <c r="T95" s="61">
        <f t="shared" si="6"/>
        <v>0</v>
      </c>
      <c r="U95" s="35">
        <v>0</v>
      </c>
      <c r="V95" s="90">
        <v>0</v>
      </c>
      <c r="W95" s="86">
        <v>0</v>
      </c>
      <c r="X95" s="90">
        <v>0</v>
      </c>
      <c r="Y95" s="86">
        <v>0</v>
      </c>
      <c r="Z95" s="90">
        <v>0</v>
      </c>
      <c r="AA95" s="35">
        <f>Table4[[#This Row],['# Lots]]-Table4[[#This Row],['# Lots10]]</f>
        <v>0</v>
      </c>
      <c r="AB95" s="61">
        <f t="shared" si="7"/>
        <v>0</v>
      </c>
      <c r="AC95" s="35">
        <f>Table4[[#This Row],['# Lots]]-Table4[[#This Row],['# Lots14]]</f>
        <v>0</v>
      </c>
      <c r="AD95" s="61">
        <f t="shared" si="8"/>
        <v>0</v>
      </c>
      <c r="AE95" s="138">
        <v>13</v>
      </c>
      <c r="AF95" s="35">
        <v>13</v>
      </c>
      <c r="AG95" s="58">
        <v>13</v>
      </c>
      <c r="AH95" s="58">
        <v>13</v>
      </c>
      <c r="AI95" s="128">
        <f>Table4[[#This Row],[2022 Leased Lots20]]-Table4[[#This Row],[2019 Leased Lots23]]</f>
        <v>0</v>
      </c>
      <c r="AJ95" s="61">
        <f t="shared" si="9"/>
        <v>1</v>
      </c>
      <c r="AK95" s="139">
        <f>VLOOKUP($A95,Registry!$A$4:$AA$241,27,FALSE)</f>
        <v>390.78</v>
      </c>
      <c r="AL95" s="65">
        <v>373.47</v>
      </c>
      <c r="AM95" s="65">
        <v>373.47</v>
      </c>
      <c r="AN95" s="65">
        <v>373.47</v>
      </c>
      <c r="AO95" s="120">
        <f>IFERROR((AK95-Table4[[#This Row],[2019 Total Rent29]])/Table4[[#This Row],[2019 Total Rent29]], "-")</f>
        <v>4.6349104345730432E-2</v>
      </c>
    </row>
    <row r="96" spans="1:41" x14ac:dyDescent="0.25">
      <c r="A96" s="25">
        <v>93</v>
      </c>
      <c r="B96" s="54" t="str">
        <f>VLOOKUP(A96,Registry!$A$4:$AA$241,2,FALSE)</f>
        <v>Lakeview Trailer Park</v>
      </c>
      <c r="C96" s="80" t="str">
        <f>VLOOKUP(A96,Registry!$A$4:$AA$241,3,FALSE)</f>
        <v>Franklin</v>
      </c>
      <c r="D96" s="80" t="str">
        <f>VLOOKUP(A96,Registry!$A$4:$AA$241,4,FALSE)</f>
        <v>St. Albans</v>
      </c>
      <c r="E96" s="80">
        <f>IF(VLOOKUP(A96,Registry!$A$4:$AA$241,7,FALSE)=0,"",VLOOKUP(A96,Registry!$A$4:$AA$241,7,FALSE))</f>
        <v>1945</v>
      </c>
      <c r="F96" s="80" t="str">
        <f>IF(VLOOKUP(A96,Registry!$A$4:$AA$241,20,FALSE)=0,"",VLOOKUP(A96,Registry!$A$4:$AA$241,20,FALSE))</f>
        <v>For profit</v>
      </c>
      <c r="G96" s="25">
        <v>2013</v>
      </c>
      <c r="H96" s="24">
        <f>VLOOKUP(A96,Registry!$A$4:$AA$241,21,FALSE)</f>
        <v>9</v>
      </c>
      <c r="I96" s="24">
        <f>VLOOKUP(A96,Registry!$A$4:$AA$241,24,FALSE)</f>
        <v>0</v>
      </c>
      <c r="J96" s="24">
        <f>VLOOKUP(A96,Registry!$A$4:$AA$241,26,FALSE)</f>
        <v>0</v>
      </c>
      <c r="K96" s="128">
        <v>0</v>
      </c>
      <c r="L96" s="128">
        <v>0</v>
      </c>
      <c r="M96" s="128">
        <v>0</v>
      </c>
      <c r="N96" s="128">
        <v>0</v>
      </c>
      <c r="O96" s="128">
        <v>0</v>
      </c>
      <c r="P96" s="128">
        <v>0</v>
      </c>
      <c r="Q96" s="28">
        <f>I96-Table4[[#This Row],[Park Owned6]]</f>
        <v>0</v>
      </c>
      <c r="R96" s="28">
        <f>J96-Table4[[#This Row],[Other Owned7]]</f>
        <v>0</v>
      </c>
      <c r="S96" s="24">
        <f>VLOOKUP($A96,Registry!$A$4:$AA$241,23,FALSE)</f>
        <v>0</v>
      </c>
      <c r="T96" s="61">
        <f t="shared" si="6"/>
        <v>0</v>
      </c>
      <c r="U96" s="35">
        <v>0</v>
      </c>
      <c r="V96" s="90">
        <v>0</v>
      </c>
      <c r="W96" s="86">
        <v>0</v>
      </c>
      <c r="X96" s="90">
        <v>0</v>
      </c>
      <c r="Y96" s="86">
        <v>0</v>
      </c>
      <c r="Z96" s="90">
        <v>0</v>
      </c>
      <c r="AA96" s="35">
        <f>Table4[[#This Row],['# Lots]]-Table4[[#This Row],['# Lots10]]</f>
        <v>0</v>
      </c>
      <c r="AB96" s="61">
        <f t="shared" si="7"/>
        <v>0</v>
      </c>
      <c r="AC96" s="35">
        <f>Table4[[#This Row],['# Lots]]-Table4[[#This Row],['# Lots14]]</f>
        <v>0</v>
      </c>
      <c r="AD96" s="61">
        <f t="shared" si="8"/>
        <v>0</v>
      </c>
      <c r="AE96" s="138">
        <v>9</v>
      </c>
      <c r="AF96" s="35">
        <v>9</v>
      </c>
      <c r="AG96" s="58">
        <v>9</v>
      </c>
      <c r="AH96" s="58">
        <v>9</v>
      </c>
      <c r="AI96" s="128">
        <f>Table4[[#This Row],[2022 Leased Lots20]]-Table4[[#This Row],[2019 Leased Lots23]]</f>
        <v>0</v>
      </c>
      <c r="AJ96" s="61">
        <f t="shared" si="9"/>
        <v>1</v>
      </c>
      <c r="AK96" s="139">
        <f>VLOOKUP($A96,Registry!$A$4:$AA$241,27,FALSE)</f>
        <v>380</v>
      </c>
      <c r="AL96" s="65">
        <v>365</v>
      </c>
      <c r="AM96" s="65">
        <v>365</v>
      </c>
      <c r="AN96" s="65">
        <v>355</v>
      </c>
      <c r="AO96" s="120">
        <f>IFERROR((AK96-Table4[[#This Row],[2019 Total Rent29]])/Table4[[#This Row],[2019 Total Rent29]], "-")</f>
        <v>7.0422535211267609E-2</v>
      </c>
    </row>
    <row r="97" spans="1:41" x14ac:dyDescent="0.25">
      <c r="A97" s="25">
        <v>94</v>
      </c>
      <c r="B97" s="54" t="str">
        <f>VLOOKUP(A97,Registry!$A$4:$AA$241,2,FALSE)</f>
        <v>Lapierre Mobile Home Park</v>
      </c>
      <c r="C97" s="80" t="str">
        <f>VLOOKUP(A97,Registry!$A$4:$AA$241,3,FALSE)</f>
        <v>Franklin</v>
      </c>
      <c r="D97" s="80" t="str">
        <f>VLOOKUP(A97,Registry!$A$4:$AA$241,4,FALSE)</f>
        <v>St. Albans</v>
      </c>
      <c r="E97" s="80">
        <f>IF(VLOOKUP(A97,Registry!$A$4:$AA$241,7,FALSE)=0,"",VLOOKUP(A97,Registry!$A$4:$AA$241,7,FALSE))</f>
        <v>1968</v>
      </c>
      <c r="F97" s="80" t="str">
        <f>IF(VLOOKUP(A97,Registry!$A$4:$AA$241,20,FALSE)=0,"",VLOOKUP(A97,Registry!$A$4:$AA$241,20,FALSE))</f>
        <v>For profit</v>
      </c>
      <c r="G97" s="25">
        <v>1974</v>
      </c>
      <c r="H97" s="24">
        <f>VLOOKUP(A97,Registry!$A$4:$AA$241,21,FALSE)</f>
        <v>25</v>
      </c>
      <c r="I97" s="24">
        <f>VLOOKUP(A97,Registry!$A$4:$AA$241,24,FALSE)</f>
        <v>1</v>
      </c>
      <c r="J97" s="24">
        <f>VLOOKUP(A97,Registry!$A$4:$AA$241,26,FALSE)</f>
        <v>0</v>
      </c>
      <c r="K97" s="128">
        <v>1</v>
      </c>
      <c r="L97" s="128">
        <v>0</v>
      </c>
      <c r="M97" s="128">
        <v>1</v>
      </c>
      <c r="N97" s="128">
        <v>0</v>
      </c>
      <c r="O97" s="128">
        <v>1</v>
      </c>
      <c r="P97" s="128">
        <v>0</v>
      </c>
      <c r="Q97" s="28">
        <f>I97-Table4[[#This Row],[Park Owned6]]</f>
        <v>0</v>
      </c>
      <c r="R97" s="28">
        <f>J97-Table4[[#This Row],[Other Owned7]]</f>
        <v>0</v>
      </c>
      <c r="S97" s="24">
        <f>VLOOKUP($A97,Registry!$A$4:$AA$241,23,FALSE)</f>
        <v>0</v>
      </c>
      <c r="T97" s="61">
        <f t="shared" si="6"/>
        <v>0</v>
      </c>
      <c r="U97" s="35">
        <v>0</v>
      </c>
      <c r="V97" s="90">
        <v>0</v>
      </c>
      <c r="W97" s="86">
        <v>0</v>
      </c>
      <c r="X97" s="90">
        <v>0</v>
      </c>
      <c r="Y97" s="86">
        <v>0</v>
      </c>
      <c r="Z97" s="90">
        <v>0</v>
      </c>
      <c r="AA97" s="35">
        <f>Table4[[#This Row],['# Lots]]-Table4[[#This Row],['# Lots10]]</f>
        <v>0</v>
      </c>
      <c r="AB97" s="61">
        <f t="shared" si="7"/>
        <v>0</v>
      </c>
      <c r="AC97" s="35">
        <f>Table4[[#This Row],['# Lots]]-Table4[[#This Row],['# Lots14]]</f>
        <v>0</v>
      </c>
      <c r="AD97" s="61">
        <f t="shared" si="8"/>
        <v>0</v>
      </c>
      <c r="AE97" s="138">
        <v>25</v>
      </c>
      <c r="AF97" s="35">
        <v>25</v>
      </c>
      <c r="AG97" s="58">
        <v>25</v>
      </c>
      <c r="AH97" s="58">
        <v>25</v>
      </c>
      <c r="AI97" s="128">
        <f>Table4[[#This Row],[2022 Leased Lots20]]-Table4[[#This Row],[2019 Leased Lots23]]</f>
        <v>0</v>
      </c>
      <c r="AJ97" s="61">
        <f t="shared" si="9"/>
        <v>1</v>
      </c>
      <c r="AK97" s="139">
        <f>VLOOKUP($A97,Registry!$A$4:$AA$241,27,FALSE)</f>
        <v>342</v>
      </c>
      <c r="AL97" s="65">
        <v>342</v>
      </c>
      <c r="AM97" s="65">
        <v>342</v>
      </c>
      <c r="AN97" s="65">
        <v>342</v>
      </c>
      <c r="AO97" s="120">
        <f>IFERROR((AK97-Table4[[#This Row],[2019 Total Rent29]])/Table4[[#This Row],[2019 Total Rent29]], "-")</f>
        <v>0</v>
      </c>
    </row>
    <row r="98" spans="1:41" x14ac:dyDescent="0.25">
      <c r="A98" s="25">
        <v>92</v>
      </c>
      <c r="B98" s="54" t="str">
        <f>VLOOKUP(A98,Registry!$A$4:$AA$241,2,FALSE)</f>
        <v>Post Mobile Home Park</v>
      </c>
      <c r="C98" s="80" t="str">
        <f>VLOOKUP(A98,Registry!$A$4:$AA$241,3,FALSE)</f>
        <v>Franklin</v>
      </c>
      <c r="D98" s="80" t="str">
        <f>VLOOKUP(A98,Registry!$A$4:$AA$241,4,FALSE)</f>
        <v>St. Albans</v>
      </c>
      <c r="E98" s="80">
        <f>IF(VLOOKUP(A98,Registry!$A$4:$AA$241,7,FALSE)=0,"",VLOOKUP(A98,Registry!$A$4:$AA$241,7,FALSE))</f>
        <v>1962</v>
      </c>
      <c r="F98" s="80" t="str">
        <f>IF(VLOOKUP(A98,Registry!$A$4:$AA$241,20,FALSE)=0,"",VLOOKUP(A98,Registry!$A$4:$AA$241,20,FALSE))</f>
        <v>For profit</v>
      </c>
      <c r="G98" s="25">
        <v>2020</v>
      </c>
      <c r="H98" s="24">
        <f>VLOOKUP(A98,Registry!$A$4:$AA$241,21,FALSE)</f>
        <v>7</v>
      </c>
      <c r="I98" s="24">
        <f>VLOOKUP(A98,Registry!$A$4:$AA$241,24,FALSE)</f>
        <v>3</v>
      </c>
      <c r="J98" s="24">
        <f>VLOOKUP(A98,Registry!$A$4:$AA$241,26,FALSE)</f>
        <v>0</v>
      </c>
      <c r="K98" s="128">
        <v>3</v>
      </c>
      <c r="L98" s="128">
        <v>0</v>
      </c>
      <c r="M98" s="128">
        <v>3</v>
      </c>
      <c r="N98" s="128">
        <v>0</v>
      </c>
      <c r="O98" s="128">
        <v>3</v>
      </c>
      <c r="P98" s="128">
        <v>0</v>
      </c>
      <c r="Q98" s="28">
        <f>I98-Table4[[#This Row],[Park Owned6]]</f>
        <v>0</v>
      </c>
      <c r="R98" s="28">
        <f>J98-Table4[[#This Row],[Other Owned7]]</f>
        <v>0</v>
      </c>
      <c r="S98" s="24">
        <f>VLOOKUP($A98,Registry!$A$4:$AA$241,23,FALSE)</f>
        <v>0</v>
      </c>
      <c r="T98" s="61">
        <f t="shared" si="6"/>
        <v>0</v>
      </c>
      <c r="U98" s="35">
        <v>0</v>
      </c>
      <c r="V98" s="90">
        <v>0</v>
      </c>
      <c r="W98" s="86">
        <v>0</v>
      </c>
      <c r="X98" s="90">
        <v>0</v>
      </c>
      <c r="Y98" s="86">
        <v>1</v>
      </c>
      <c r="Z98" s="90">
        <v>0</v>
      </c>
      <c r="AA98" s="35">
        <f>Table4[[#This Row],['# Lots]]-Table4[[#This Row],['# Lots10]]</f>
        <v>0</v>
      </c>
      <c r="AB98" s="61">
        <f t="shared" si="7"/>
        <v>0</v>
      </c>
      <c r="AC98" s="35">
        <f>Table4[[#This Row],['# Lots]]-Table4[[#This Row],['# Lots14]]</f>
        <v>-1</v>
      </c>
      <c r="AD98" s="61">
        <f t="shared" si="8"/>
        <v>-0.14285714285714285</v>
      </c>
      <c r="AE98" s="138">
        <v>5</v>
      </c>
      <c r="AF98" s="35">
        <v>5</v>
      </c>
      <c r="AG98" s="58">
        <v>5</v>
      </c>
      <c r="AH98" s="58">
        <v>5</v>
      </c>
      <c r="AI98" s="128">
        <f>Table4[[#This Row],[2022 Leased Lots20]]-Table4[[#This Row],[2019 Leased Lots23]]</f>
        <v>0</v>
      </c>
      <c r="AJ98" s="61">
        <f t="shared" si="9"/>
        <v>0.7142857142857143</v>
      </c>
      <c r="AK98" s="139">
        <f>VLOOKUP($A98,Registry!$A$4:$AA$241,27,FALSE)</f>
        <v>375</v>
      </c>
      <c r="AL98" s="65">
        <v>375</v>
      </c>
      <c r="AM98" s="65">
        <v>375</v>
      </c>
      <c r="AN98" s="65"/>
      <c r="AO98" s="120" t="str">
        <f>IFERROR((AK98-Table4[[#This Row],[2019 Total Rent29]])/Table4[[#This Row],[2019 Total Rent29]], "-")</f>
        <v>-</v>
      </c>
    </row>
    <row r="99" spans="1:41" x14ac:dyDescent="0.25">
      <c r="A99" s="25">
        <v>112</v>
      </c>
      <c r="B99" s="54" t="str">
        <f>VLOOKUP(A99,Registry!$A$4:$AA$241,2,FALSE)</f>
        <v>Simonds Mobile Home Park</v>
      </c>
      <c r="C99" s="80" t="str">
        <f>VLOOKUP(A99,Registry!$A$4:$AA$241,3,FALSE)</f>
        <v>Franklin</v>
      </c>
      <c r="D99" s="80" t="str">
        <f>VLOOKUP(A99,Registry!$A$4:$AA$241,4,FALSE)</f>
        <v>St. Albans</v>
      </c>
      <c r="E99" s="80">
        <f>IF(VLOOKUP(A99,Registry!$A$4:$AA$241,7,FALSE)=0,"",VLOOKUP(A99,Registry!$A$4:$AA$241,7,FALSE))</f>
        <v>1967</v>
      </c>
      <c r="F99" s="80" t="str">
        <f>IF(VLOOKUP(A99,Registry!$A$4:$AA$241,20,FALSE)=0,"",VLOOKUP(A99,Registry!$A$4:$AA$241,20,FALSE))</f>
        <v>For profit</v>
      </c>
      <c r="G99" s="25">
        <v>1967</v>
      </c>
      <c r="H99" s="24">
        <f>VLOOKUP(A99,Registry!$A$4:$AA$241,21,FALSE)</f>
        <v>60</v>
      </c>
      <c r="I99" s="24">
        <f>VLOOKUP(A99,Registry!$A$4:$AA$241,24,FALSE)</f>
        <v>0</v>
      </c>
      <c r="J99" s="24">
        <f>VLOOKUP(A99,Registry!$A$4:$AA$241,26,FALSE)</f>
        <v>0</v>
      </c>
      <c r="K99" s="128">
        <v>0</v>
      </c>
      <c r="L99" s="128">
        <v>0</v>
      </c>
      <c r="M99" s="128">
        <v>0</v>
      </c>
      <c r="N99" s="128">
        <v>0</v>
      </c>
      <c r="O99" s="128">
        <v>0</v>
      </c>
      <c r="P99" s="128">
        <v>0</v>
      </c>
      <c r="Q99" s="28">
        <f>I99-Table4[[#This Row],[Park Owned6]]</f>
        <v>0</v>
      </c>
      <c r="R99" s="28">
        <f>J99-Table4[[#This Row],[Other Owned7]]</f>
        <v>0</v>
      </c>
      <c r="S99" s="24">
        <f>VLOOKUP($A99,Registry!$A$4:$AA$241,23,FALSE)</f>
        <v>0</v>
      </c>
      <c r="T99" s="61">
        <f t="shared" si="6"/>
        <v>0</v>
      </c>
      <c r="U99" s="35">
        <v>0</v>
      </c>
      <c r="V99" s="90">
        <v>0</v>
      </c>
      <c r="W99" s="86">
        <v>0</v>
      </c>
      <c r="X99" s="90">
        <v>0</v>
      </c>
      <c r="Y99" s="86">
        <v>0</v>
      </c>
      <c r="Z99" s="90">
        <v>0</v>
      </c>
      <c r="AA99" s="35">
        <f>Table4[[#This Row],['# Lots]]-Table4[[#This Row],['# Lots10]]</f>
        <v>0</v>
      </c>
      <c r="AB99" s="61">
        <f t="shared" si="7"/>
        <v>0</v>
      </c>
      <c r="AC99" s="35">
        <f>Table4[[#This Row],['# Lots]]-Table4[[#This Row],['# Lots14]]</f>
        <v>0</v>
      </c>
      <c r="AD99" s="61">
        <f t="shared" si="8"/>
        <v>0</v>
      </c>
      <c r="AE99" s="138">
        <v>60</v>
      </c>
      <c r="AF99" s="35">
        <v>60</v>
      </c>
      <c r="AG99" s="58">
        <v>60</v>
      </c>
      <c r="AH99" s="58">
        <v>60</v>
      </c>
      <c r="AI99" s="128">
        <f>Table4[[#This Row],[2022 Leased Lots20]]-Table4[[#This Row],[2019 Leased Lots23]]</f>
        <v>0</v>
      </c>
      <c r="AJ99" s="61">
        <f t="shared" si="9"/>
        <v>1</v>
      </c>
      <c r="AK99" s="139">
        <f>VLOOKUP($A99,Registry!$A$4:$AA$241,27,FALSE)</f>
        <v>384</v>
      </c>
      <c r="AL99" s="65">
        <v>374</v>
      </c>
      <c r="AM99" s="65">
        <v>374</v>
      </c>
      <c r="AN99" s="65">
        <v>374</v>
      </c>
      <c r="AO99" s="120">
        <f>IFERROR((AK99-Table4[[#This Row],[2019 Total Rent29]])/Table4[[#This Row],[2019 Total Rent29]], "-")</f>
        <v>2.6737967914438502E-2</v>
      </c>
    </row>
    <row r="100" spans="1:41" x14ac:dyDescent="0.25">
      <c r="A100" s="25">
        <v>267</v>
      </c>
      <c r="B100" s="54" t="str">
        <f>VLOOKUP(A100,Registry!$A$4:$AA$241,2,FALSE)</f>
        <v>St. Albans Mobile Home Park</v>
      </c>
      <c r="C100" s="80" t="str">
        <f>VLOOKUP(A100,Registry!$A$4:$AA$241,3,FALSE)</f>
        <v>Franklin</v>
      </c>
      <c r="D100" s="80" t="str">
        <f>VLOOKUP(A100,Registry!$A$4:$AA$241,4,FALSE)</f>
        <v>St. Albans</v>
      </c>
      <c r="E100" s="80">
        <f>IF(VLOOKUP(A100,Registry!$A$4:$AA$241,7,FALSE)=0,"",VLOOKUP(A100,Registry!$A$4:$AA$241,7,FALSE))</f>
        <v>1970</v>
      </c>
      <c r="F100" s="80" t="str">
        <f>IF(VLOOKUP(A100,Registry!$A$4:$AA$241,20,FALSE)=0,"",VLOOKUP(A100,Registry!$A$4:$AA$241,20,FALSE))</f>
        <v>Non-profit</v>
      </c>
      <c r="G100" s="25">
        <v>1995</v>
      </c>
      <c r="H100" s="24">
        <f>VLOOKUP(A100,Registry!$A$4:$AA$241,21,FALSE)</f>
        <v>9</v>
      </c>
      <c r="I100" s="24">
        <f>VLOOKUP(A100,Registry!$A$4:$AA$241,24,FALSE)</f>
        <v>0</v>
      </c>
      <c r="J100" s="24">
        <f>VLOOKUP(A100,Registry!$A$4:$AA$241,26,FALSE)</f>
        <v>0</v>
      </c>
      <c r="K100" s="128">
        <v>0</v>
      </c>
      <c r="L100" s="128">
        <v>0</v>
      </c>
      <c r="M100" s="128">
        <v>0</v>
      </c>
      <c r="N100" s="128">
        <v>0</v>
      </c>
      <c r="O100" s="128">
        <v>0</v>
      </c>
      <c r="P100" s="128">
        <v>0</v>
      </c>
      <c r="Q100" s="28">
        <f>I100-Table4[[#This Row],[Park Owned6]]</f>
        <v>0</v>
      </c>
      <c r="R100" s="28">
        <f>J100-Table4[[#This Row],[Other Owned7]]</f>
        <v>0</v>
      </c>
      <c r="S100" s="24">
        <f>VLOOKUP($A100,Registry!$A$4:$AA$241,23,FALSE)</f>
        <v>0</v>
      </c>
      <c r="T100" s="61">
        <f t="shared" si="6"/>
        <v>0</v>
      </c>
      <c r="U100" s="35">
        <v>0</v>
      </c>
      <c r="V100" s="90">
        <v>0</v>
      </c>
      <c r="W100" s="86">
        <v>0</v>
      </c>
      <c r="X100" s="90">
        <v>0</v>
      </c>
      <c r="Y100" s="86">
        <v>0</v>
      </c>
      <c r="Z100" s="90">
        <v>0</v>
      </c>
      <c r="AA100" s="35">
        <f>Table4[[#This Row],['# Lots]]-Table4[[#This Row],['# Lots10]]</f>
        <v>0</v>
      </c>
      <c r="AB100" s="61">
        <f t="shared" ref="AB100:AB131" si="10">AA100/$H100</f>
        <v>0</v>
      </c>
      <c r="AC100" s="35">
        <f>Table4[[#This Row],['# Lots]]-Table4[[#This Row],['# Lots14]]</f>
        <v>0</v>
      </c>
      <c r="AD100" s="61">
        <f t="shared" ref="AD100:AD131" si="11">AC100/$H100</f>
        <v>0</v>
      </c>
      <c r="AE100" s="138">
        <v>8</v>
      </c>
      <c r="AF100" s="35">
        <v>8</v>
      </c>
      <c r="AG100" s="58">
        <v>8</v>
      </c>
      <c r="AH100" s="58">
        <v>8</v>
      </c>
      <c r="AI100" s="128">
        <f>Table4[[#This Row],[2022 Leased Lots20]]-Table4[[#This Row],[2019 Leased Lots23]]</f>
        <v>0</v>
      </c>
      <c r="AJ100" s="61">
        <f t="shared" si="9"/>
        <v>0.88888888888888884</v>
      </c>
      <c r="AK100" s="139">
        <f>VLOOKUP($A100,Registry!$A$4:$AA$241,27,FALSE)</f>
        <v>327.75</v>
      </c>
      <c r="AL100" s="65">
        <v>313.64</v>
      </c>
      <c r="AM100" s="65">
        <v>304.2</v>
      </c>
      <c r="AN100" s="65">
        <v>292.77999999999997</v>
      </c>
      <c r="AO100" s="120">
        <f>IFERROR((AK100-Table4[[#This Row],[2019 Total Rent29]])/Table4[[#This Row],[2019 Total Rent29]], "-")</f>
        <v>0.11944121866247705</v>
      </c>
    </row>
    <row r="101" spans="1:41" x14ac:dyDescent="0.25">
      <c r="A101" s="25">
        <v>95</v>
      </c>
      <c r="B101" s="54" t="str">
        <f>VLOOKUP(A101,Registry!$A$4:$AA$241,2,FALSE)</f>
        <v>Town and Country Estates</v>
      </c>
      <c r="C101" s="80" t="str">
        <f>VLOOKUP(A101,Registry!$A$4:$AA$241,3,FALSE)</f>
        <v>Franklin</v>
      </c>
      <c r="D101" s="80" t="str">
        <f>VLOOKUP(A101,Registry!$A$4:$AA$241,4,FALSE)</f>
        <v>St. Albans</v>
      </c>
      <c r="E101" s="80">
        <f>IF(VLOOKUP(A101,Registry!$A$4:$AA$241,7,FALSE)=0,"",VLOOKUP(A101,Registry!$A$4:$AA$241,7,FALSE))</f>
        <v>1991</v>
      </c>
      <c r="F101" s="80" t="str">
        <f>IF(VLOOKUP(A101,Registry!$A$4:$AA$241,20,FALSE)=0,"",VLOOKUP(A101,Registry!$A$4:$AA$241,20,FALSE))</f>
        <v>For profit</v>
      </c>
      <c r="G101" s="25">
        <v>1991</v>
      </c>
      <c r="H101" s="24">
        <f>VLOOKUP(A101,Registry!$A$4:$AA$241,21,FALSE)</f>
        <v>60</v>
      </c>
      <c r="I101" s="24">
        <f>VLOOKUP(A101,Registry!$A$4:$AA$241,24,FALSE)</f>
        <v>0</v>
      </c>
      <c r="J101" s="24">
        <f>VLOOKUP(A101,Registry!$A$4:$AA$241,26,FALSE)</f>
        <v>0</v>
      </c>
      <c r="K101" s="128">
        <v>0</v>
      </c>
      <c r="L101" s="128">
        <v>0</v>
      </c>
      <c r="M101" s="128">
        <v>0</v>
      </c>
      <c r="N101" s="128">
        <v>0</v>
      </c>
      <c r="O101" s="128">
        <v>0</v>
      </c>
      <c r="P101" s="128">
        <v>0</v>
      </c>
      <c r="Q101" s="28">
        <f>I101-Table4[[#This Row],[Park Owned6]]</f>
        <v>0</v>
      </c>
      <c r="R101" s="28">
        <f>J101-Table4[[#This Row],[Other Owned7]]</f>
        <v>0</v>
      </c>
      <c r="S101" s="24">
        <f>VLOOKUP($A101,Registry!$A$4:$AA$241,23,FALSE)</f>
        <v>0</v>
      </c>
      <c r="T101" s="61">
        <f t="shared" si="6"/>
        <v>0</v>
      </c>
      <c r="U101" s="35">
        <v>0</v>
      </c>
      <c r="V101" s="90">
        <v>0</v>
      </c>
      <c r="W101" s="86">
        <v>0</v>
      </c>
      <c r="X101" s="90">
        <v>0</v>
      </c>
      <c r="Y101" s="86">
        <v>0</v>
      </c>
      <c r="Z101" s="90">
        <v>0</v>
      </c>
      <c r="AA101" s="35">
        <f>Table4[[#This Row],['# Lots]]-Table4[[#This Row],['# Lots10]]</f>
        <v>0</v>
      </c>
      <c r="AB101" s="61">
        <f t="shared" si="10"/>
        <v>0</v>
      </c>
      <c r="AC101" s="35">
        <f>Table4[[#This Row],['# Lots]]-Table4[[#This Row],['# Lots14]]</f>
        <v>0</v>
      </c>
      <c r="AD101" s="61">
        <f t="shared" si="11"/>
        <v>0</v>
      </c>
      <c r="AE101" s="138">
        <v>60</v>
      </c>
      <c r="AF101" s="35">
        <v>60</v>
      </c>
      <c r="AG101" s="58">
        <v>60</v>
      </c>
      <c r="AH101" s="58">
        <v>60</v>
      </c>
      <c r="AI101" s="128">
        <f>Table4[[#This Row],[2022 Leased Lots20]]-Table4[[#This Row],[2019 Leased Lots23]]</f>
        <v>0</v>
      </c>
      <c r="AJ101" s="61">
        <f t="shared" si="9"/>
        <v>1</v>
      </c>
      <c r="AK101" s="139">
        <f>VLOOKUP($A101,Registry!$A$4:$AA$241,27,FALSE)</f>
        <v>364</v>
      </c>
      <c r="AL101" s="65">
        <v>364</v>
      </c>
      <c r="AM101" s="65">
        <v>364</v>
      </c>
      <c r="AN101" s="65">
        <v>364</v>
      </c>
      <c r="AO101" s="120">
        <f>IFERROR((AK101-Table4[[#This Row],[2019 Total Rent29]])/Table4[[#This Row],[2019 Total Rent29]], "-")</f>
        <v>0</v>
      </c>
    </row>
    <row r="102" spans="1:41" x14ac:dyDescent="0.25">
      <c r="A102" s="25">
        <v>254</v>
      </c>
      <c r="B102" s="54" t="str">
        <f>VLOOKUP(A102,Registry!$A$4:$AA$241,2,FALSE)</f>
        <v>Brault's Park</v>
      </c>
      <c r="C102" s="80" t="str">
        <f>VLOOKUP(A102,Registry!$A$4:$AA$241,3,FALSE)</f>
        <v>Franklin</v>
      </c>
      <c r="D102" s="80" t="str">
        <f>VLOOKUP(A102,Registry!$A$4:$AA$241,4,FALSE)</f>
        <v>Swanton</v>
      </c>
      <c r="E102" s="80">
        <f>IF(VLOOKUP(A102,Registry!$A$4:$AA$241,7,FALSE)=0,"",VLOOKUP(A102,Registry!$A$4:$AA$241,7,FALSE))</f>
        <v>1968</v>
      </c>
      <c r="F102" s="80" t="str">
        <f>IF(VLOOKUP(A102,Registry!$A$4:$AA$241,20,FALSE)=0,"",VLOOKUP(A102,Registry!$A$4:$AA$241,20,FALSE))</f>
        <v>For profit</v>
      </c>
      <c r="G102" s="25">
        <v>1985</v>
      </c>
      <c r="H102" s="24">
        <f>VLOOKUP(A102,Registry!$A$4:$AA$241,21,FALSE)</f>
        <v>18</v>
      </c>
      <c r="I102" s="24">
        <f>VLOOKUP(A102,Registry!$A$4:$AA$241,24,FALSE)</f>
        <v>0</v>
      </c>
      <c r="J102" s="24">
        <f>VLOOKUP(A102,Registry!$A$4:$AA$241,26,FALSE)</f>
        <v>0</v>
      </c>
      <c r="K102" s="128">
        <v>0</v>
      </c>
      <c r="L102" s="128">
        <v>0</v>
      </c>
      <c r="M102" s="128">
        <v>0</v>
      </c>
      <c r="N102" s="128">
        <v>0</v>
      </c>
      <c r="O102" s="128">
        <v>0</v>
      </c>
      <c r="P102" s="128">
        <v>0</v>
      </c>
      <c r="Q102" s="28">
        <f>I102-Table4[[#This Row],[Park Owned6]]</f>
        <v>0</v>
      </c>
      <c r="R102" s="28">
        <f>J102-Table4[[#This Row],[Other Owned7]]</f>
        <v>0</v>
      </c>
      <c r="S102" s="24">
        <f>VLOOKUP($A102,Registry!$A$4:$AA$241,23,FALSE)</f>
        <v>0</v>
      </c>
      <c r="T102" s="61">
        <f t="shared" si="6"/>
        <v>0</v>
      </c>
      <c r="U102" s="35">
        <v>0</v>
      </c>
      <c r="V102" s="90">
        <v>0</v>
      </c>
      <c r="W102" s="86">
        <v>2</v>
      </c>
      <c r="X102" s="90">
        <v>0.111</v>
      </c>
      <c r="Y102" s="86">
        <v>2</v>
      </c>
      <c r="Z102" s="90">
        <v>0.111</v>
      </c>
      <c r="AA102" s="35">
        <f>Table4[[#This Row],['# Lots]]-Table4[[#This Row],['# Lots10]]</f>
        <v>0</v>
      </c>
      <c r="AB102" s="61">
        <f t="shared" si="10"/>
        <v>0</v>
      </c>
      <c r="AC102" s="35">
        <f>Table4[[#This Row],['# Lots]]-Table4[[#This Row],['# Lots14]]</f>
        <v>-2</v>
      </c>
      <c r="AD102" s="61">
        <f t="shared" si="11"/>
        <v>-0.1111111111111111</v>
      </c>
      <c r="AE102" s="138">
        <v>18</v>
      </c>
      <c r="AF102" s="35">
        <v>16</v>
      </c>
      <c r="AG102" s="58">
        <v>16</v>
      </c>
      <c r="AH102" s="58">
        <v>15</v>
      </c>
      <c r="AI102" s="128">
        <f>Table4[[#This Row],[2022 Leased Lots20]]-Table4[[#This Row],[2019 Leased Lots23]]</f>
        <v>3</v>
      </c>
      <c r="AJ102" s="61">
        <f t="shared" si="9"/>
        <v>1</v>
      </c>
      <c r="AK102" s="139">
        <f>VLOOKUP($A102,Registry!$A$4:$AA$241,27,FALSE)</f>
        <v>427</v>
      </c>
      <c r="AL102" s="65">
        <v>410</v>
      </c>
      <c r="AM102" s="65">
        <v>410</v>
      </c>
      <c r="AN102" s="65">
        <v>396</v>
      </c>
      <c r="AO102" s="120">
        <f>IFERROR((AK102-Table4[[#This Row],[2019 Total Rent29]])/Table4[[#This Row],[2019 Total Rent29]], "-")</f>
        <v>7.8282828282828287E-2</v>
      </c>
    </row>
    <row r="103" spans="1:41" x14ac:dyDescent="0.25">
      <c r="A103" s="25">
        <v>300</v>
      </c>
      <c r="B103" s="54" t="str">
        <f>VLOOKUP(A103,Registry!$A$4:$AA$241,2,FALSE)</f>
        <v>Cheney Mobile Home Park</v>
      </c>
      <c r="C103" s="80" t="str">
        <f>VLOOKUP(A103,Registry!$A$4:$AA$241,3,FALSE)</f>
        <v>Franklin</v>
      </c>
      <c r="D103" s="80" t="str">
        <f>VLOOKUP(A103,Registry!$A$4:$AA$241,4,FALSE)</f>
        <v>Swanton</v>
      </c>
      <c r="E103" s="80">
        <f>IF(VLOOKUP(A103,Registry!$A$4:$AA$241,7,FALSE)=0,"",VLOOKUP(A103,Registry!$A$4:$AA$241,7,FALSE))</f>
        <v>1960</v>
      </c>
      <c r="F103" s="80" t="str">
        <f>IF(VLOOKUP(A103,Registry!$A$4:$AA$241,20,FALSE)=0,"",VLOOKUP(A103,Registry!$A$4:$AA$241,20,FALSE))</f>
        <v>For profit</v>
      </c>
      <c r="G103" s="25">
        <v>2021</v>
      </c>
      <c r="H103" s="24">
        <f>VLOOKUP(A103,Registry!$A$4:$AA$241,21,FALSE)</f>
        <v>4</v>
      </c>
      <c r="I103" s="24">
        <f>VLOOKUP(A103,Registry!$A$4:$AA$241,24,FALSE)</f>
        <v>4</v>
      </c>
      <c r="J103" s="24">
        <f>VLOOKUP(A103,Registry!$A$4:$AA$241,26,FALSE)</f>
        <v>0</v>
      </c>
      <c r="K103" s="128">
        <v>4</v>
      </c>
      <c r="L103" s="128">
        <v>0</v>
      </c>
      <c r="M103" s="128">
        <v>4</v>
      </c>
      <c r="N103" s="128">
        <v>0</v>
      </c>
      <c r="O103" s="128">
        <v>4</v>
      </c>
      <c r="P103" s="128">
        <v>0</v>
      </c>
      <c r="Q103" s="28">
        <f>I103-Table4[[#This Row],[Park Owned6]]</f>
        <v>0</v>
      </c>
      <c r="R103" s="28">
        <f>J103-Table4[[#This Row],[Other Owned7]]</f>
        <v>0</v>
      </c>
      <c r="S103" s="24">
        <f>VLOOKUP($A103,Registry!$A$4:$AA$241,23,FALSE)</f>
        <v>0</v>
      </c>
      <c r="T103" s="61">
        <f t="shared" si="6"/>
        <v>0</v>
      </c>
      <c r="U103" s="35">
        <v>0</v>
      </c>
      <c r="V103" s="90">
        <v>0</v>
      </c>
      <c r="W103" s="86">
        <v>0</v>
      </c>
      <c r="X103" s="90">
        <v>0</v>
      </c>
      <c r="Y103" s="86">
        <v>0</v>
      </c>
      <c r="Z103" s="90">
        <v>0</v>
      </c>
      <c r="AA103" s="35">
        <f>Table4[[#This Row],['# Lots]]-Table4[[#This Row],['# Lots10]]</f>
        <v>0</v>
      </c>
      <c r="AB103" s="61">
        <f t="shared" si="10"/>
        <v>0</v>
      </c>
      <c r="AC103" s="35">
        <f>Table4[[#This Row],['# Lots]]-Table4[[#This Row],['# Lots14]]</f>
        <v>0</v>
      </c>
      <c r="AD103" s="61">
        <f t="shared" si="11"/>
        <v>0</v>
      </c>
      <c r="AE103" s="138">
        <v>2</v>
      </c>
      <c r="AF103" s="35">
        <v>2</v>
      </c>
      <c r="AG103" s="58">
        <v>2</v>
      </c>
      <c r="AH103" s="58">
        <v>4</v>
      </c>
      <c r="AI103" s="128">
        <f>Table4[[#This Row],[2022 Leased Lots20]]-Table4[[#This Row],[2019 Leased Lots23]]</f>
        <v>-2</v>
      </c>
      <c r="AJ103" s="61">
        <f t="shared" si="9"/>
        <v>0.5</v>
      </c>
      <c r="AK103" s="139">
        <f>VLOOKUP($A103,Registry!$A$4:$AA$241,27,FALSE)</f>
        <v>0</v>
      </c>
      <c r="AL103" s="65">
        <v>0</v>
      </c>
      <c r="AM103" s="65"/>
      <c r="AN103" s="65"/>
      <c r="AO103" s="120" t="str">
        <f>IFERROR((AK103-Table4[[#This Row],[2019 Total Rent29]])/Table4[[#This Row],[2019 Total Rent29]], "-")</f>
        <v>-</v>
      </c>
    </row>
    <row r="104" spans="1:41" x14ac:dyDescent="0.25">
      <c r="A104" s="25">
        <v>230</v>
      </c>
      <c r="B104" s="54" t="str">
        <f>VLOOKUP(A104,Registry!$A$4:$AA$241,2,FALSE)</f>
        <v>Country Acres</v>
      </c>
      <c r="C104" s="80" t="str">
        <f>VLOOKUP(A104,Registry!$A$4:$AA$241,3,FALSE)</f>
        <v>Franklin</v>
      </c>
      <c r="D104" s="80" t="str">
        <f>VLOOKUP(A104,Registry!$A$4:$AA$241,4,FALSE)</f>
        <v>Swanton</v>
      </c>
      <c r="E104" s="80">
        <f>IF(VLOOKUP(A104,Registry!$A$4:$AA$241,7,FALSE)=0,"",VLOOKUP(A104,Registry!$A$4:$AA$241,7,FALSE))</f>
        <v>1971</v>
      </c>
      <c r="F104" s="80" t="str">
        <f>IF(VLOOKUP(A104,Registry!$A$4:$AA$241,20,FALSE)=0,"",VLOOKUP(A104,Registry!$A$4:$AA$241,20,FALSE))</f>
        <v>For profit</v>
      </c>
      <c r="G104" s="25">
        <v>1988</v>
      </c>
      <c r="H104" s="24">
        <f>VLOOKUP(A104,Registry!$A$4:$AA$241,21,FALSE)</f>
        <v>12</v>
      </c>
      <c r="I104" s="24">
        <f>VLOOKUP(A104,Registry!$A$4:$AA$241,24,FALSE)</f>
        <v>0</v>
      </c>
      <c r="J104" s="24">
        <f>VLOOKUP(A104,Registry!$A$4:$AA$241,26,FALSE)</f>
        <v>2</v>
      </c>
      <c r="K104" s="128">
        <v>0</v>
      </c>
      <c r="L104" s="128">
        <v>1</v>
      </c>
      <c r="M104" s="128">
        <v>0</v>
      </c>
      <c r="N104" s="128">
        <v>0</v>
      </c>
      <c r="O104" s="128">
        <v>0</v>
      </c>
      <c r="P104" s="128">
        <v>0</v>
      </c>
      <c r="Q104" s="28">
        <f>I104-Table4[[#This Row],[Park Owned6]]</f>
        <v>0</v>
      </c>
      <c r="R104" s="28">
        <f>J104-Table4[[#This Row],[Other Owned7]]</f>
        <v>2</v>
      </c>
      <c r="S104" s="24">
        <f>VLOOKUP($A104,Registry!$A$4:$AA$241,23,FALSE)</f>
        <v>1</v>
      </c>
      <c r="T104" s="61">
        <f t="shared" si="6"/>
        <v>8.3333333333333329E-2</v>
      </c>
      <c r="U104" s="35">
        <v>1</v>
      </c>
      <c r="V104" s="90">
        <v>8.3333333333333329E-2</v>
      </c>
      <c r="W104" s="86">
        <v>0</v>
      </c>
      <c r="X104" s="90">
        <v>0</v>
      </c>
      <c r="Y104" s="86">
        <v>0</v>
      </c>
      <c r="Z104" s="90">
        <v>0</v>
      </c>
      <c r="AA104" s="35">
        <f>Table4[[#This Row],['# Lots]]-Table4[[#This Row],['# Lots10]]</f>
        <v>0</v>
      </c>
      <c r="AB104" s="61">
        <f t="shared" si="10"/>
        <v>0</v>
      </c>
      <c r="AC104" s="35">
        <f>Table4[[#This Row],['# Lots]]-Table4[[#This Row],['# Lots14]]</f>
        <v>1</v>
      </c>
      <c r="AD104" s="61">
        <f t="shared" si="11"/>
        <v>8.3333333333333329E-2</v>
      </c>
      <c r="AE104" s="138">
        <v>10</v>
      </c>
      <c r="AF104" s="35">
        <v>12</v>
      </c>
      <c r="AG104" s="58">
        <v>12</v>
      </c>
      <c r="AH104" s="58">
        <v>12</v>
      </c>
      <c r="AI104" s="128">
        <f>Table4[[#This Row],[2022 Leased Lots20]]-Table4[[#This Row],[2019 Leased Lots23]]</f>
        <v>-2</v>
      </c>
      <c r="AJ104" s="61">
        <f t="shared" si="9"/>
        <v>0.83333333333333337</v>
      </c>
      <c r="AK104" s="139">
        <f>VLOOKUP($A104,Registry!$A$4:$AA$241,27,FALSE)</f>
        <v>415</v>
      </c>
      <c r="AL104" s="65">
        <v>415</v>
      </c>
      <c r="AM104" s="65">
        <v>415</v>
      </c>
      <c r="AN104" s="65">
        <v>415</v>
      </c>
      <c r="AO104" s="120">
        <f>IFERROR((AK104-Table4[[#This Row],[2019 Total Rent29]])/Table4[[#This Row],[2019 Total Rent29]], "-")</f>
        <v>0</v>
      </c>
    </row>
    <row r="105" spans="1:41" x14ac:dyDescent="0.25">
      <c r="A105" s="25">
        <v>249</v>
      </c>
      <c r="B105" s="54" t="str">
        <f>VLOOKUP(A105,Registry!$A$4:$AA$241,2,FALSE)</f>
        <v>Homestead Acres Mobile Home Cooperative</v>
      </c>
      <c r="C105" s="80" t="str">
        <f>VLOOKUP(A105,Registry!$A$4:$AA$241,3,FALSE)</f>
        <v>Franklin</v>
      </c>
      <c r="D105" s="80" t="str">
        <f>VLOOKUP(A105,Registry!$A$4:$AA$241,4,FALSE)</f>
        <v>Swanton</v>
      </c>
      <c r="E105" s="80">
        <f>IF(VLOOKUP(A105,Registry!$A$4:$AA$241,7,FALSE)=0,"",VLOOKUP(A105,Registry!$A$4:$AA$241,7,FALSE))</f>
        <v>1960</v>
      </c>
      <c r="F105" s="80" t="str">
        <f>IF(VLOOKUP(A105,Registry!$A$4:$AA$241,20,FALSE)=0,"",VLOOKUP(A105,Registry!$A$4:$AA$241,20,FALSE))</f>
        <v>Cooperative</v>
      </c>
      <c r="G105" s="25">
        <v>2011</v>
      </c>
      <c r="H105" s="24">
        <f>VLOOKUP(A105,Registry!$A$4:$AA$241,21,FALSE)</f>
        <v>30</v>
      </c>
      <c r="I105" s="24">
        <f>VLOOKUP(A105,Registry!$A$4:$AA$241,24,FALSE)</f>
        <v>0</v>
      </c>
      <c r="J105" s="24">
        <f>VLOOKUP(A105,Registry!$A$4:$AA$241,26,FALSE)</f>
        <v>0</v>
      </c>
      <c r="K105" s="128">
        <v>0</v>
      </c>
      <c r="L105" s="128">
        <v>0</v>
      </c>
      <c r="M105" s="128">
        <v>0</v>
      </c>
      <c r="N105" s="128">
        <v>0</v>
      </c>
      <c r="O105" s="128">
        <v>0</v>
      </c>
      <c r="P105" s="128">
        <v>0</v>
      </c>
      <c r="Q105" s="28">
        <f>I105-Table4[[#This Row],[Park Owned6]]</f>
        <v>0</v>
      </c>
      <c r="R105" s="28">
        <f>J105-Table4[[#This Row],[Other Owned7]]</f>
        <v>0</v>
      </c>
      <c r="S105" s="24">
        <f>VLOOKUP($A105,Registry!$A$4:$AA$241,23,FALSE)</f>
        <v>0</v>
      </c>
      <c r="T105" s="61">
        <f t="shared" si="6"/>
        <v>0</v>
      </c>
      <c r="U105" s="35">
        <v>0</v>
      </c>
      <c r="V105" s="90">
        <v>0</v>
      </c>
      <c r="W105" s="86">
        <v>0</v>
      </c>
      <c r="X105" s="90">
        <v>0</v>
      </c>
      <c r="Y105" s="86">
        <v>0</v>
      </c>
      <c r="Z105" s="90">
        <v>0</v>
      </c>
      <c r="AA105" s="35">
        <f>Table4[[#This Row],['# Lots]]-Table4[[#This Row],['# Lots10]]</f>
        <v>0</v>
      </c>
      <c r="AB105" s="61">
        <f t="shared" si="10"/>
        <v>0</v>
      </c>
      <c r="AC105" s="35">
        <f>Table4[[#This Row],['# Lots]]-Table4[[#This Row],['# Lots14]]</f>
        <v>0</v>
      </c>
      <c r="AD105" s="61">
        <f t="shared" si="11"/>
        <v>0</v>
      </c>
      <c r="AE105" s="138">
        <v>30</v>
      </c>
      <c r="AF105" s="35">
        <v>30</v>
      </c>
      <c r="AG105" s="58">
        <v>30</v>
      </c>
      <c r="AH105" s="58">
        <v>30</v>
      </c>
      <c r="AI105" s="128">
        <f>Table4[[#This Row],[2022 Leased Lots20]]-Table4[[#This Row],[2019 Leased Lots23]]</f>
        <v>0</v>
      </c>
      <c r="AJ105" s="61">
        <f t="shared" si="9"/>
        <v>1</v>
      </c>
      <c r="AK105" s="139">
        <f>VLOOKUP($A105,Registry!$A$4:$AA$241,27,FALSE)</f>
        <v>390</v>
      </c>
      <c r="AL105" s="65">
        <v>390</v>
      </c>
      <c r="AM105" s="65">
        <v>390</v>
      </c>
      <c r="AN105" s="65">
        <v>390</v>
      </c>
      <c r="AO105" s="120">
        <f>IFERROR((AK105-Table4[[#This Row],[2019 Total Rent29]])/Table4[[#This Row],[2019 Total Rent29]], "-")</f>
        <v>0</v>
      </c>
    </row>
    <row r="106" spans="1:41" x14ac:dyDescent="0.25">
      <c r="A106" s="25">
        <v>110</v>
      </c>
      <c r="B106" s="54" t="str">
        <f>VLOOKUP(A106,Registry!$A$4:$AA$241,2,FALSE)</f>
        <v>Jewett Street MHP</v>
      </c>
      <c r="C106" s="80" t="str">
        <f>VLOOKUP(A106,Registry!$A$4:$AA$241,3,FALSE)</f>
        <v>Franklin</v>
      </c>
      <c r="D106" s="80" t="str">
        <f>VLOOKUP(A106,Registry!$A$4:$AA$241,4,FALSE)</f>
        <v>Swanton</v>
      </c>
      <c r="E106" s="80">
        <f>IF(VLOOKUP(A106,Registry!$A$4:$AA$241,7,FALSE)=0,"",VLOOKUP(A106,Registry!$A$4:$AA$241,7,FALSE))</f>
        <v>1960</v>
      </c>
      <c r="F106" s="80" t="str">
        <f>IF(VLOOKUP(A106,Registry!$A$4:$AA$241,20,FALSE)=0,"",VLOOKUP(A106,Registry!$A$4:$AA$241,20,FALSE))</f>
        <v>For profit</v>
      </c>
      <c r="G106" s="25">
        <v>1990</v>
      </c>
      <c r="H106" s="24">
        <f>VLOOKUP(A106,Registry!$A$4:$AA$241,21,FALSE)</f>
        <v>5</v>
      </c>
      <c r="I106" s="24">
        <f>VLOOKUP(A106,Registry!$A$4:$AA$241,24,FALSE)</f>
        <v>0</v>
      </c>
      <c r="J106" s="24">
        <f>VLOOKUP(A106,Registry!$A$4:$AA$241,26,FALSE)</f>
        <v>0</v>
      </c>
      <c r="K106" s="128">
        <v>0</v>
      </c>
      <c r="L106" s="128">
        <v>0</v>
      </c>
      <c r="M106" s="128">
        <v>0</v>
      </c>
      <c r="N106" s="128">
        <v>0</v>
      </c>
      <c r="O106" s="128">
        <v>0</v>
      </c>
      <c r="P106" s="128">
        <v>0</v>
      </c>
      <c r="Q106" s="28">
        <f>I106-Table4[[#This Row],[Park Owned6]]</f>
        <v>0</v>
      </c>
      <c r="R106" s="28">
        <f>J106-Table4[[#This Row],[Other Owned7]]</f>
        <v>0</v>
      </c>
      <c r="S106" s="24">
        <f>VLOOKUP($A106,Registry!$A$4:$AA$241,23,FALSE)</f>
        <v>0</v>
      </c>
      <c r="T106" s="61">
        <f t="shared" si="6"/>
        <v>0</v>
      </c>
      <c r="U106" s="35">
        <v>0</v>
      </c>
      <c r="V106" s="90">
        <v>0</v>
      </c>
      <c r="W106" s="86">
        <v>0</v>
      </c>
      <c r="X106" s="90">
        <v>0</v>
      </c>
      <c r="Y106" s="86">
        <v>0</v>
      </c>
      <c r="Z106" s="90">
        <v>0</v>
      </c>
      <c r="AA106" s="35">
        <f>Table4[[#This Row],['# Lots]]-Table4[[#This Row],['# Lots10]]</f>
        <v>0</v>
      </c>
      <c r="AB106" s="61">
        <f t="shared" si="10"/>
        <v>0</v>
      </c>
      <c r="AC106" s="35">
        <f>Table4[[#This Row],['# Lots]]-Table4[[#This Row],['# Lots14]]</f>
        <v>0</v>
      </c>
      <c r="AD106" s="61">
        <f t="shared" si="11"/>
        <v>0</v>
      </c>
      <c r="AE106" s="138">
        <v>3</v>
      </c>
      <c r="AF106" s="35">
        <v>3</v>
      </c>
      <c r="AG106" s="58">
        <v>3</v>
      </c>
      <c r="AH106" s="58">
        <v>3</v>
      </c>
      <c r="AI106" s="128">
        <f>Table4[[#This Row],[2022 Leased Lots20]]-Table4[[#This Row],[2019 Leased Lots23]]</f>
        <v>0</v>
      </c>
      <c r="AJ106" s="61">
        <f t="shared" si="9"/>
        <v>0.6</v>
      </c>
      <c r="AK106" s="139">
        <f>VLOOKUP($A106,Registry!$A$4:$AA$241,27,FALSE)</f>
        <v>175</v>
      </c>
      <c r="AL106" s="65">
        <v>175</v>
      </c>
      <c r="AM106" s="65">
        <v>162</v>
      </c>
      <c r="AN106" s="65">
        <v>162</v>
      </c>
      <c r="AO106" s="120">
        <f>IFERROR((AK106-Table4[[#This Row],[2019 Total Rent29]])/Table4[[#This Row],[2019 Total Rent29]], "-")</f>
        <v>8.0246913580246909E-2</v>
      </c>
    </row>
    <row r="107" spans="1:41" x14ac:dyDescent="0.25">
      <c r="A107" s="25">
        <v>115</v>
      </c>
      <c r="B107" s="54" t="str">
        <f>VLOOKUP(A107,Registry!$A$4:$AA$241,2,FALSE)</f>
        <v>McWilliams Properties, LLC</v>
      </c>
      <c r="C107" s="80" t="str">
        <f>VLOOKUP(A107,Registry!$A$4:$AA$241,3,FALSE)</f>
        <v>Franklin</v>
      </c>
      <c r="D107" s="80" t="str">
        <f>VLOOKUP(A107,Registry!$A$4:$AA$241,4,FALSE)</f>
        <v>Swanton</v>
      </c>
      <c r="E107" s="80">
        <f>IF(VLOOKUP(A107,Registry!$A$4:$AA$241,7,FALSE)=0,"",VLOOKUP(A107,Registry!$A$4:$AA$241,7,FALSE))</f>
        <v>1961</v>
      </c>
      <c r="F107" s="80" t="str">
        <f>IF(VLOOKUP(A107,Registry!$A$4:$AA$241,20,FALSE)=0,"",VLOOKUP(A107,Registry!$A$4:$AA$241,20,FALSE))</f>
        <v>For profit</v>
      </c>
      <c r="G107" s="25">
        <v>2006</v>
      </c>
      <c r="H107" s="24">
        <f>VLOOKUP(A107,Registry!$A$4:$AA$241,21,FALSE)</f>
        <v>4</v>
      </c>
      <c r="I107" s="24">
        <f>VLOOKUP(A107,Registry!$A$4:$AA$241,24,FALSE)</f>
        <v>4</v>
      </c>
      <c r="J107" s="24">
        <f>VLOOKUP(A107,Registry!$A$4:$AA$241,26,FALSE)</f>
        <v>0</v>
      </c>
      <c r="K107" s="128">
        <v>4</v>
      </c>
      <c r="L107" s="128">
        <v>0</v>
      </c>
      <c r="M107" s="128">
        <v>4</v>
      </c>
      <c r="N107" s="128">
        <v>0</v>
      </c>
      <c r="O107" s="128">
        <v>4</v>
      </c>
      <c r="P107" s="128">
        <v>0</v>
      </c>
      <c r="Q107" s="28">
        <f>I107-Table4[[#This Row],[Park Owned6]]</f>
        <v>0</v>
      </c>
      <c r="R107" s="28">
        <f>J107-Table4[[#This Row],[Other Owned7]]</f>
        <v>0</v>
      </c>
      <c r="S107" s="24">
        <f>VLOOKUP($A107,Registry!$A$4:$AA$241,23,FALSE)</f>
        <v>0</v>
      </c>
      <c r="T107" s="61">
        <f t="shared" si="6"/>
        <v>0</v>
      </c>
      <c r="U107" s="35">
        <v>0</v>
      </c>
      <c r="V107" s="90">
        <v>0</v>
      </c>
      <c r="W107" s="86">
        <v>0</v>
      </c>
      <c r="X107" s="90">
        <v>0</v>
      </c>
      <c r="Y107" s="86">
        <v>0</v>
      </c>
      <c r="Z107" s="90">
        <v>0</v>
      </c>
      <c r="AA107" s="35">
        <f>Table4[[#This Row],['# Lots]]-Table4[[#This Row],['# Lots10]]</f>
        <v>0</v>
      </c>
      <c r="AB107" s="61">
        <f t="shared" si="10"/>
        <v>0</v>
      </c>
      <c r="AC107" s="35">
        <f>Table4[[#This Row],['# Lots]]-Table4[[#This Row],['# Lots14]]</f>
        <v>0</v>
      </c>
      <c r="AD107" s="61">
        <f t="shared" si="11"/>
        <v>0</v>
      </c>
      <c r="AE107" s="138">
        <v>4</v>
      </c>
      <c r="AF107" s="35">
        <v>4</v>
      </c>
      <c r="AG107" s="58">
        <v>4</v>
      </c>
      <c r="AH107" s="58">
        <v>4</v>
      </c>
      <c r="AI107" s="128">
        <f>Table4[[#This Row],[2022 Leased Lots20]]-Table4[[#This Row],[2019 Leased Lots23]]</f>
        <v>0</v>
      </c>
      <c r="AJ107" s="61">
        <f t="shared" si="9"/>
        <v>1</v>
      </c>
      <c r="AK107" s="139">
        <f>VLOOKUP($A107,Registry!$A$4:$AA$241,27,FALSE)</f>
        <v>0</v>
      </c>
      <c r="AL107" s="65">
        <v>0</v>
      </c>
      <c r="AM107" s="65"/>
      <c r="AN107" s="65"/>
      <c r="AO107" s="120" t="str">
        <f>IFERROR((AK107-Table4[[#This Row],[2019 Total Rent29]])/Table4[[#This Row],[2019 Total Rent29]], "-")</f>
        <v>-</v>
      </c>
    </row>
    <row r="108" spans="1:41" x14ac:dyDescent="0.25">
      <c r="A108" s="25">
        <v>111</v>
      </c>
      <c r="B108" s="54" t="str">
        <f>VLOOKUP(A108,Registry!$A$4:$AA$241,2,FALSE)</f>
        <v>Roy's Mobile Home Park</v>
      </c>
      <c r="C108" s="80" t="str">
        <f>VLOOKUP(A108,Registry!$A$4:$AA$241,3,FALSE)</f>
        <v>Franklin</v>
      </c>
      <c r="D108" s="80" t="str">
        <f>VLOOKUP(A108,Registry!$A$4:$AA$241,4,FALSE)</f>
        <v>Swanton</v>
      </c>
      <c r="E108" s="80">
        <f>IF(VLOOKUP(A108,Registry!$A$4:$AA$241,7,FALSE)=0,"",VLOOKUP(A108,Registry!$A$4:$AA$241,7,FALSE))</f>
        <v>1962</v>
      </c>
      <c r="F108" s="80" t="str">
        <f>IF(VLOOKUP(A108,Registry!$A$4:$AA$241,20,FALSE)=0,"",VLOOKUP(A108,Registry!$A$4:$AA$241,20,FALSE))</f>
        <v>Non-profit</v>
      </c>
      <c r="G108" s="25">
        <v>2013</v>
      </c>
      <c r="H108" s="24">
        <f>VLOOKUP(A108,Registry!$A$4:$AA$241,21,FALSE)</f>
        <v>32</v>
      </c>
      <c r="I108" s="24">
        <f>VLOOKUP(A108,Registry!$A$4:$AA$241,24,FALSE)</f>
        <v>0</v>
      </c>
      <c r="J108" s="24">
        <f>VLOOKUP(A108,Registry!$A$4:$AA$241,26,FALSE)</f>
        <v>0</v>
      </c>
      <c r="K108" s="128">
        <v>0</v>
      </c>
      <c r="L108" s="128">
        <v>0</v>
      </c>
      <c r="M108" s="128">
        <v>1</v>
      </c>
      <c r="N108" s="128">
        <v>0</v>
      </c>
      <c r="O108" s="128">
        <v>0</v>
      </c>
      <c r="P108" s="128">
        <v>0</v>
      </c>
      <c r="Q108" s="28">
        <f>I108-Table4[[#This Row],[Park Owned6]]</f>
        <v>0</v>
      </c>
      <c r="R108" s="28">
        <f>J108-Table4[[#This Row],[Other Owned7]]</f>
        <v>0</v>
      </c>
      <c r="S108" s="24">
        <f>VLOOKUP($A108,Registry!$A$4:$AA$241,23,FALSE)</f>
        <v>2</v>
      </c>
      <c r="T108" s="61">
        <f t="shared" si="6"/>
        <v>6.25E-2</v>
      </c>
      <c r="U108" s="35">
        <v>3</v>
      </c>
      <c r="V108" s="90">
        <v>9.375E-2</v>
      </c>
      <c r="W108" s="86">
        <v>4</v>
      </c>
      <c r="X108" s="90">
        <v>0.125</v>
      </c>
      <c r="Y108" s="86">
        <v>4</v>
      </c>
      <c r="Z108" s="90">
        <v>0.125</v>
      </c>
      <c r="AA108" s="35">
        <f>Table4[[#This Row],['# Lots]]-Table4[[#This Row],['# Lots10]]</f>
        <v>-1</v>
      </c>
      <c r="AB108" s="61">
        <f t="shared" si="10"/>
        <v>-3.125E-2</v>
      </c>
      <c r="AC108" s="35">
        <f>Table4[[#This Row],['# Lots]]-Table4[[#This Row],['# Lots14]]</f>
        <v>-2</v>
      </c>
      <c r="AD108" s="61">
        <f t="shared" si="11"/>
        <v>-6.25E-2</v>
      </c>
      <c r="AE108" s="138">
        <v>29</v>
      </c>
      <c r="AF108" s="35">
        <v>28</v>
      </c>
      <c r="AG108" s="58">
        <v>28</v>
      </c>
      <c r="AH108" s="58">
        <v>29</v>
      </c>
      <c r="AI108" s="128">
        <f>Table4[[#This Row],[2022 Leased Lots20]]-Table4[[#This Row],[2019 Leased Lots23]]</f>
        <v>0</v>
      </c>
      <c r="AJ108" s="61">
        <f t="shared" si="9"/>
        <v>0.90625</v>
      </c>
      <c r="AK108" s="139">
        <f>VLOOKUP($A108,Registry!$A$4:$AA$241,27,FALSE)</f>
        <v>424</v>
      </c>
      <c r="AL108" s="65">
        <v>424</v>
      </c>
      <c r="AM108" s="65">
        <v>412</v>
      </c>
      <c r="AN108" s="65">
        <v>397</v>
      </c>
      <c r="AO108" s="120">
        <f>IFERROR((AK108-Table4[[#This Row],[2019 Total Rent29]])/Table4[[#This Row],[2019 Total Rent29]], "-")</f>
        <v>6.8010075566750636E-2</v>
      </c>
    </row>
    <row r="109" spans="1:41" x14ac:dyDescent="0.25">
      <c r="A109" s="25">
        <v>77</v>
      </c>
      <c r="B109" s="54" t="str">
        <f>VLOOKUP(A109,Registry!$A$4:$AA$241,2,FALSE)</f>
        <v>Sunset Terrace Estates</v>
      </c>
      <c r="C109" s="80" t="str">
        <f>VLOOKUP(A109,Registry!$A$4:$AA$241,3,FALSE)</f>
        <v>Franklin</v>
      </c>
      <c r="D109" s="80" t="str">
        <f>VLOOKUP(A109,Registry!$A$4:$AA$241,4,FALSE)</f>
        <v>Swanton</v>
      </c>
      <c r="E109" s="80">
        <f>IF(VLOOKUP(A109,Registry!$A$4:$AA$241,7,FALSE)=0,"",VLOOKUP(A109,Registry!$A$4:$AA$241,7,FALSE))</f>
        <v>1970</v>
      </c>
      <c r="F109" s="80" t="str">
        <f>IF(VLOOKUP(A109,Registry!$A$4:$AA$241,20,FALSE)=0,"",VLOOKUP(A109,Registry!$A$4:$AA$241,20,FALSE))</f>
        <v>Non-profit</v>
      </c>
      <c r="G109" s="25">
        <v>1992</v>
      </c>
      <c r="H109" s="24">
        <f>VLOOKUP(A109,Registry!$A$4:$AA$241,21,FALSE)</f>
        <v>17</v>
      </c>
      <c r="I109" s="24">
        <f>VLOOKUP(A109,Registry!$A$4:$AA$241,24,FALSE)</f>
        <v>0</v>
      </c>
      <c r="J109" s="24">
        <f>VLOOKUP(A109,Registry!$A$4:$AA$241,26,FALSE)</f>
        <v>0</v>
      </c>
      <c r="K109" s="128">
        <v>0</v>
      </c>
      <c r="L109" s="128">
        <v>1</v>
      </c>
      <c r="M109" s="128">
        <v>0</v>
      </c>
      <c r="N109" s="128">
        <v>1</v>
      </c>
      <c r="O109" s="128">
        <v>0</v>
      </c>
      <c r="P109" s="128">
        <v>1</v>
      </c>
      <c r="Q109" s="28">
        <f>I109-Table4[[#This Row],[Park Owned6]]</f>
        <v>0</v>
      </c>
      <c r="R109" s="28">
        <f>J109-Table4[[#This Row],[Other Owned7]]</f>
        <v>-1</v>
      </c>
      <c r="S109" s="24">
        <f>VLOOKUP($A109,Registry!$A$4:$AA$241,23,FALSE)</f>
        <v>0</v>
      </c>
      <c r="T109" s="61">
        <f t="shared" si="6"/>
        <v>0</v>
      </c>
      <c r="U109" s="35">
        <v>0</v>
      </c>
      <c r="V109" s="90">
        <v>0</v>
      </c>
      <c r="W109" s="86">
        <v>1</v>
      </c>
      <c r="X109" s="90">
        <v>5.9000000000000004E-2</v>
      </c>
      <c r="Y109" s="86">
        <v>1</v>
      </c>
      <c r="Z109" s="90">
        <v>5.9000000000000004E-2</v>
      </c>
      <c r="AA109" s="35">
        <f>Table4[[#This Row],['# Lots]]-Table4[[#This Row],['# Lots10]]</f>
        <v>0</v>
      </c>
      <c r="AB109" s="61">
        <f t="shared" si="10"/>
        <v>0</v>
      </c>
      <c r="AC109" s="35">
        <f>Table4[[#This Row],['# Lots]]-Table4[[#This Row],['# Lots14]]</f>
        <v>-1</v>
      </c>
      <c r="AD109" s="61">
        <f t="shared" si="11"/>
        <v>-5.8823529411764705E-2</v>
      </c>
      <c r="AE109" s="138">
        <v>17</v>
      </c>
      <c r="AF109" s="35">
        <v>16</v>
      </c>
      <c r="AG109" s="58">
        <v>16</v>
      </c>
      <c r="AH109" s="58">
        <v>16</v>
      </c>
      <c r="AI109" s="128">
        <f>Table4[[#This Row],[2022 Leased Lots20]]-Table4[[#This Row],[2019 Leased Lots23]]</f>
        <v>1</v>
      </c>
      <c r="AJ109" s="61">
        <f t="shared" si="9"/>
        <v>1</v>
      </c>
      <c r="AK109" s="139">
        <f>VLOOKUP($A109,Registry!$A$4:$AA$241,27,FALSE)</f>
        <v>304.47000000000003</v>
      </c>
      <c r="AL109" s="65">
        <v>292</v>
      </c>
      <c r="AM109" s="65">
        <v>283.66000000000003</v>
      </c>
      <c r="AN109" s="65">
        <v>283.66000000000003</v>
      </c>
      <c r="AO109" s="120">
        <f>IFERROR((AK109-Table4[[#This Row],[2019 Total Rent29]])/Table4[[#This Row],[2019 Total Rent29]], "-")</f>
        <v>7.3362476203906082E-2</v>
      </c>
    </row>
    <row r="110" spans="1:41" x14ac:dyDescent="0.25">
      <c r="A110" s="25">
        <v>250</v>
      </c>
      <c r="B110" s="54" t="str">
        <f>VLOOKUP(A110,Registry!$A$4:$AA$241,2,FALSE)</f>
        <v>Blair Trailer Park</v>
      </c>
      <c r="C110" s="80" t="str">
        <f>VLOOKUP(A110,Registry!$A$4:$AA$241,3,FALSE)</f>
        <v>Grand Isle</v>
      </c>
      <c r="D110" s="80" t="str">
        <f>VLOOKUP(A110,Registry!$A$4:$AA$241,4,FALSE)</f>
        <v>Alburgh</v>
      </c>
      <c r="E110" s="80">
        <f>IF(VLOOKUP(A110,Registry!$A$4:$AA$241,7,FALSE)=0,"",VLOOKUP(A110,Registry!$A$4:$AA$241,7,FALSE))</f>
        <v>1982</v>
      </c>
      <c r="F110" s="80" t="str">
        <f>IF(VLOOKUP(A110,Registry!$A$4:$AA$241,20,FALSE)=0,"",VLOOKUP(A110,Registry!$A$4:$AA$241,20,FALSE))</f>
        <v>For profit</v>
      </c>
      <c r="G110" s="25">
        <v>1982</v>
      </c>
      <c r="H110" s="24">
        <f>VLOOKUP(A110,Registry!$A$4:$AA$241,21,FALSE)</f>
        <v>8</v>
      </c>
      <c r="I110" s="24">
        <f>VLOOKUP(A110,Registry!$A$4:$AA$241,24,FALSE)</f>
        <v>1</v>
      </c>
      <c r="J110" s="24">
        <f>VLOOKUP(A110,Registry!$A$4:$AA$241,26,FALSE)</f>
        <v>1</v>
      </c>
      <c r="K110" s="128">
        <v>1</v>
      </c>
      <c r="L110" s="128">
        <v>1</v>
      </c>
      <c r="M110" s="128">
        <v>1</v>
      </c>
      <c r="N110" s="128">
        <v>0</v>
      </c>
      <c r="O110" s="128">
        <v>1</v>
      </c>
      <c r="P110" s="128">
        <v>0</v>
      </c>
      <c r="Q110" s="28">
        <f>I110-Table4[[#This Row],[Park Owned6]]</f>
        <v>0</v>
      </c>
      <c r="R110" s="28">
        <f>J110-Table4[[#This Row],[Other Owned7]]</f>
        <v>1</v>
      </c>
      <c r="S110" s="24">
        <f>VLOOKUP($A110,Registry!$A$4:$AA$241,23,FALSE)</f>
        <v>5</v>
      </c>
      <c r="T110" s="61">
        <f t="shared" si="6"/>
        <v>0.625</v>
      </c>
      <c r="U110" s="35">
        <v>5</v>
      </c>
      <c r="V110" s="90">
        <v>0.625</v>
      </c>
      <c r="W110" s="86">
        <v>5</v>
      </c>
      <c r="X110" s="90">
        <v>0.625</v>
      </c>
      <c r="Y110" s="86">
        <v>5</v>
      </c>
      <c r="Z110" s="90">
        <v>0.625</v>
      </c>
      <c r="AA110" s="35">
        <f>Table4[[#This Row],['# Lots]]-Table4[[#This Row],['# Lots10]]</f>
        <v>0</v>
      </c>
      <c r="AB110" s="61">
        <f t="shared" si="10"/>
        <v>0</v>
      </c>
      <c r="AC110" s="35">
        <f>Table4[[#This Row],['# Lots]]-Table4[[#This Row],['# Lots14]]</f>
        <v>0</v>
      </c>
      <c r="AD110" s="61">
        <f t="shared" si="11"/>
        <v>0</v>
      </c>
      <c r="AE110" s="138">
        <v>1</v>
      </c>
      <c r="AF110" s="35">
        <v>2</v>
      </c>
      <c r="AG110" s="58">
        <v>2</v>
      </c>
      <c r="AH110" s="58">
        <v>3</v>
      </c>
      <c r="AI110" s="128">
        <f>Table4[[#This Row],[2022 Leased Lots20]]-Table4[[#This Row],[2019 Leased Lots23]]</f>
        <v>-2</v>
      </c>
      <c r="AJ110" s="61">
        <f t="shared" si="9"/>
        <v>0.125</v>
      </c>
      <c r="AK110" s="139">
        <f>VLOOKUP($A110,Registry!$A$4:$AA$241,27,FALSE)</f>
        <v>195</v>
      </c>
      <c r="AL110" s="65">
        <v>195</v>
      </c>
      <c r="AM110" s="65">
        <v>195</v>
      </c>
      <c r="AN110" s="65">
        <v>195</v>
      </c>
      <c r="AO110" s="120">
        <f>IFERROR((AK110-Table4[[#This Row],[2019 Total Rent29]])/Table4[[#This Row],[2019 Total Rent29]], "-")</f>
        <v>0</v>
      </c>
    </row>
    <row r="111" spans="1:41" x14ac:dyDescent="0.25">
      <c r="A111" s="25">
        <v>136</v>
      </c>
      <c r="B111" s="54" t="str">
        <f>VLOOKUP(A111,Registry!$A$4:$AA$241,2,FALSE)</f>
        <v>Cooper's Bay Mobile Home Park</v>
      </c>
      <c r="C111" s="80" t="str">
        <f>VLOOKUP(A111,Registry!$A$4:$AA$241,3,FALSE)</f>
        <v>Grand Isle</v>
      </c>
      <c r="D111" s="80" t="str">
        <f>VLOOKUP(A111,Registry!$A$4:$AA$241,4,FALSE)</f>
        <v>Grand Isle</v>
      </c>
      <c r="E111" s="80">
        <f>IF(VLOOKUP(A111,Registry!$A$4:$AA$241,7,FALSE)=0,"",VLOOKUP(A111,Registry!$A$4:$AA$241,7,FALSE))</f>
        <v>1954</v>
      </c>
      <c r="F111" s="80" t="str">
        <f>IF(VLOOKUP(A111,Registry!$A$4:$AA$241,20,FALSE)=0,"",VLOOKUP(A111,Registry!$A$4:$AA$241,20,FALSE))</f>
        <v>Non-profit</v>
      </c>
      <c r="G111" s="25">
        <v>1990</v>
      </c>
      <c r="H111" s="24">
        <f>VLOOKUP(A111,Registry!$A$4:$AA$241,21,FALSE)</f>
        <v>24</v>
      </c>
      <c r="I111" s="24">
        <f>VLOOKUP(A111,Registry!$A$4:$AA$241,24,FALSE)</f>
        <v>0</v>
      </c>
      <c r="J111" s="24">
        <f>VLOOKUP(A111,Registry!$A$4:$AA$241,26,FALSE)</f>
        <v>0</v>
      </c>
      <c r="K111" s="128">
        <v>0</v>
      </c>
      <c r="L111" s="128">
        <v>0</v>
      </c>
      <c r="M111" s="128">
        <v>0</v>
      </c>
      <c r="N111" s="128">
        <v>0</v>
      </c>
      <c r="O111" s="128">
        <v>0</v>
      </c>
      <c r="P111" s="128">
        <v>0</v>
      </c>
      <c r="Q111" s="28">
        <f>I111-Table4[[#This Row],[Park Owned6]]</f>
        <v>0</v>
      </c>
      <c r="R111" s="28">
        <f>J111-Table4[[#This Row],[Other Owned7]]</f>
        <v>0</v>
      </c>
      <c r="S111" s="24">
        <f>VLOOKUP($A111,Registry!$A$4:$AA$241,23,FALSE)</f>
        <v>0</v>
      </c>
      <c r="T111" s="61">
        <f t="shared" si="6"/>
        <v>0</v>
      </c>
      <c r="U111" s="35">
        <v>0</v>
      </c>
      <c r="V111" s="90">
        <v>0</v>
      </c>
      <c r="W111" s="86">
        <v>0</v>
      </c>
      <c r="X111" s="90">
        <v>0</v>
      </c>
      <c r="Y111" s="86">
        <v>0</v>
      </c>
      <c r="Z111" s="90">
        <v>0</v>
      </c>
      <c r="AA111" s="35">
        <f>Table4[[#This Row],['# Lots]]-Table4[[#This Row],['# Lots10]]</f>
        <v>0</v>
      </c>
      <c r="AB111" s="61">
        <f t="shared" si="10"/>
        <v>0</v>
      </c>
      <c r="AC111" s="35">
        <f>Table4[[#This Row],['# Lots]]-Table4[[#This Row],['# Lots14]]</f>
        <v>0</v>
      </c>
      <c r="AD111" s="61">
        <f t="shared" si="11"/>
        <v>0</v>
      </c>
      <c r="AE111" s="138">
        <v>24</v>
      </c>
      <c r="AF111" s="35">
        <v>24</v>
      </c>
      <c r="AG111" s="58">
        <v>24</v>
      </c>
      <c r="AH111" s="58">
        <v>24</v>
      </c>
      <c r="AI111" s="128">
        <f>Table4[[#This Row],[2022 Leased Lots20]]-Table4[[#This Row],[2019 Leased Lots23]]</f>
        <v>0</v>
      </c>
      <c r="AJ111" s="61">
        <f t="shared" si="9"/>
        <v>1</v>
      </c>
      <c r="AK111" s="139">
        <f>VLOOKUP($A111,Registry!$A$4:$AA$241,27,FALSE)</f>
        <v>358</v>
      </c>
      <c r="AL111" s="65">
        <v>358</v>
      </c>
      <c r="AM111" s="65">
        <v>348</v>
      </c>
      <c r="AN111" s="65">
        <v>336</v>
      </c>
      <c r="AO111" s="120">
        <f>IFERROR((AK111-Table4[[#This Row],[2019 Total Rent29]])/Table4[[#This Row],[2019 Total Rent29]], "-")</f>
        <v>6.5476190476190479E-2</v>
      </c>
    </row>
    <row r="112" spans="1:41" x14ac:dyDescent="0.25">
      <c r="A112" s="25">
        <v>298</v>
      </c>
      <c r="B112" s="54" t="str">
        <f>VLOOKUP(A112,Registry!$A$4:$AA$241,2,FALSE)</f>
        <v>Harvey MHP</v>
      </c>
      <c r="C112" s="80" t="str">
        <f>VLOOKUP(A112,Registry!$A$4:$AA$241,3,FALSE)</f>
        <v>Lamoille</v>
      </c>
      <c r="D112" s="80" t="str">
        <f>VLOOKUP(A112,Registry!$A$4:$AA$241,4,FALSE)</f>
        <v>Eden</v>
      </c>
      <c r="E112" s="80">
        <f>IF(VLOOKUP(A112,Registry!$A$4:$AA$241,7,FALSE)=0,"",VLOOKUP(A112,Registry!$A$4:$AA$241,7,FALSE))</f>
        <v>1998</v>
      </c>
      <c r="F112" s="80" t="str">
        <f>IF(VLOOKUP(A112,Registry!$A$4:$AA$241,20,FALSE)=0,"",VLOOKUP(A112,Registry!$A$4:$AA$241,20,FALSE))</f>
        <v>For profit</v>
      </c>
      <c r="G112" s="25">
        <v>1998</v>
      </c>
      <c r="H112" s="24">
        <f>VLOOKUP(A112,Registry!$A$4:$AA$241,21,FALSE)</f>
        <v>4</v>
      </c>
      <c r="I112" s="24">
        <f>VLOOKUP(A112,Registry!$A$4:$AA$241,24,FALSE)</f>
        <v>0</v>
      </c>
      <c r="J112" s="24">
        <f>VLOOKUP(A112,Registry!$A$4:$AA$241,26,FALSE)</f>
        <v>0</v>
      </c>
      <c r="K112" s="128">
        <v>0</v>
      </c>
      <c r="L112" s="128">
        <v>0</v>
      </c>
      <c r="M112" s="128">
        <v>0</v>
      </c>
      <c r="N112" s="128">
        <v>0</v>
      </c>
      <c r="O112" s="128">
        <v>0</v>
      </c>
      <c r="P112" s="128">
        <v>0</v>
      </c>
      <c r="Q112" s="28">
        <f>I112-Table4[[#This Row],[Park Owned6]]</f>
        <v>0</v>
      </c>
      <c r="R112" s="28">
        <f>J112-Table4[[#This Row],[Other Owned7]]</f>
        <v>0</v>
      </c>
      <c r="S112" s="24">
        <f>VLOOKUP($A112,Registry!$A$4:$AA$241,23,FALSE)</f>
        <v>0</v>
      </c>
      <c r="T112" s="61">
        <f t="shared" si="6"/>
        <v>0</v>
      </c>
      <c r="U112" s="35">
        <v>0</v>
      </c>
      <c r="V112" s="90">
        <v>0</v>
      </c>
      <c r="W112" s="86">
        <v>0</v>
      </c>
      <c r="X112" s="90">
        <v>0</v>
      </c>
      <c r="Y112" s="86">
        <v>0</v>
      </c>
      <c r="Z112" s="90">
        <v>0</v>
      </c>
      <c r="AA112" s="35">
        <f>Table4[[#This Row],['# Lots]]-Table4[[#This Row],['# Lots10]]</f>
        <v>0</v>
      </c>
      <c r="AB112" s="61">
        <f t="shared" si="10"/>
        <v>0</v>
      </c>
      <c r="AC112" s="35">
        <f>Table4[[#This Row],['# Lots]]-Table4[[#This Row],['# Lots14]]</f>
        <v>0</v>
      </c>
      <c r="AD112" s="61">
        <f t="shared" si="11"/>
        <v>0</v>
      </c>
      <c r="AE112" s="138">
        <v>4</v>
      </c>
      <c r="AF112" s="35">
        <v>4</v>
      </c>
      <c r="AG112" s="58">
        <v>5</v>
      </c>
      <c r="AH112" s="58">
        <v>6</v>
      </c>
      <c r="AI112" s="128">
        <f>Table4[[#This Row],[2022 Leased Lots20]]-Table4[[#This Row],[2019 Leased Lots23]]</f>
        <v>-2</v>
      </c>
      <c r="AJ112" s="61">
        <f t="shared" si="9"/>
        <v>1</v>
      </c>
      <c r="AK112" s="139">
        <f>VLOOKUP($A112,Registry!$A$4:$AA$241,27,FALSE)</f>
        <v>320</v>
      </c>
      <c r="AL112" s="65">
        <v>310</v>
      </c>
      <c r="AM112" s="65">
        <v>305</v>
      </c>
      <c r="AN112" s="65">
        <v>300</v>
      </c>
      <c r="AO112" s="120">
        <f>IFERROR((AK112-Table4[[#This Row],[2019 Total Rent29]])/Table4[[#This Row],[2019 Total Rent29]], "-")</f>
        <v>6.6666666666666666E-2</v>
      </c>
    </row>
    <row r="113" spans="1:41" x14ac:dyDescent="0.25">
      <c r="A113" s="25">
        <v>168</v>
      </c>
      <c r="B113" s="54" t="str">
        <f>VLOOKUP(A113,Registry!$A$4:$AA$241,2,FALSE)</f>
        <v>Sterling View Cooperative Community, Inc.</v>
      </c>
      <c r="C113" s="80" t="str">
        <f>VLOOKUP(A113,Registry!$A$4:$AA$241,3,FALSE)</f>
        <v>Lamoille</v>
      </c>
      <c r="D113" s="80" t="str">
        <f>VLOOKUP(A113,Registry!$A$4:$AA$241,4,FALSE)</f>
        <v>Hyde Park</v>
      </c>
      <c r="E113" s="80">
        <f>IF(VLOOKUP(A113,Registry!$A$4:$AA$241,7,FALSE)=0,"",VLOOKUP(A113,Registry!$A$4:$AA$241,7,FALSE))</f>
        <v>1988</v>
      </c>
      <c r="F113" s="80" t="str">
        <f>IF(VLOOKUP(A113,Registry!$A$4:$AA$241,20,FALSE)=0,"",VLOOKUP(A113,Registry!$A$4:$AA$241,20,FALSE))</f>
        <v>Cooperative</v>
      </c>
      <c r="G113" s="25">
        <v>2021</v>
      </c>
      <c r="H113" s="24">
        <f>VLOOKUP(A113,Registry!$A$4:$AA$241,21,FALSE)</f>
        <v>113</v>
      </c>
      <c r="I113" s="24">
        <f>VLOOKUP(A113,Registry!$A$4:$AA$241,24,FALSE)</f>
        <v>0</v>
      </c>
      <c r="J113" s="24">
        <f>VLOOKUP(A113,Registry!$A$4:$AA$241,26,FALSE)</f>
        <v>0</v>
      </c>
      <c r="K113" s="128">
        <v>0</v>
      </c>
      <c r="L113" s="128">
        <v>0</v>
      </c>
      <c r="M113" s="128">
        <v>13</v>
      </c>
      <c r="N113" s="128">
        <v>0</v>
      </c>
      <c r="O113" s="128">
        <v>14</v>
      </c>
      <c r="P113" s="128">
        <v>0</v>
      </c>
      <c r="Q113" s="28">
        <f>I113-Table4[[#This Row],[Park Owned6]]</f>
        <v>-14</v>
      </c>
      <c r="R113" s="28">
        <f>J113-Table4[[#This Row],[Other Owned7]]</f>
        <v>0</v>
      </c>
      <c r="S113" s="24">
        <f>VLOOKUP($A113,Registry!$A$4:$AA$241,23,FALSE)</f>
        <v>0</v>
      </c>
      <c r="T113" s="61">
        <f t="shared" si="6"/>
        <v>0</v>
      </c>
      <c r="U113" s="35">
        <v>0</v>
      </c>
      <c r="V113" s="90">
        <v>0</v>
      </c>
      <c r="W113" s="86">
        <v>0</v>
      </c>
      <c r="X113" s="90">
        <v>0</v>
      </c>
      <c r="Y113" s="86">
        <v>0</v>
      </c>
      <c r="Z113" s="90">
        <v>0</v>
      </c>
      <c r="AA113" s="35">
        <f>Table4[[#This Row],['# Lots]]-Table4[[#This Row],['# Lots10]]</f>
        <v>0</v>
      </c>
      <c r="AB113" s="61">
        <f t="shared" si="10"/>
        <v>0</v>
      </c>
      <c r="AC113" s="35">
        <f>Table4[[#This Row],['# Lots]]-Table4[[#This Row],['# Lots14]]</f>
        <v>0</v>
      </c>
      <c r="AD113" s="61">
        <f t="shared" si="11"/>
        <v>0</v>
      </c>
      <c r="AE113" s="138">
        <v>113</v>
      </c>
      <c r="AF113" s="35">
        <v>111</v>
      </c>
      <c r="AG113" s="58">
        <v>111</v>
      </c>
      <c r="AH113" s="58">
        <v>111</v>
      </c>
      <c r="AI113" s="128">
        <f>Table4[[#This Row],[2022 Leased Lots20]]-Table4[[#This Row],[2019 Leased Lots23]]</f>
        <v>2</v>
      </c>
      <c r="AJ113" s="61">
        <f t="shared" si="9"/>
        <v>1</v>
      </c>
      <c r="AK113" s="139">
        <f>VLOOKUP($A113,Registry!$A$4:$AA$241,27,FALSE)</f>
        <v>362</v>
      </c>
      <c r="AL113" s="65">
        <v>348</v>
      </c>
      <c r="AM113" s="65">
        <v>287</v>
      </c>
      <c r="AN113" s="65">
        <v>277</v>
      </c>
      <c r="AO113" s="120">
        <f>IFERROR((AK113-Table4[[#This Row],[2019 Total Rent29]])/Table4[[#This Row],[2019 Total Rent29]], "-")</f>
        <v>0.30685920577617326</v>
      </c>
    </row>
    <row r="114" spans="1:41" x14ac:dyDescent="0.25">
      <c r="A114" s="25">
        <v>121</v>
      </c>
      <c r="B114" s="54" t="str">
        <f>VLOOKUP(A114,Registry!$A$4:$AA$241,2,FALSE)</f>
        <v>Highland Heights MHP</v>
      </c>
      <c r="C114" s="80" t="str">
        <f>VLOOKUP(A114,Registry!$A$4:$AA$241,3,FALSE)</f>
        <v>Lamoille</v>
      </c>
      <c r="D114" s="80" t="str">
        <f>VLOOKUP(A114,Registry!$A$4:$AA$241,4,FALSE)</f>
        <v>Johnson</v>
      </c>
      <c r="E114" s="80">
        <f>IF(VLOOKUP(A114,Registry!$A$4:$AA$241,7,FALSE)=0,"",VLOOKUP(A114,Registry!$A$4:$AA$241,7,FALSE))</f>
        <v>1966</v>
      </c>
      <c r="F114" s="80" t="str">
        <f>IF(VLOOKUP(A114,Registry!$A$4:$AA$241,20,FALSE)=0,"",VLOOKUP(A114,Registry!$A$4:$AA$241,20,FALSE))</f>
        <v>For profit</v>
      </c>
      <c r="G114" s="25">
        <v>2000</v>
      </c>
      <c r="H114" s="24">
        <f>VLOOKUP(A114,Registry!$A$4:$AA$241,21,FALSE)</f>
        <v>46</v>
      </c>
      <c r="I114" s="24">
        <f>VLOOKUP(A114,Registry!$A$4:$AA$241,24,FALSE)</f>
        <v>7</v>
      </c>
      <c r="J114" s="24">
        <f>VLOOKUP(A114,Registry!$A$4:$AA$241,26,FALSE)</f>
        <v>0</v>
      </c>
      <c r="K114" s="128">
        <v>7</v>
      </c>
      <c r="L114" s="128">
        <v>0</v>
      </c>
      <c r="M114" s="128">
        <v>7</v>
      </c>
      <c r="N114" s="128">
        <v>0</v>
      </c>
      <c r="O114" s="128">
        <v>8</v>
      </c>
      <c r="P114" s="128">
        <v>0</v>
      </c>
      <c r="Q114" s="28">
        <f>I114-Table4[[#This Row],[Park Owned6]]</f>
        <v>-1</v>
      </c>
      <c r="R114" s="28">
        <f>J114-Table4[[#This Row],[Other Owned7]]</f>
        <v>0</v>
      </c>
      <c r="S114" s="24">
        <f>VLOOKUP($A114,Registry!$A$4:$AA$241,23,FALSE)</f>
        <v>0</v>
      </c>
      <c r="T114" s="61">
        <f t="shared" si="6"/>
        <v>0</v>
      </c>
      <c r="U114" s="35">
        <v>0</v>
      </c>
      <c r="V114" s="90">
        <v>0</v>
      </c>
      <c r="W114" s="86">
        <v>2</v>
      </c>
      <c r="X114" s="90">
        <v>4.2999999999999997E-2</v>
      </c>
      <c r="Y114" s="86">
        <v>4</v>
      </c>
      <c r="Z114" s="90">
        <v>8.6999999999999994E-2</v>
      </c>
      <c r="AA114" s="35">
        <f>Table4[[#This Row],['# Lots]]-Table4[[#This Row],['# Lots10]]</f>
        <v>0</v>
      </c>
      <c r="AB114" s="61">
        <f t="shared" si="10"/>
        <v>0</v>
      </c>
      <c r="AC114" s="35">
        <f>Table4[[#This Row],['# Lots]]-Table4[[#This Row],['# Lots14]]</f>
        <v>-4</v>
      </c>
      <c r="AD114" s="61">
        <f t="shared" si="11"/>
        <v>-8.6956521739130432E-2</v>
      </c>
      <c r="AE114" s="138">
        <v>46</v>
      </c>
      <c r="AF114" s="35">
        <v>44</v>
      </c>
      <c r="AG114" s="58">
        <v>42</v>
      </c>
      <c r="AH114" s="58">
        <v>42</v>
      </c>
      <c r="AI114" s="128">
        <f>Table4[[#This Row],[2022 Leased Lots20]]-Table4[[#This Row],[2019 Leased Lots23]]</f>
        <v>4</v>
      </c>
      <c r="AJ114" s="61">
        <f t="shared" si="9"/>
        <v>1</v>
      </c>
      <c r="AK114" s="139">
        <f>VLOOKUP($A114,Registry!$A$4:$AA$241,27,FALSE)</f>
        <v>290</v>
      </c>
      <c r="AL114" s="65">
        <v>278</v>
      </c>
      <c r="AM114" s="65">
        <v>268</v>
      </c>
      <c r="AN114" s="65">
        <v>260</v>
      </c>
      <c r="AO114" s="120">
        <f>IFERROR((AK114-Table4[[#This Row],[2019 Total Rent29]])/Table4[[#This Row],[2019 Total Rent29]], "-")</f>
        <v>0.11538461538461539</v>
      </c>
    </row>
    <row r="115" spans="1:41" x14ac:dyDescent="0.25">
      <c r="A115" s="25">
        <v>167</v>
      </c>
      <c r="B115" s="54" t="str">
        <f>VLOOKUP(A115,Registry!$A$4:$AA$241,2,FALSE)</f>
        <v>Johnson Mobile Home Park</v>
      </c>
      <c r="C115" s="80" t="str">
        <f>VLOOKUP(A115,Registry!$A$4:$AA$241,3,FALSE)</f>
        <v>Lamoille</v>
      </c>
      <c r="D115" s="80" t="str">
        <f>VLOOKUP(A115,Registry!$A$4:$AA$241,4,FALSE)</f>
        <v>Johnson</v>
      </c>
      <c r="E115" s="80">
        <f>IF(VLOOKUP(A115,Registry!$A$4:$AA$241,7,FALSE)=0,"",VLOOKUP(A115,Registry!$A$4:$AA$241,7,FALSE))</f>
        <v>1965</v>
      </c>
      <c r="F115" s="80" t="str">
        <f>IF(VLOOKUP(A115,Registry!$A$4:$AA$241,20,FALSE)=0,"",VLOOKUP(A115,Registry!$A$4:$AA$241,20,FALSE))</f>
        <v>For profit</v>
      </c>
      <c r="G115" s="25">
        <v>1986</v>
      </c>
      <c r="H115" s="24">
        <f>VLOOKUP(A115,Registry!$A$4:$AA$241,21,FALSE)</f>
        <v>33</v>
      </c>
      <c r="I115" s="24">
        <f>VLOOKUP(A115,Registry!$A$4:$AA$241,24,FALSE)</f>
        <v>2</v>
      </c>
      <c r="J115" s="24">
        <f>VLOOKUP(A115,Registry!$A$4:$AA$241,26,FALSE)</f>
        <v>0</v>
      </c>
      <c r="K115" s="128">
        <v>1</v>
      </c>
      <c r="L115" s="128">
        <v>0</v>
      </c>
      <c r="M115" s="128">
        <v>2</v>
      </c>
      <c r="N115" s="128">
        <v>0</v>
      </c>
      <c r="O115" s="128">
        <v>2</v>
      </c>
      <c r="P115" s="128">
        <v>0</v>
      </c>
      <c r="Q115" s="28">
        <f>I115-Table4[[#This Row],[Park Owned6]]</f>
        <v>0</v>
      </c>
      <c r="R115" s="28">
        <f>J115-Table4[[#This Row],[Other Owned7]]</f>
        <v>0</v>
      </c>
      <c r="S115" s="24">
        <f>VLOOKUP($A115,Registry!$A$4:$AA$241,23,FALSE)</f>
        <v>1</v>
      </c>
      <c r="T115" s="61">
        <f t="shared" si="6"/>
        <v>3.0303030303030304E-2</v>
      </c>
      <c r="U115" s="35">
        <v>1</v>
      </c>
      <c r="V115" s="90">
        <v>3.0303030303030304E-2</v>
      </c>
      <c r="W115" s="86">
        <v>1</v>
      </c>
      <c r="X115" s="90">
        <v>0.03</v>
      </c>
      <c r="Y115" s="86">
        <v>4</v>
      </c>
      <c r="Z115" s="90">
        <v>0.121</v>
      </c>
      <c r="AA115" s="35">
        <f>Table4[[#This Row],['# Lots]]-Table4[[#This Row],['# Lots10]]</f>
        <v>0</v>
      </c>
      <c r="AB115" s="61">
        <f t="shared" si="10"/>
        <v>0</v>
      </c>
      <c r="AC115" s="35">
        <f>Table4[[#This Row],['# Lots]]-Table4[[#This Row],['# Lots14]]</f>
        <v>-3</v>
      </c>
      <c r="AD115" s="61">
        <f t="shared" si="11"/>
        <v>-9.0909090909090912E-2</v>
      </c>
      <c r="AE115" s="138">
        <v>31</v>
      </c>
      <c r="AF115" s="35">
        <v>32</v>
      </c>
      <c r="AG115" s="58">
        <v>29</v>
      </c>
      <c r="AH115" s="58">
        <v>28</v>
      </c>
      <c r="AI115" s="128">
        <f>Table4[[#This Row],[2022 Leased Lots20]]-Table4[[#This Row],[2019 Leased Lots23]]</f>
        <v>3</v>
      </c>
      <c r="AJ115" s="61">
        <f t="shared" si="9"/>
        <v>0.93939393939393945</v>
      </c>
      <c r="AK115" s="139">
        <f>VLOOKUP($A115,Registry!$A$4:$AA$241,27,FALSE)</f>
        <v>280</v>
      </c>
      <c r="AL115" s="65">
        <v>270</v>
      </c>
      <c r="AM115" s="65">
        <v>263</v>
      </c>
      <c r="AN115" s="65">
        <v>255</v>
      </c>
      <c r="AO115" s="120">
        <f>IFERROR((AK115-Table4[[#This Row],[2019 Total Rent29]])/Table4[[#This Row],[2019 Total Rent29]], "-")</f>
        <v>9.8039215686274508E-2</v>
      </c>
    </row>
    <row r="116" spans="1:41" x14ac:dyDescent="0.25">
      <c r="A116" s="25">
        <v>165</v>
      </c>
      <c r="B116" s="54" t="str">
        <f>VLOOKUP(A116,Registry!$A$4:$AA$241,2,FALSE)</f>
        <v>Katy Win Mobile Home Development</v>
      </c>
      <c r="C116" s="80" t="str">
        <f>VLOOKUP(A116,Registry!$A$4:$AA$241,3,FALSE)</f>
        <v>Lamoille</v>
      </c>
      <c r="D116" s="80" t="str">
        <f>VLOOKUP(A116,Registry!$A$4:$AA$241,4,FALSE)</f>
        <v>Johnson</v>
      </c>
      <c r="E116" s="80">
        <f>IF(VLOOKUP(A116,Registry!$A$4:$AA$241,7,FALSE)=0,"",VLOOKUP(A116,Registry!$A$4:$AA$241,7,FALSE))</f>
        <v>1967</v>
      </c>
      <c r="F116" s="80" t="str">
        <f>IF(VLOOKUP(A116,Registry!$A$4:$AA$241,20,FALSE)=0,"",VLOOKUP(A116,Registry!$A$4:$AA$241,20,FALSE))</f>
        <v>For profit</v>
      </c>
      <c r="G116" s="25">
        <v>2015</v>
      </c>
      <c r="H116" s="24">
        <f>VLOOKUP(A116,Registry!$A$4:$AA$241,21,FALSE)</f>
        <v>47</v>
      </c>
      <c r="I116" s="24">
        <f>VLOOKUP(A116,Registry!$A$4:$AA$241,24,FALSE)</f>
        <v>5</v>
      </c>
      <c r="J116" s="24">
        <f>VLOOKUP(A116,Registry!$A$4:$AA$241,26,FALSE)</f>
        <v>0</v>
      </c>
      <c r="K116" s="128">
        <v>5</v>
      </c>
      <c r="L116" s="128">
        <v>0</v>
      </c>
      <c r="M116" s="128">
        <v>5</v>
      </c>
      <c r="N116" s="128">
        <v>0</v>
      </c>
      <c r="O116" s="128">
        <v>8</v>
      </c>
      <c r="P116" s="128">
        <v>1</v>
      </c>
      <c r="Q116" s="28">
        <f>I116-Table4[[#This Row],[Park Owned6]]</f>
        <v>-3</v>
      </c>
      <c r="R116" s="28">
        <f>J116-Table4[[#This Row],[Other Owned7]]</f>
        <v>-1</v>
      </c>
      <c r="S116" s="24">
        <f>VLOOKUP($A116,Registry!$A$4:$AA$241,23,FALSE)</f>
        <v>2</v>
      </c>
      <c r="T116" s="61">
        <f t="shared" si="6"/>
        <v>4.2553191489361701E-2</v>
      </c>
      <c r="U116" s="35">
        <v>2</v>
      </c>
      <c r="V116" s="90">
        <v>4.2553191489361701E-2</v>
      </c>
      <c r="W116" s="86">
        <v>2</v>
      </c>
      <c r="X116" s="90">
        <v>4.2999999999999997E-2</v>
      </c>
      <c r="Y116" s="86">
        <v>2</v>
      </c>
      <c r="Z116" s="90">
        <v>4.2999999999999997E-2</v>
      </c>
      <c r="AA116" s="35">
        <f>Table4[[#This Row],['# Lots]]-Table4[[#This Row],['# Lots10]]</f>
        <v>0</v>
      </c>
      <c r="AB116" s="61">
        <f t="shared" si="10"/>
        <v>0</v>
      </c>
      <c r="AC116" s="35">
        <f>Table4[[#This Row],['# Lots]]-Table4[[#This Row],['# Lots14]]</f>
        <v>0</v>
      </c>
      <c r="AD116" s="61">
        <f t="shared" si="11"/>
        <v>0</v>
      </c>
      <c r="AE116" s="138">
        <v>45</v>
      </c>
      <c r="AF116" s="35">
        <v>45</v>
      </c>
      <c r="AG116" s="58">
        <v>45</v>
      </c>
      <c r="AH116" s="58">
        <v>45</v>
      </c>
      <c r="AI116" s="128">
        <f>Table4[[#This Row],[2022 Leased Lots20]]-Table4[[#This Row],[2019 Leased Lots23]]</f>
        <v>0</v>
      </c>
      <c r="AJ116" s="61">
        <f t="shared" si="9"/>
        <v>0.95744680851063835</v>
      </c>
      <c r="AK116" s="139">
        <f>VLOOKUP($A116,Registry!$A$4:$AA$241,27,FALSE)</f>
        <v>287</v>
      </c>
      <c r="AL116" s="65">
        <v>275</v>
      </c>
      <c r="AM116" s="65">
        <v>267</v>
      </c>
      <c r="AN116" s="65">
        <v>260</v>
      </c>
      <c r="AO116" s="120">
        <f>IFERROR((AK116-Table4[[#This Row],[2019 Total Rent29]])/Table4[[#This Row],[2019 Total Rent29]], "-")</f>
        <v>0.10384615384615385</v>
      </c>
    </row>
    <row r="117" spans="1:41" x14ac:dyDescent="0.25">
      <c r="A117" s="25">
        <v>164</v>
      </c>
      <c r="B117" s="54" t="str">
        <f>VLOOKUP(A117,Registry!$A$4:$AA$241,2,FALSE)</f>
        <v>Mountain View Park</v>
      </c>
      <c r="C117" s="80" t="str">
        <f>VLOOKUP(A117,Registry!$A$4:$AA$241,3,FALSE)</f>
        <v>Lamoille</v>
      </c>
      <c r="D117" s="80" t="str">
        <f>VLOOKUP(A117,Registry!$A$4:$AA$241,4,FALSE)</f>
        <v>Johnson</v>
      </c>
      <c r="E117" s="80">
        <f>IF(VLOOKUP(A117,Registry!$A$4:$AA$241,7,FALSE)=0,"",VLOOKUP(A117,Registry!$A$4:$AA$241,7,FALSE))</f>
        <v>1963</v>
      </c>
      <c r="F117" s="80" t="str">
        <f>IF(VLOOKUP(A117,Registry!$A$4:$AA$241,20,FALSE)=0,"",VLOOKUP(A117,Registry!$A$4:$AA$241,20,FALSE))</f>
        <v>For profit</v>
      </c>
      <c r="G117" s="25">
        <v>2014</v>
      </c>
      <c r="H117" s="24">
        <f>VLOOKUP(A117,Registry!$A$4:$AA$241,21,FALSE)</f>
        <v>31</v>
      </c>
      <c r="I117" s="24">
        <f>VLOOKUP(A117,Registry!$A$4:$AA$241,24,FALSE)</f>
        <v>1</v>
      </c>
      <c r="J117" s="24">
        <f>VLOOKUP(A117,Registry!$A$4:$AA$241,26,FALSE)</f>
        <v>0</v>
      </c>
      <c r="K117" s="128">
        <v>1</v>
      </c>
      <c r="L117" s="128">
        <v>0</v>
      </c>
      <c r="M117" s="128">
        <v>1</v>
      </c>
      <c r="N117" s="128">
        <v>0</v>
      </c>
      <c r="O117" s="128">
        <v>1</v>
      </c>
      <c r="P117" s="128">
        <v>0</v>
      </c>
      <c r="Q117" s="28">
        <f>I117-Table4[[#This Row],[Park Owned6]]</f>
        <v>0</v>
      </c>
      <c r="R117" s="28">
        <f>J117-Table4[[#This Row],[Other Owned7]]</f>
        <v>0</v>
      </c>
      <c r="S117" s="24">
        <f>VLOOKUP($A117,Registry!$A$4:$AA$241,23,FALSE)</f>
        <v>2</v>
      </c>
      <c r="T117" s="61">
        <f t="shared" si="6"/>
        <v>6.4516129032258063E-2</v>
      </c>
      <c r="U117" s="35">
        <v>3</v>
      </c>
      <c r="V117" s="90">
        <v>9.6774193548387094E-2</v>
      </c>
      <c r="W117" s="86">
        <v>0</v>
      </c>
      <c r="X117" s="90">
        <v>0</v>
      </c>
      <c r="Y117" s="86">
        <v>0</v>
      </c>
      <c r="Z117" s="90">
        <v>0</v>
      </c>
      <c r="AA117" s="35">
        <f>Table4[[#This Row],['# Lots]]-Table4[[#This Row],['# Lots10]]</f>
        <v>-1</v>
      </c>
      <c r="AB117" s="61">
        <f t="shared" si="10"/>
        <v>-3.2258064516129031E-2</v>
      </c>
      <c r="AC117" s="35">
        <f>Table4[[#This Row],['# Lots]]-Table4[[#This Row],['# Lots14]]</f>
        <v>2</v>
      </c>
      <c r="AD117" s="61">
        <f t="shared" si="11"/>
        <v>6.4516129032258063E-2</v>
      </c>
      <c r="AE117" s="138">
        <v>27</v>
      </c>
      <c r="AF117" s="35">
        <v>30</v>
      </c>
      <c r="AG117" s="58">
        <v>30</v>
      </c>
      <c r="AH117" s="58">
        <v>30</v>
      </c>
      <c r="AI117" s="128">
        <f>Table4[[#This Row],[2022 Leased Lots20]]-Table4[[#This Row],[2019 Leased Lots23]]</f>
        <v>-3</v>
      </c>
      <c r="AJ117" s="61">
        <f t="shared" si="9"/>
        <v>0.87096774193548387</v>
      </c>
      <c r="AK117" s="139">
        <f>VLOOKUP($A117,Registry!$A$4:$AA$241,27,FALSE)</f>
        <v>339</v>
      </c>
      <c r="AL117" s="65">
        <v>329</v>
      </c>
      <c r="AM117" s="65">
        <v>304</v>
      </c>
      <c r="AN117" s="65">
        <v>304</v>
      </c>
      <c r="AO117" s="120">
        <f>IFERROR((AK117-Table4[[#This Row],[2019 Total Rent29]])/Table4[[#This Row],[2019 Total Rent29]], "-")</f>
        <v>0.11513157894736842</v>
      </c>
    </row>
    <row r="118" spans="1:41" x14ac:dyDescent="0.25">
      <c r="A118" s="25">
        <v>169</v>
      </c>
      <c r="B118" s="54" t="str">
        <f>VLOOKUP(A118,Registry!$A$4:$AA$241,2,FALSE)</f>
        <v>Pinecrest Mobile Home Park</v>
      </c>
      <c r="C118" s="80" t="str">
        <f>VLOOKUP(A118,Registry!$A$4:$AA$241,3,FALSE)</f>
        <v>Lamoille</v>
      </c>
      <c r="D118" s="80" t="str">
        <f>VLOOKUP(A118,Registry!$A$4:$AA$241,4,FALSE)</f>
        <v>Morristown</v>
      </c>
      <c r="E118" s="80">
        <f>IF(VLOOKUP(A118,Registry!$A$4:$AA$241,7,FALSE)=0,"",VLOOKUP(A118,Registry!$A$4:$AA$241,7,FALSE))</f>
        <v>1969</v>
      </c>
      <c r="F118" s="80" t="str">
        <f>IF(VLOOKUP(A118,Registry!$A$4:$AA$241,20,FALSE)=0,"",VLOOKUP(A118,Registry!$A$4:$AA$241,20,FALSE))</f>
        <v>For profit</v>
      </c>
      <c r="G118" s="25">
        <v>2016</v>
      </c>
      <c r="H118" s="24">
        <f>VLOOKUP(A118,Registry!$A$4:$AA$241,21,FALSE)</f>
        <v>53</v>
      </c>
      <c r="I118" s="24">
        <f>VLOOKUP(A118,Registry!$A$4:$AA$241,24,FALSE)</f>
        <v>0</v>
      </c>
      <c r="J118" s="24">
        <f>VLOOKUP(A118,Registry!$A$4:$AA$241,26,FALSE)</f>
        <v>2</v>
      </c>
      <c r="K118" s="128">
        <v>0</v>
      </c>
      <c r="L118" s="128">
        <v>1</v>
      </c>
      <c r="M118" s="128">
        <v>1</v>
      </c>
      <c r="N118" s="128">
        <v>0</v>
      </c>
      <c r="O118" s="128">
        <v>0</v>
      </c>
      <c r="P118" s="128">
        <v>0</v>
      </c>
      <c r="Q118" s="28">
        <f>I118-Table4[[#This Row],[Park Owned6]]</f>
        <v>0</v>
      </c>
      <c r="R118" s="28">
        <f>J118-Table4[[#This Row],[Other Owned7]]</f>
        <v>2</v>
      </c>
      <c r="S118" s="24">
        <f>VLOOKUP($A118,Registry!$A$4:$AA$241,23,FALSE)</f>
        <v>2</v>
      </c>
      <c r="T118" s="61">
        <f t="shared" si="6"/>
        <v>3.7735849056603772E-2</v>
      </c>
      <c r="U118" s="35">
        <v>4</v>
      </c>
      <c r="V118" s="90">
        <v>7.5471698113207544E-2</v>
      </c>
      <c r="W118" s="86">
        <v>4</v>
      </c>
      <c r="X118" s="90">
        <v>7.4999999999999997E-2</v>
      </c>
      <c r="Y118" s="86">
        <v>5</v>
      </c>
      <c r="Z118" s="90">
        <v>9.4E-2</v>
      </c>
      <c r="AA118" s="35">
        <f>Table4[[#This Row],['# Lots]]-Table4[[#This Row],['# Lots10]]</f>
        <v>-2</v>
      </c>
      <c r="AB118" s="61">
        <f t="shared" si="10"/>
        <v>-3.7735849056603772E-2</v>
      </c>
      <c r="AC118" s="35">
        <f>Table4[[#This Row],['# Lots]]-Table4[[#This Row],['# Lots14]]</f>
        <v>-3</v>
      </c>
      <c r="AD118" s="61">
        <f t="shared" si="11"/>
        <v>-5.6603773584905662E-2</v>
      </c>
      <c r="AE118" s="138">
        <v>48</v>
      </c>
      <c r="AF118" s="35">
        <v>49</v>
      </c>
      <c r="AG118" s="58">
        <v>48</v>
      </c>
      <c r="AH118" s="58">
        <v>48</v>
      </c>
      <c r="AI118" s="128">
        <f>Table4[[#This Row],[2022 Leased Lots20]]-Table4[[#This Row],[2019 Leased Lots23]]</f>
        <v>0</v>
      </c>
      <c r="AJ118" s="61">
        <f t="shared" si="9"/>
        <v>0.90566037735849059</v>
      </c>
      <c r="AK118" s="139">
        <f>VLOOKUP($A118,Registry!$A$4:$AA$241,27,FALSE)</f>
        <v>374</v>
      </c>
      <c r="AL118" s="65">
        <v>362</v>
      </c>
      <c r="AM118" s="65">
        <v>354</v>
      </c>
      <c r="AN118" s="65">
        <v>347</v>
      </c>
      <c r="AO118" s="120">
        <f>IFERROR((AK118-Table4[[#This Row],[2019 Total Rent29]])/Table4[[#This Row],[2019 Total Rent29]], "-")</f>
        <v>7.7809798270893377E-2</v>
      </c>
    </row>
    <row r="119" spans="1:41" x14ac:dyDescent="0.25">
      <c r="A119" s="25">
        <v>133</v>
      </c>
      <c r="B119" s="54" t="str">
        <f>VLOOKUP(A119,Registry!$A$4:$AA$241,2,FALSE)</f>
        <v>Whistle Stop Mobile Home Park</v>
      </c>
      <c r="C119" s="80" t="str">
        <f>VLOOKUP(A119,Registry!$A$4:$AA$241,3,FALSE)</f>
        <v>Orange</v>
      </c>
      <c r="D119" s="80" t="str">
        <f>VLOOKUP(A119,Registry!$A$4:$AA$241,4,FALSE)</f>
        <v>Bradford</v>
      </c>
      <c r="E119" s="80">
        <f>IF(VLOOKUP(A119,Registry!$A$4:$AA$241,7,FALSE)=0,"",VLOOKUP(A119,Registry!$A$4:$AA$241,7,FALSE))</f>
        <v>1970</v>
      </c>
      <c r="F119" s="80" t="str">
        <f>IF(VLOOKUP(A119,Registry!$A$4:$AA$241,20,FALSE)=0,"",VLOOKUP(A119,Registry!$A$4:$AA$241,20,FALSE))</f>
        <v>Non-profit</v>
      </c>
      <c r="G119" s="25">
        <v>1992</v>
      </c>
      <c r="H119" s="24">
        <f>VLOOKUP(A119,Registry!$A$4:$AA$241,21,FALSE)</f>
        <v>12</v>
      </c>
      <c r="I119" s="24">
        <f>VLOOKUP(A119,Registry!$A$4:$AA$241,24,FALSE)</f>
        <v>3</v>
      </c>
      <c r="J119" s="24">
        <f>VLOOKUP(A119,Registry!$A$4:$AA$241,26,FALSE)</f>
        <v>0</v>
      </c>
      <c r="K119" s="128">
        <v>0</v>
      </c>
      <c r="L119" s="128">
        <v>0</v>
      </c>
      <c r="M119" s="128">
        <v>0</v>
      </c>
      <c r="N119" s="128">
        <v>0</v>
      </c>
      <c r="O119" s="128">
        <v>0</v>
      </c>
      <c r="P119" s="128">
        <v>0</v>
      </c>
      <c r="Q119" s="28">
        <f>I119-Table4[[#This Row],[Park Owned6]]</f>
        <v>3</v>
      </c>
      <c r="R119" s="28">
        <f>J119-Table4[[#This Row],[Other Owned7]]</f>
        <v>0</v>
      </c>
      <c r="S119" s="24">
        <f>VLOOKUP($A119,Registry!$A$4:$AA$241,23,FALSE)</f>
        <v>0</v>
      </c>
      <c r="T119" s="61">
        <f t="shared" si="6"/>
        <v>0</v>
      </c>
      <c r="U119" s="35">
        <v>3</v>
      </c>
      <c r="V119" s="90">
        <v>0.25</v>
      </c>
      <c r="W119" s="86">
        <v>3</v>
      </c>
      <c r="X119" s="90">
        <v>0.25</v>
      </c>
      <c r="Y119" s="86">
        <v>3</v>
      </c>
      <c r="Z119" s="90">
        <v>0.25</v>
      </c>
      <c r="AA119" s="35">
        <f>Table4[[#This Row],['# Lots]]-Table4[[#This Row],['# Lots10]]</f>
        <v>-3</v>
      </c>
      <c r="AB119" s="61">
        <f t="shared" si="10"/>
        <v>-0.25</v>
      </c>
      <c r="AC119" s="35">
        <f>Table4[[#This Row],['# Lots]]-Table4[[#This Row],['# Lots14]]</f>
        <v>-3</v>
      </c>
      <c r="AD119" s="61">
        <f t="shared" si="11"/>
        <v>-0.25</v>
      </c>
      <c r="AE119" s="138">
        <v>9</v>
      </c>
      <c r="AF119" s="35">
        <v>9</v>
      </c>
      <c r="AG119" s="58">
        <v>9</v>
      </c>
      <c r="AH119" s="58">
        <v>8</v>
      </c>
      <c r="AI119" s="128">
        <f>Table4[[#This Row],[2022 Leased Lots20]]-Table4[[#This Row],[2019 Leased Lots23]]</f>
        <v>1</v>
      </c>
      <c r="AJ119" s="61">
        <f t="shared" si="9"/>
        <v>0.75</v>
      </c>
      <c r="AK119" s="139">
        <f>VLOOKUP($A119,Registry!$A$4:$AA$241,27,FALSE)</f>
        <v>301</v>
      </c>
      <c r="AL119" s="65">
        <v>301</v>
      </c>
      <c r="AM119" s="65">
        <v>293</v>
      </c>
      <c r="AN119" s="65">
        <v>283</v>
      </c>
      <c r="AO119" s="120">
        <f>IFERROR((AK119-Table4[[#This Row],[2019 Total Rent29]])/Table4[[#This Row],[2019 Total Rent29]], "-")</f>
        <v>6.3604240282685506E-2</v>
      </c>
    </row>
    <row r="120" spans="1:41" x14ac:dyDescent="0.25">
      <c r="A120" s="25">
        <v>78</v>
      </c>
      <c r="B120" s="54" t="str">
        <f>VLOOKUP(A120,Registry!$A$4:$AA$241,2,FALSE)</f>
        <v>Mobile Acres Mobile Home Park</v>
      </c>
      <c r="C120" s="80" t="str">
        <f>VLOOKUP(A120,Registry!$A$4:$AA$241,3,FALSE)</f>
        <v>Orange</v>
      </c>
      <c r="D120" s="80" t="str">
        <f>VLOOKUP(A120,Registry!$A$4:$AA$241,4,FALSE)</f>
        <v>Braintree</v>
      </c>
      <c r="E120" s="80">
        <f>IF(VLOOKUP(A120,Registry!$A$4:$AA$241,7,FALSE)=0,"",VLOOKUP(A120,Registry!$A$4:$AA$241,7,FALSE))</f>
        <v>1969</v>
      </c>
      <c r="F120" s="80" t="str">
        <f>IF(VLOOKUP(A120,Registry!$A$4:$AA$241,20,FALSE)=0,"",VLOOKUP(A120,Registry!$A$4:$AA$241,20,FALSE))</f>
        <v>Non-profit</v>
      </c>
      <c r="G120" s="25">
        <v>2003</v>
      </c>
      <c r="H120" s="24">
        <f>VLOOKUP(A120,Registry!$A$4:$AA$241,21,FALSE)</f>
        <v>95</v>
      </c>
      <c r="I120" s="24">
        <f>VLOOKUP(A120,Registry!$A$4:$AA$241,24,FALSE)</f>
        <v>0</v>
      </c>
      <c r="J120" s="24">
        <f>VLOOKUP(A120,Registry!$A$4:$AA$241,26,FALSE)</f>
        <v>0</v>
      </c>
      <c r="K120" s="128">
        <v>1</v>
      </c>
      <c r="L120" s="128">
        <v>0</v>
      </c>
      <c r="M120" s="128">
        <v>2</v>
      </c>
      <c r="N120" s="128">
        <v>0</v>
      </c>
      <c r="O120" s="128">
        <v>1</v>
      </c>
      <c r="P120" s="128">
        <v>0</v>
      </c>
      <c r="Q120" s="28">
        <f>I120-Table4[[#This Row],[Park Owned6]]</f>
        <v>-1</v>
      </c>
      <c r="R120" s="28">
        <f>J120-Table4[[#This Row],[Other Owned7]]</f>
        <v>0</v>
      </c>
      <c r="S120" s="24">
        <f>VLOOKUP($A120,Registry!$A$4:$AA$241,23,FALSE)</f>
        <v>15</v>
      </c>
      <c r="T120" s="61">
        <f t="shared" si="6"/>
        <v>0.15789473684210525</v>
      </c>
      <c r="U120" s="35">
        <v>19</v>
      </c>
      <c r="V120" s="90">
        <v>0.2</v>
      </c>
      <c r="W120" s="86">
        <v>16</v>
      </c>
      <c r="X120" s="90">
        <v>0.16800000000000001</v>
      </c>
      <c r="Y120" s="86">
        <v>15</v>
      </c>
      <c r="Z120" s="90">
        <v>0.158</v>
      </c>
      <c r="AA120" s="35">
        <f>Table4[[#This Row],['# Lots]]-Table4[[#This Row],['# Lots10]]</f>
        <v>-4</v>
      </c>
      <c r="AB120" s="61">
        <f t="shared" si="10"/>
        <v>-4.2105263157894736E-2</v>
      </c>
      <c r="AC120" s="35">
        <f>Table4[[#This Row],['# Lots]]-Table4[[#This Row],['# Lots14]]</f>
        <v>0</v>
      </c>
      <c r="AD120" s="61">
        <f t="shared" si="11"/>
        <v>0</v>
      </c>
      <c r="AE120" s="138">
        <v>75</v>
      </c>
      <c r="AF120" s="35">
        <v>77</v>
      </c>
      <c r="AG120" s="58">
        <v>79</v>
      </c>
      <c r="AH120" s="58">
        <v>80</v>
      </c>
      <c r="AI120" s="128">
        <f>Table4[[#This Row],[2022 Leased Lots20]]-Table4[[#This Row],[2019 Leased Lots23]]</f>
        <v>-5</v>
      </c>
      <c r="AJ120" s="61">
        <f t="shared" si="9"/>
        <v>0.78947368421052633</v>
      </c>
      <c r="AK120" s="139">
        <f>VLOOKUP($A120,Registry!$A$4:$AA$241,27,FALSE)</f>
        <v>433</v>
      </c>
      <c r="AL120" s="65">
        <v>415</v>
      </c>
      <c r="AM120" s="65">
        <v>403</v>
      </c>
      <c r="AN120" s="65">
        <v>389</v>
      </c>
      <c r="AO120" s="120">
        <f>IFERROR((AK120-Table4[[#This Row],[2019 Total Rent29]])/Table4[[#This Row],[2019 Total Rent29]], "-")</f>
        <v>0.11311053984575835</v>
      </c>
    </row>
    <row r="121" spans="1:41" x14ac:dyDescent="0.25">
      <c r="A121" s="25">
        <v>303</v>
      </c>
      <c r="B121" s="54" t="str">
        <f>VLOOKUP(A121,Registry!$A$4:$AA$241,2,FALSE)</f>
        <v>Meadowbrook MHP</v>
      </c>
      <c r="C121" s="80" t="str">
        <f>VLOOKUP(A121,Registry!$A$4:$AA$241,3,FALSE)</f>
        <v>Orange</v>
      </c>
      <c r="D121" s="80" t="str">
        <f>VLOOKUP(A121,Registry!$A$4:$AA$241,4,FALSE)</f>
        <v>Orange</v>
      </c>
      <c r="E121" s="80">
        <f>IF(VLOOKUP(A121,Registry!$A$4:$AA$241,7,FALSE)=0,"",VLOOKUP(A121,Registry!$A$4:$AA$241,7,FALSE))</f>
        <v>2001</v>
      </c>
      <c r="F121" s="80" t="str">
        <f>IF(VLOOKUP(A121,Registry!$A$4:$AA$241,20,FALSE)=0,"",VLOOKUP(A121,Registry!$A$4:$AA$241,20,FALSE))</f>
        <v>For profit</v>
      </c>
      <c r="G121" s="25">
        <v>0</v>
      </c>
      <c r="H121" s="24">
        <f>VLOOKUP(A121,Registry!$A$4:$AA$241,21,FALSE)</f>
        <v>8</v>
      </c>
      <c r="I121" s="24">
        <f>VLOOKUP(A121,Registry!$A$4:$AA$241,24,FALSE)</f>
        <v>0</v>
      </c>
      <c r="J121" s="24">
        <f>VLOOKUP(A121,Registry!$A$4:$AA$241,26,FALSE)</f>
        <v>0</v>
      </c>
      <c r="K121" s="128">
        <v>0</v>
      </c>
      <c r="L121" s="128">
        <v>0</v>
      </c>
      <c r="M121" s="128">
        <v>0</v>
      </c>
      <c r="N121" s="128">
        <v>0</v>
      </c>
      <c r="O121" s="128">
        <v>0</v>
      </c>
      <c r="P121" s="128">
        <v>0</v>
      </c>
      <c r="Q121" s="28">
        <f>I121-Table4[[#This Row],[Park Owned6]]</f>
        <v>0</v>
      </c>
      <c r="R121" s="28">
        <f>J121-Table4[[#This Row],[Other Owned7]]</f>
        <v>0</v>
      </c>
      <c r="S121" s="24">
        <f>VLOOKUP($A121,Registry!$A$4:$AA$241,23,FALSE)</f>
        <v>0</v>
      </c>
      <c r="T121" s="61">
        <f t="shared" si="6"/>
        <v>0</v>
      </c>
      <c r="U121" s="35">
        <v>0</v>
      </c>
      <c r="V121" s="90">
        <v>0</v>
      </c>
      <c r="W121" s="86">
        <v>0</v>
      </c>
      <c r="X121" s="90">
        <v>0</v>
      </c>
      <c r="Y121" s="86">
        <v>0</v>
      </c>
      <c r="Z121" s="90">
        <v>0</v>
      </c>
      <c r="AA121" s="35">
        <f>Table4[[#This Row],['# Lots]]-Table4[[#This Row],['# Lots10]]</f>
        <v>0</v>
      </c>
      <c r="AB121" s="61">
        <f t="shared" si="10"/>
        <v>0</v>
      </c>
      <c r="AC121" s="35">
        <f>Table4[[#This Row],['# Lots]]-Table4[[#This Row],['# Lots14]]</f>
        <v>0</v>
      </c>
      <c r="AD121" s="61">
        <f t="shared" si="11"/>
        <v>0</v>
      </c>
      <c r="AE121" s="138">
        <v>8</v>
      </c>
      <c r="AF121" s="35">
        <v>8</v>
      </c>
      <c r="AG121" s="58">
        <v>8</v>
      </c>
      <c r="AH121" s="58">
        <v>8</v>
      </c>
      <c r="AI121" s="128">
        <f>Table4[[#This Row],[2022 Leased Lots20]]-Table4[[#This Row],[2019 Leased Lots23]]</f>
        <v>0</v>
      </c>
      <c r="AJ121" s="61">
        <f t="shared" si="9"/>
        <v>1</v>
      </c>
      <c r="AK121" s="139">
        <f>VLOOKUP($A121,Registry!$A$4:$AA$241,27,FALSE)</f>
        <v>259</v>
      </c>
      <c r="AL121" s="65">
        <v>0</v>
      </c>
      <c r="AM121" s="65">
        <v>259</v>
      </c>
      <c r="AN121" s="65">
        <v>250</v>
      </c>
      <c r="AO121" s="120"/>
    </row>
    <row r="122" spans="1:41" x14ac:dyDescent="0.25">
      <c r="A122" s="25">
        <v>22</v>
      </c>
      <c r="B122" s="54" t="str">
        <f>VLOOKUP(A122,Registry!$A$4:$AA$241,2,FALSE)</f>
        <v>Armstrong Mobile Home Park</v>
      </c>
      <c r="C122" s="80" t="str">
        <f>VLOOKUP(A122,Registry!$A$4:$AA$241,3,FALSE)</f>
        <v>Orange</v>
      </c>
      <c r="D122" s="80" t="str">
        <f>VLOOKUP(A122,Registry!$A$4:$AA$241,4,FALSE)</f>
        <v>Randolph</v>
      </c>
      <c r="E122" s="80">
        <f>IF(VLOOKUP(A122,Registry!$A$4:$AA$241,7,FALSE)=0,"",VLOOKUP(A122,Registry!$A$4:$AA$241,7,FALSE))</f>
        <v>1968</v>
      </c>
      <c r="F122" s="80" t="str">
        <f>IF(VLOOKUP(A122,Registry!$A$4:$AA$241,20,FALSE)=0,"",VLOOKUP(A122,Registry!$A$4:$AA$241,20,FALSE))</f>
        <v>Non-profit</v>
      </c>
      <c r="G122" s="25">
        <v>2016</v>
      </c>
      <c r="H122" s="24">
        <f>VLOOKUP(A122,Registry!$A$4:$AA$241,21,FALSE)</f>
        <v>16</v>
      </c>
      <c r="I122" s="24">
        <f>VLOOKUP(A122,Registry!$A$4:$AA$241,24,FALSE)</f>
        <v>2</v>
      </c>
      <c r="J122" s="24">
        <f>VLOOKUP(A122,Registry!$A$4:$AA$241,26,FALSE)</f>
        <v>0</v>
      </c>
      <c r="K122" s="128">
        <v>2</v>
      </c>
      <c r="L122" s="128">
        <v>0</v>
      </c>
      <c r="M122" s="128">
        <v>1</v>
      </c>
      <c r="N122" s="128">
        <v>0</v>
      </c>
      <c r="O122" s="128">
        <v>1</v>
      </c>
      <c r="P122" s="128">
        <v>0</v>
      </c>
      <c r="Q122" s="28">
        <f>I122-Table4[[#This Row],[Park Owned6]]</f>
        <v>1</v>
      </c>
      <c r="R122" s="28">
        <f>J122-Table4[[#This Row],[Other Owned7]]</f>
        <v>0</v>
      </c>
      <c r="S122" s="24">
        <f>VLOOKUP($A122,Registry!$A$4:$AA$241,23,FALSE)</f>
        <v>0</v>
      </c>
      <c r="T122" s="61">
        <f t="shared" si="6"/>
        <v>0</v>
      </c>
      <c r="U122" s="35">
        <v>0</v>
      </c>
      <c r="V122" s="90">
        <v>0</v>
      </c>
      <c r="W122" s="86">
        <v>0</v>
      </c>
      <c r="X122" s="90">
        <v>0</v>
      </c>
      <c r="Y122" s="86">
        <v>0</v>
      </c>
      <c r="Z122" s="90">
        <v>0</v>
      </c>
      <c r="AA122" s="35">
        <f>Table4[[#This Row],['# Lots]]-Table4[[#This Row],['# Lots10]]</f>
        <v>0</v>
      </c>
      <c r="AB122" s="61">
        <f t="shared" si="10"/>
        <v>0</v>
      </c>
      <c r="AC122" s="35">
        <f>Table4[[#This Row],['# Lots]]-Table4[[#This Row],['# Lots14]]</f>
        <v>0</v>
      </c>
      <c r="AD122" s="61">
        <f t="shared" si="11"/>
        <v>0</v>
      </c>
      <c r="AE122" s="138">
        <v>15</v>
      </c>
      <c r="AF122" s="35">
        <v>14</v>
      </c>
      <c r="AG122" s="58">
        <v>15</v>
      </c>
      <c r="AH122" s="58">
        <v>16</v>
      </c>
      <c r="AI122" s="128">
        <f>Table4[[#This Row],[2022 Leased Lots20]]-Table4[[#This Row],[2019 Leased Lots23]]</f>
        <v>-1</v>
      </c>
      <c r="AJ122" s="61">
        <f t="shared" si="9"/>
        <v>0.9375</v>
      </c>
      <c r="AK122" s="139">
        <f>VLOOKUP($A122,Registry!$A$4:$AA$241,27,FALSE)</f>
        <v>362</v>
      </c>
      <c r="AL122" s="65">
        <v>351</v>
      </c>
      <c r="AM122" s="65">
        <v>347</v>
      </c>
      <c r="AN122" s="65">
        <v>335</v>
      </c>
      <c r="AO122" s="120">
        <f>IFERROR((AK122-Table4[[#This Row],[2019 Total Rent29]])/Table4[[#This Row],[2019 Total Rent29]], "-")</f>
        <v>8.0597014925373134E-2</v>
      </c>
    </row>
    <row r="123" spans="1:41" x14ac:dyDescent="0.25">
      <c r="A123" s="25">
        <v>226</v>
      </c>
      <c r="B123" s="54" t="str">
        <f>VLOOKUP(A123,Registry!$A$4:$AA$241,2,FALSE)</f>
        <v>Carriage Barn Park</v>
      </c>
      <c r="C123" s="80" t="str">
        <f>VLOOKUP(A123,Registry!$A$4:$AA$241,3,FALSE)</f>
        <v>Orange</v>
      </c>
      <c r="D123" s="80" t="str">
        <f>VLOOKUP(A123,Registry!$A$4:$AA$241,4,FALSE)</f>
        <v>Randolph</v>
      </c>
      <c r="E123" s="80" t="str">
        <f>IF(VLOOKUP(A123,Registry!$A$4:$AA$241,7,FALSE)=0,"",VLOOKUP(A123,Registry!$A$4:$AA$241,7,FALSE))</f>
        <v/>
      </c>
      <c r="F123" s="80" t="str">
        <f>IF(VLOOKUP(A123,Registry!$A$4:$AA$241,20,FALSE)=0,"",VLOOKUP(A123,Registry!$A$4:$AA$241,20,FALSE))</f>
        <v>For profit</v>
      </c>
      <c r="G123" s="25">
        <v>1986</v>
      </c>
      <c r="H123" s="24">
        <f>VLOOKUP(A123,Registry!$A$4:$AA$241,21,FALSE)</f>
        <v>7</v>
      </c>
      <c r="I123" s="24">
        <f>VLOOKUP(A123,Registry!$A$4:$AA$241,24,FALSE)</f>
        <v>3</v>
      </c>
      <c r="J123" s="24">
        <f>VLOOKUP(A123,Registry!$A$4:$AA$241,26,FALSE)</f>
        <v>0</v>
      </c>
      <c r="K123" s="128">
        <v>3</v>
      </c>
      <c r="L123" s="128">
        <v>0</v>
      </c>
      <c r="M123" s="128">
        <v>3</v>
      </c>
      <c r="N123" s="128">
        <v>0</v>
      </c>
      <c r="O123" s="128">
        <v>3</v>
      </c>
      <c r="P123" s="128">
        <v>0</v>
      </c>
      <c r="Q123" s="28">
        <f>I123-Table4[[#This Row],[Park Owned6]]</f>
        <v>0</v>
      </c>
      <c r="R123" s="28">
        <f>J123-Table4[[#This Row],[Other Owned7]]</f>
        <v>0</v>
      </c>
      <c r="S123" s="24">
        <f>VLOOKUP($A123,Registry!$A$4:$AA$241,23,FALSE)</f>
        <v>0</v>
      </c>
      <c r="T123" s="61">
        <f t="shared" si="6"/>
        <v>0</v>
      </c>
      <c r="U123" s="35">
        <v>0</v>
      </c>
      <c r="V123" s="90">
        <v>0</v>
      </c>
      <c r="W123" s="86">
        <v>0</v>
      </c>
      <c r="X123" s="90">
        <v>0</v>
      </c>
      <c r="Y123" s="86">
        <v>0</v>
      </c>
      <c r="Z123" s="90">
        <v>0</v>
      </c>
      <c r="AA123" s="35">
        <f>Table4[[#This Row],['# Lots]]-Table4[[#This Row],['# Lots10]]</f>
        <v>0</v>
      </c>
      <c r="AB123" s="61">
        <f t="shared" si="10"/>
        <v>0</v>
      </c>
      <c r="AC123" s="35">
        <f>Table4[[#This Row],['# Lots]]-Table4[[#This Row],['# Lots14]]</f>
        <v>0</v>
      </c>
      <c r="AD123" s="61">
        <f t="shared" si="11"/>
        <v>0</v>
      </c>
      <c r="AE123" s="138">
        <v>7</v>
      </c>
      <c r="AF123" s="35">
        <v>7</v>
      </c>
      <c r="AG123" s="58">
        <v>7</v>
      </c>
      <c r="AH123" s="58">
        <v>7</v>
      </c>
      <c r="AI123" s="128">
        <f>Table4[[#This Row],[2022 Leased Lots20]]-Table4[[#This Row],[2019 Leased Lots23]]</f>
        <v>0</v>
      </c>
      <c r="AJ123" s="61">
        <f t="shared" si="9"/>
        <v>1</v>
      </c>
      <c r="AK123" s="139">
        <f>VLOOKUP($A123,Registry!$A$4:$AA$241,27,FALSE)</f>
        <v>234.4</v>
      </c>
      <c r="AL123" s="65">
        <v>234.4</v>
      </c>
      <c r="AM123" s="65">
        <v>234.4</v>
      </c>
      <c r="AN123" s="65">
        <v>234.4</v>
      </c>
      <c r="AO123" s="120">
        <f>IFERROR((AK123-Table4[[#This Row],[2019 Total Rent29]])/Table4[[#This Row],[2019 Total Rent29]], "-")</f>
        <v>0</v>
      </c>
    </row>
    <row r="124" spans="1:41" x14ac:dyDescent="0.25">
      <c r="A124" s="25">
        <v>21</v>
      </c>
      <c r="B124" s="54" t="str">
        <f>VLOOKUP(A124,Registry!$A$4:$AA$241,2,FALSE)</f>
        <v>Cowdrey MHP</v>
      </c>
      <c r="C124" s="80" t="str">
        <f>VLOOKUP(A124,Registry!$A$4:$AA$241,3,FALSE)</f>
        <v>Orange</v>
      </c>
      <c r="D124" s="80" t="str">
        <f>VLOOKUP(A124,Registry!$A$4:$AA$241,4,FALSE)</f>
        <v>Randolph</v>
      </c>
      <c r="E124" s="80">
        <f>IF(VLOOKUP(A124,Registry!$A$4:$AA$241,7,FALSE)=0,"",VLOOKUP(A124,Registry!$A$4:$AA$241,7,FALSE))</f>
        <v>1960</v>
      </c>
      <c r="F124" s="80" t="str">
        <f>IF(VLOOKUP(A124,Registry!$A$4:$AA$241,20,FALSE)=0,"",VLOOKUP(A124,Registry!$A$4:$AA$241,20,FALSE))</f>
        <v>For profit</v>
      </c>
      <c r="G124" s="25">
        <v>2022</v>
      </c>
      <c r="H124" s="24">
        <f>VLOOKUP(A124,Registry!$A$4:$AA$241,21,FALSE)</f>
        <v>10</v>
      </c>
      <c r="I124" s="24">
        <f>VLOOKUP(A124,Registry!$A$4:$AA$241,24,FALSE)</f>
        <v>9</v>
      </c>
      <c r="J124" s="24">
        <f>VLOOKUP(A124,Registry!$A$4:$AA$241,26,FALSE)</f>
        <v>0</v>
      </c>
      <c r="K124" s="128">
        <v>9</v>
      </c>
      <c r="L124" s="128">
        <v>0</v>
      </c>
      <c r="M124" s="128">
        <v>9</v>
      </c>
      <c r="N124" s="128">
        <v>0</v>
      </c>
      <c r="O124" s="128">
        <v>9</v>
      </c>
      <c r="P124" s="128">
        <v>0</v>
      </c>
      <c r="Q124" s="28">
        <f>I124-Table4[[#This Row],[Park Owned6]]</f>
        <v>0</v>
      </c>
      <c r="R124" s="28">
        <f>J124-Table4[[#This Row],[Other Owned7]]</f>
        <v>0</v>
      </c>
      <c r="S124" s="24">
        <f>VLOOKUP($A124,Registry!$A$4:$AA$241,23,FALSE)</f>
        <v>0</v>
      </c>
      <c r="T124" s="61">
        <f t="shared" si="6"/>
        <v>0</v>
      </c>
      <c r="U124" s="35">
        <v>0</v>
      </c>
      <c r="V124" s="90">
        <v>0</v>
      </c>
      <c r="W124" s="86">
        <v>0</v>
      </c>
      <c r="X124" s="90">
        <v>0</v>
      </c>
      <c r="Y124" s="86">
        <v>0</v>
      </c>
      <c r="Z124" s="90">
        <v>0</v>
      </c>
      <c r="AA124" s="35">
        <f>Table4[[#This Row],['# Lots]]-Table4[[#This Row],['# Lots10]]</f>
        <v>0</v>
      </c>
      <c r="AB124" s="61">
        <f t="shared" si="10"/>
        <v>0</v>
      </c>
      <c r="AC124" s="35">
        <f>Table4[[#This Row],['# Lots]]-Table4[[#This Row],['# Lots14]]</f>
        <v>0</v>
      </c>
      <c r="AD124" s="61">
        <f t="shared" si="11"/>
        <v>0</v>
      </c>
      <c r="AE124" s="138">
        <v>9</v>
      </c>
      <c r="AF124" s="35">
        <v>9</v>
      </c>
      <c r="AG124" s="58">
        <v>9</v>
      </c>
      <c r="AH124" s="58">
        <v>9</v>
      </c>
      <c r="AI124" s="128">
        <f>Table4[[#This Row],[2022 Leased Lots20]]-Table4[[#This Row],[2019 Leased Lots23]]</f>
        <v>0</v>
      </c>
      <c r="AJ124" s="61">
        <f t="shared" si="9"/>
        <v>0.9</v>
      </c>
      <c r="AK124" s="139">
        <f>VLOOKUP($A124,Registry!$A$4:$AA$241,27,FALSE)</f>
        <v>0</v>
      </c>
      <c r="AL124" s="65">
        <v>0</v>
      </c>
      <c r="AM124" s="65"/>
      <c r="AN124" s="65"/>
      <c r="AO124" s="120" t="str">
        <f>IFERROR((AK124-Table4[[#This Row],[2019 Total Rent29]])/Table4[[#This Row],[2019 Total Rent29]], "-")</f>
        <v>-</v>
      </c>
    </row>
    <row r="125" spans="1:41" x14ac:dyDescent="0.25">
      <c r="A125" s="25">
        <v>20</v>
      </c>
      <c r="B125" s="54" t="str">
        <f>VLOOKUP(A125,Registry!$A$4:$AA$241,2,FALSE)</f>
        <v>Greene's Mobile Home Park</v>
      </c>
      <c r="C125" s="80" t="str">
        <f>VLOOKUP(A125,Registry!$A$4:$AA$241,3,FALSE)</f>
        <v>Orange</v>
      </c>
      <c r="D125" s="80" t="str">
        <f>VLOOKUP(A125,Registry!$A$4:$AA$241,4,FALSE)</f>
        <v>Randolph</v>
      </c>
      <c r="E125" s="80">
        <f>IF(VLOOKUP(A125,Registry!$A$4:$AA$241,7,FALSE)=0,"",VLOOKUP(A125,Registry!$A$4:$AA$241,7,FALSE))</f>
        <v>1966</v>
      </c>
      <c r="F125" s="80" t="str">
        <f>IF(VLOOKUP(A125,Registry!$A$4:$AA$241,20,FALSE)=0,"",VLOOKUP(A125,Registry!$A$4:$AA$241,20,FALSE))</f>
        <v>For profit</v>
      </c>
      <c r="G125" s="25">
        <v>2012</v>
      </c>
      <c r="H125" s="24">
        <f>VLOOKUP(A125,Registry!$A$4:$AA$241,21,FALSE)</f>
        <v>14</v>
      </c>
      <c r="I125" s="24">
        <f>VLOOKUP(A125,Registry!$A$4:$AA$241,24,FALSE)</f>
        <v>10</v>
      </c>
      <c r="J125" s="24">
        <f>VLOOKUP(A125,Registry!$A$4:$AA$241,26,FALSE)</f>
        <v>2</v>
      </c>
      <c r="K125" s="128">
        <v>10</v>
      </c>
      <c r="L125" s="128">
        <v>2</v>
      </c>
      <c r="M125" s="128">
        <v>10</v>
      </c>
      <c r="N125" s="128">
        <v>2</v>
      </c>
      <c r="O125" s="128">
        <v>10</v>
      </c>
      <c r="P125" s="128">
        <v>0</v>
      </c>
      <c r="Q125" s="28">
        <f>I125-Table4[[#This Row],[Park Owned6]]</f>
        <v>0</v>
      </c>
      <c r="R125" s="28">
        <f>J125-Table4[[#This Row],[Other Owned7]]</f>
        <v>2</v>
      </c>
      <c r="S125" s="24">
        <f>VLOOKUP($A125,Registry!$A$4:$AA$241,23,FALSE)</f>
        <v>0</v>
      </c>
      <c r="T125" s="61">
        <f t="shared" si="6"/>
        <v>0</v>
      </c>
      <c r="U125" s="35">
        <v>0</v>
      </c>
      <c r="V125" s="90">
        <v>0</v>
      </c>
      <c r="W125" s="86">
        <v>0</v>
      </c>
      <c r="X125" s="90">
        <v>0</v>
      </c>
      <c r="Y125" s="86">
        <v>0</v>
      </c>
      <c r="Z125" s="90">
        <v>0</v>
      </c>
      <c r="AA125" s="35">
        <f>Table4[[#This Row],['# Lots]]-Table4[[#This Row],['# Lots10]]</f>
        <v>0</v>
      </c>
      <c r="AB125" s="61">
        <f t="shared" si="10"/>
        <v>0</v>
      </c>
      <c r="AC125" s="35">
        <f>Table4[[#This Row],['# Lots]]-Table4[[#This Row],['# Lots14]]</f>
        <v>0</v>
      </c>
      <c r="AD125" s="61">
        <f t="shared" si="11"/>
        <v>0</v>
      </c>
      <c r="AE125" s="138">
        <v>2</v>
      </c>
      <c r="AF125" s="35">
        <v>2</v>
      </c>
      <c r="AG125" s="58">
        <v>14</v>
      </c>
      <c r="AH125" s="58">
        <v>14</v>
      </c>
      <c r="AI125" s="128">
        <f>Table4[[#This Row],[2022 Leased Lots20]]-Table4[[#This Row],[2019 Leased Lots23]]</f>
        <v>-12</v>
      </c>
      <c r="AJ125" s="61">
        <f t="shared" si="9"/>
        <v>0.14285714285714285</v>
      </c>
      <c r="AK125" s="139">
        <f>VLOOKUP($A125,Registry!$A$4:$AA$241,27,FALSE)</f>
        <v>0</v>
      </c>
      <c r="AL125" s="65">
        <v>0</v>
      </c>
      <c r="AM125" s="65">
        <v>387</v>
      </c>
      <c r="AN125" s="65"/>
      <c r="AO125" s="120"/>
    </row>
    <row r="126" spans="1:41" x14ac:dyDescent="0.25">
      <c r="A126" s="25">
        <v>18</v>
      </c>
      <c r="B126" s="54" t="str">
        <f>VLOOKUP(A126,Registry!$A$4:$AA$241,2,FALSE)</f>
        <v>Jacobs Mobile Home Park</v>
      </c>
      <c r="C126" s="80" t="str">
        <f>VLOOKUP(A126,Registry!$A$4:$AA$241,3,FALSE)</f>
        <v>Orange</v>
      </c>
      <c r="D126" s="80" t="str">
        <f>VLOOKUP(A126,Registry!$A$4:$AA$241,4,FALSE)</f>
        <v>Randolph</v>
      </c>
      <c r="E126" s="80">
        <f>IF(VLOOKUP(A126,Registry!$A$4:$AA$241,7,FALSE)=0,"",VLOOKUP(A126,Registry!$A$4:$AA$241,7,FALSE))</f>
        <v>1960</v>
      </c>
      <c r="F126" s="80" t="str">
        <f>IF(VLOOKUP(A126,Registry!$A$4:$AA$241,20,FALSE)=0,"",VLOOKUP(A126,Registry!$A$4:$AA$241,20,FALSE))</f>
        <v>Non-profit</v>
      </c>
      <c r="G126" s="25">
        <v>1999</v>
      </c>
      <c r="H126" s="24">
        <f>VLOOKUP(A126,Registry!$A$4:$AA$241,21,FALSE)</f>
        <v>19</v>
      </c>
      <c r="I126" s="24">
        <f>VLOOKUP(A126,Registry!$A$4:$AA$241,24,FALSE)</f>
        <v>2</v>
      </c>
      <c r="J126" s="24">
        <f>VLOOKUP(A126,Registry!$A$4:$AA$241,26,FALSE)</f>
        <v>0</v>
      </c>
      <c r="K126" s="128">
        <v>2</v>
      </c>
      <c r="L126" s="128">
        <v>0</v>
      </c>
      <c r="M126" s="128">
        <v>2</v>
      </c>
      <c r="N126" s="128">
        <v>0</v>
      </c>
      <c r="O126" s="128">
        <v>2</v>
      </c>
      <c r="P126" s="128">
        <v>0</v>
      </c>
      <c r="Q126" s="28">
        <f>I126-Table4[[#This Row],[Park Owned6]]</f>
        <v>0</v>
      </c>
      <c r="R126" s="28">
        <f>J126-Table4[[#This Row],[Other Owned7]]</f>
        <v>0</v>
      </c>
      <c r="S126" s="24">
        <f>VLOOKUP($A126,Registry!$A$4:$AA$241,23,FALSE)</f>
        <v>0</v>
      </c>
      <c r="T126" s="61">
        <f t="shared" si="6"/>
        <v>0</v>
      </c>
      <c r="U126" s="35">
        <v>0</v>
      </c>
      <c r="V126" s="90">
        <v>0</v>
      </c>
      <c r="W126" s="86">
        <v>0</v>
      </c>
      <c r="X126" s="90">
        <v>0</v>
      </c>
      <c r="Y126" s="86">
        <v>0</v>
      </c>
      <c r="Z126" s="90">
        <v>0</v>
      </c>
      <c r="AA126" s="35">
        <f>Table4[[#This Row],['# Lots]]-Table4[[#This Row],['# Lots10]]</f>
        <v>0</v>
      </c>
      <c r="AB126" s="61">
        <f t="shared" si="10"/>
        <v>0</v>
      </c>
      <c r="AC126" s="35">
        <f>Table4[[#This Row],['# Lots]]-Table4[[#This Row],['# Lots14]]</f>
        <v>0</v>
      </c>
      <c r="AD126" s="61">
        <f t="shared" si="11"/>
        <v>0</v>
      </c>
      <c r="AE126" s="138">
        <v>19</v>
      </c>
      <c r="AF126" s="35">
        <v>19</v>
      </c>
      <c r="AG126" s="58">
        <v>19</v>
      </c>
      <c r="AH126" s="58">
        <v>19</v>
      </c>
      <c r="AI126" s="128">
        <f>Table4[[#This Row],[2022 Leased Lots20]]-Table4[[#This Row],[2019 Leased Lots23]]</f>
        <v>0</v>
      </c>
      <c r="AJ126" s="61">
        <f t="shared" si="9"/>
        <v>1</v>
      </c>
      <c r="AK126" s="139">
        <f>VLOOKUP($A126,Registry!$A$4:$AA$241,27,FALSE)</f>
        <v>309</v>
      </c>
      <c r="AL126" s="65">
        <v>309</v>
      </c>
      <c r="AM126" s="65">
        <v>304</v>
      </c>
      <c r="AN126" s="65">
        <v>294</v>
      </c>
      <c r="AO126" s="120">
        <f>IFERROR((AK126-Table4[[#This Row],[2019 Total Rent29]])/Table4[[#This Row],[2019 Total Rent29]], "-")</f>
        <v>5.1020408163265307E-2</v>
      </c>
    </row>
    <row r="127" spans="1:41" x14ac:dyDescent="0.25">
      <c r="A127" s="25">
        <v>174</v>
      </c>
      <c r="B127" s="54" t="str">
        <f>VLOOKUP(A127,Registry!$A$4:$AA$241,2,FALSE)</f>
        <v>Washington North MHP</v>
      </c>
      <c r="C127" s="80" t="str">
        <f>VLOOKUP(A127,Registry!$A$4:$AA$241,3,FALSE)</f>
        <v>Orange</v>
      </c>
      <c r="D127" s="80" t="str">
        <f>VLOOKUP(A127,Registry!$A$4:$AA$241,4,FALSE)</f>
        <v>Washington</v>
      </c>
      <c r="E127" s="80">
        <f>IF(VLOOKUP(A127,Registry!$A$4:$AA$241,7,FALSE)=0,"",VLOOKUP(A127,Registry!$A$4:$AA$241,7,FALSE))</f>
        <v>1977</v>
      </c>
      <c r="F127" s="80" t="str">
        <f>IF(VLOOKUP(A127,Registry!$A$4:$AA$241,20,FALSE)=0,"",VLOOKUP(A127,Registry!$A$4:$AA$241,20,FALSE))</f>
        <v>For profit</v>
      </c>
      <c r="G127" s="25">
        <v>2022</v>
      </c>
      <c r="H127" s="24">
        <f>VLOOKUP(A127,Registry!$A$4:$AA$241,21,FALSE)</f>
        <v>20</v>
      </c>
      <c r="I127" s="24">
        <f>VLOOKUP(A127,Registry!$A$4:$AA$241,24,FALSE)</f>
        <v>0</v>
      </c>
      <c r="J127" s="24">
        <f>VLOOKUP(A127,Registry!$A$4:$AA$241,26,FALSE)</f>
        <v>2</v>
      </c>
      <c r="K127" s="128">
        <v>0</v>
      </c>
      <c r="L127" s="128">
        <v>2</v>
      </c>
      <c r="M127" s="128">
        <v>0</v>
      </c>
      <c r="N127" s="128">
        <v>3</v>
      </c>
      <c r="O127" s="128">
        <v>2</v>
      </c>
      <c r="P127" s="128">
        <v>0</v>
      </c>
      <c r="Q127" s="28">
        <f>I127-Table4[[#This Row],[Park Owned6]]</f>
        <v>-2</v>
      </c>
      <c r="R127" s="28">
        <f>J127-Table4[[#This Row],[Other Owned7]]</f>
        <v>2</v>
      </c>
      <c r="S127" s="24">
        <f>VLOOKUP($A127,Registry!$A$4:$AA$241,23,FALSE)</f>
        <v>2</v>
      </c>
      <c r="T127" s="61">
        <f t="shared" si="6"/>
        <v>0.1</v>
      </c>
      <c r="U127" s="35">
        <v>2</v>
      </c>
      <c r="V127" s="90">
        <v>0.1</v>
      </c>
      <c r="W127" s="86">
        <v>3</v>
      </c>
      <c r="X127" s="90">
        <v>0.15</v>
      </c>
      <c r="Y127" s="86">
        <v>2</v>
      </c>
      <c r="Z127" s="90">
        <v>0.1</v>
      </c>
      <c r="AA127" s="35">
        <f>Table4[[#This Row],['# Lots]]-Table4[[#This Row],['# Lots10]]</f>
        <v>0</v>
      </c>
      <c r="AB127" s="61">
        <f t="shared" si="10"/>
        <v>0</v>
      </c>
      <c r="AC127" s="35">
        <f>Table4[[#This Row],['# Lots]]-Table4[[#This Row],['# Lots14]]</f>
        <v>0</v>
      </c>
      <c r="AD127" s="61">
        <f t="shared" si="11"/>
        <v>0</v>
      </c>
      <c r="AE127" s="138">
        <v>18</v>
      </c>
      <c r="AF127" s="35">
        <v>17</v>
      </c>
      <c r="AG127" s="58">
        <v>18</v>
      </c>
      <c r="AH127" s="58">
        <v>18</v>
      </c>
      <c r="AI127" s="128">
        <f>Table4[[#This Row],[2022 Leased Lots20]]-Table4[[#This Row],[2019 Leased Lots23]]</f>
        <v>0</v>
      </c>
      <c r="AJ127" s="61">
        <f t="shared" si="9"/>
        <v>0.9</v>
      </c>
      <c r="AK127" s="139">
        <f>VLOOKUP($A127,Registry!$A$4:$AA$241,27,FALSE)</f>
        <v>429</v>
      </c>
      <c r="AL127" s="65">
        <v>411</v>
      </c>
      <c r="AM127" s="65">
        <v>401</v>
      </c>
      <c r="AN127" s="65">
        <v>387</v>
      </c>
      <c r="AO127" s="120">
        <f>IFERROR((AK127-Table4[[#This Row],[2019 Total Rent29]])/Table4[[#This Row],[2019 Total Rent29]], "-")</f>
        <v>0.10852713178294573</v>
      </c>
    </row>
    <row r="128" spans="1:41" x14ac:dyDescent="0.25">
      <c r="A128" s="25">
        <v>19</v>
      </c>
      <c r="B128" s="54" t="str">
        <f>VLOOKUP(A128,Registry!$A$4:$AA$241,2,FALSE)</f>
        <v>Cold Springs Trailer Park</v>
      </c>
      <c r="C128" s="80" t="str">
        <f>VLOOKUP(A128,Registry!$A$4:$AA$241,3,FALSE)</f>
        <v>Orange</v>
      </c>
      <c r="D128" s="80" t="str">
        <f>VLOOKUP(A128,Registry!$A$4:$AA$241,4,FALSE)</f>
        <v>West Fairlee</v>
      </c>
      <c r="E128" s="80">
        <f>IF(VLOOKUP(A128,Registry!$A$4:$AA$241,7,FALSE)=0,"",VLOOKUP(A128,Registry!$A$4:$AA$241,7,FALSE))</f>
        <v>1950</v>
      </c>
      <c r="F128" s="80" t="str">
        <f>IF(VLOOKUP(A128,Registry!$A$4:$AA$241,20,FALSE)=0,"",VLOOKUP(A128,Registry!$A$4:$AA$241,20,FALSE))</f>
        <v>For profit</v>
      </c>
      <c r="G128" s="25">
        <v>2016</v>
      </c>
      <c r="H128" s="24">
        <f>VLOOKUP(A128,Registry!$A$4:$AA$241,21,FALSE)</f>
        <v>16</v>
      </c>
      <c r="I128" s="24">
        <f>VLOOKUP(A128,Registry!$A$4:$AA$241,24,FALSE)</f>
        <v>2</v>
      </c>
      <c r="J128" s="24">
        <f>VLOOKUP(A128,Registry!$A$4:$AA$241,26,FALSE)</f>
        <v>4</v>
      </c>
      <c r="K128" s="128">
        <v>2</v>
      </c>
      <c r="L128" s="128">
        <v>5</v>
      </c>
      <c r="M128" s="128">
        <v>2</v>
      </c>
      <c r="N128" s="128">
        <v>5</v>
      </c>
      <c r="O128" s="128">
        <v>2</v>
      </c>
      <c r="P128" s="128">
        <v>6</v>
      </c>
      <c r="Q128" s="28">
        <f>I128-Table4[[#This Row],[Park Owned6]]</f>
        <v>0</v>
      </c>
      <c r="R128" s="28">
        <f>J128-Table4[[#This Row],[Other Owned7]]</f>
        <v>-2</v>
      </c>
      <c r="S128" s="24">
        <f>VLOOKUP($A128,Registry!$A$4:$AA$241,23,FALSE)</f>
        <v>9</v>
      </c>
      <c r="T128" s="61">
        <f t="shared" si="6"/>
        <v>0.5625</v>
      </c>
      <c r="U128" s="35">
        <v>9</v>
      </c>
      <c r="V128" s="90">
        <v>0.5625</v>
      </c>
      <c r="W128" s="86">
        <v>8</v>
      </c>
      <c r="X128" s="90">
        <v>0.5</v>
      </c>
      <c r="Y128" s="86">
        <v>5</v>
      </c>
      <c r="Z128" s="90">
        <v>0.312</v>
      </c>
      <c r="AA128" s="35">
        <f>Table4[[#This Row],['# Lots]]-Table4[[#This Row],['# Lots10]]</f>
        <v>0</v>
      </c>
      <c r="AB128" s="61">
        <f t="shared" si="10"/>
        <v>0</v>
      </c>
      <c r="AC128" s="35">
        <f>Table4[[#This Row],['# Lots]]-Table4[[#This Row],['# Lots14]]</f>
        <v>4</v>
      </c>
      <c r="AD128" s="61">
        <f t="shared" si="11"/>
        <v>0.25</v>
      </c>
      <c r="AE128" s="138">
        <v>7</v>
      </c>
      <c r="AF128" s="35">
        <v>6</v>
      </c>
      <c r="AG128" s="58">
        <v>9</v>
      </c>
      <c r="AH128" s="58">
        <v>9</v>
      </c>
      <c r="AI128" s="128">
        <f>Table4[[#This Row],[2022 Leased Lots20]]-Table4[[#This Row],[2019 Leased Lots23]]</f>
        <v>-2</v>
      </c>
      <c r="AJ128" s="61">
        <f t="shared" si="9"/>
        <v>0.4375</v>
      </c>
      <c r="AK128" s="139">
        <f>VLOOKUP($A128,Registry!$A$4:$AA$241,27,FALSE)</f>
        <v>320</v>
      </c>
      <c r="AL128" s="65">
        <v>320</v>
      </c>
      <c r="AM128" s="65">
        <v>320</v>
      </c>
      <c r="AN128" s="65">
        <v>320</v>
      </c>
      <c r="AO128" s="120">
        <f>IFERROR((AK128-Table4[[#This Row],[2019 Total Rent29]])/Table4[[#This Row],[2019 Total Rent29]], "-")</f>
        <v>0</v>
      </c>
    </row>
    <row r="129" spans="1:41" x14ac:dyDescent="0.25">
      <c r="A129" s="25">
        <v>297</v>
      </c>
      <c r="B129" s="54" t="str">
        <f>VLOOKUP(A129,Registry!$A$4:$AA$241,2,FALSE)</f>
        <v>Bilodeau MHP</v>
      </c>
      <c r="C129" s="80" t="str">
        <f>VLOOKUP(A129,Registry!$A$4:$AA$241,3,FALSE)</f>
        <v>Orange</v>
      </c>
      <c r="D129" s="80" t="str">
        <f>VLOOKUP(A129,Registry!$A$4:$AA$241,4,FALSE)</f>
        <v>Williamstown</v>
      </c>
      <c r="E129" s="80">
        <f>IF(VLOOKUP(A129,Registry!$A$4:$AA$241,7,FALSE)=0,"",VLOOKUP(A129,Registry!$A$4:$AA$241,7,FALSE))</f>
        <v>1997</v>
      </c>
      <c r="F129" s="80" t="str">
        <f>IF(VLOOKUP(A129,Registry!$A$4:$AA$241,20,FALSE)=0,"",VLOOKUP(A129,Registry!$A$4:$AA$241,20,FALSE))</f>
        <v>For profit</v>
      </c>
      <c r="G129" s="25">
        <v>1997</v>
      </c>
      <c r="H129" s="24">
        <f>VLOOKUP(A129,Registry!$A$4:$AA$241,21,FALSE)</f>
        <v>7</v>
      </c>
      <c r="I129" s="24">
        <f>VLOOKUP(A129,Registry!$A$4:$AA$241,24,FALSE)</f>
        <v>7</v>
      </c>
      <c r="J129" s="24">
        <f>VLOOKUP(A129,Registry!$A$4:$AA$241,26,FALSE)</f>
        <v>0</v>
      </c>
      <c r="K129" s="128">
        <v>8</v>
      </c>
      <c r="L129" s="128">
        <v>0</v>
      </c>
      <c r="M129" s="128">
        <v>8</v>
      </c>
      <c r="N129" s="128">
        <v>0</v>
      </c>
      <c r="O129" s="128">
        <v>11</v>
      </c>
      <c r="P129" s="128">
        <v>0</v>
      </c>
      <c r="Q129" s="28">
        <f>I129-Table4[[#This Row],[Park Owned6]]</f>
        <v>-4</v>
      </c>
      <c r="R129" s="28">
        <f>J129-Table4[[#This Row],[Other Owned7]]</f>
        <v>0</v>
      </c>
      <c r="S129" s="24">
        <f>VLOOKUP($A129,Registry!$A$4:$AA$241,23,FALSE)</f>
        <v>0</v>
      </c>
      <c r="T129" s="61">
        <f t="shared" si="6"/>
        <v>0</v>
      </c>
      <c r="U129" s="35">
        <v>0</v>
      </c>
      <c r="V129" s="90">
        <v>0</v>
      </c>
      <c r="W129" s="86">
        <v>0</v>
      </c>
      <c r="X129" s="90">
        <v>0</v>
      </c>
      <c r="Y129" s="86">
        <v>0</v>
      </c>
      <c r="Z129" s="90">
        <v>0</v>
      </c>
      <c r="AA129" s="35">
        <f>Table4[[#This Row],['# Lots]]-Table4[[#This Row],['# Lots10]]</f>
        <v>0</v>
      </c>
      <c r="AB129" s="61">
        <f t="shared" si="10"/>
        <v>0</v>
      </c>
      <c r="AC129" s="35">
        <f>Table4[[#This Row],['# Lots]]-Table4[[#This Row],['# Lots14]]</f>
        <v>0</v>
      </c>
      <c r="AD129" s="61">
        <f t="shared" si="11"/>
        <v>0</v>
      </c>
      <c r="AE129" s="138">
        <v>0</v>
      </c>
      <c r="AF129" s="35">
        <v>0</v>
      </c>
      <c r="AG129" s="58">
        <v>11</v>
      </c>
      <c r="AH129" s="58">
        <v>11</v>
      </c>
      <c r="AI129" s="128">
        <f>Table4[[#This Row],[2022 Leased Lots20]]-Table4[[#This Row],[2019 Leased Lots23]]</f>
        <v>-11</v>
      </c>
      <c r="AJ129" s="61">
        <f t="shared" si="9"/>
        <v>0</v>
      </c>
      <c r="AK129" s="139">
        <f>VLOOKUP($A129,Registry!$A$4:$AA$241,27,FALSE)</f>
        <v>0</v>
      </c>
      <c r="AL129" s="65">
        <v>0</v>
      </c>
      <c r="AM129" s="65"/>
      <c r="AN129" s="65"/>
      <c r="AO129" s="120" t="str">
        <f>IFERROR((AK129-Table4[[#This Row],[2019 Total Rent29]])/Table4[[#This Row],[2019 Total Rent29]], "-")</f>
        <v>-</v>
      </c>
    </row>
    <row r="130" spans="1:41" x14ac:dyDescent="0.25">
      <c r="A130" s="25">
        <v>191</v>
      </c>
      <c r="B130" s="54" t="str">
        <f>VLOOKUP(A130,Registry!$A$4:$AA$241,2,FALSE)</f>
        <v>Buttles Trailer Park</v>
      </c>
      <c r="C130" s="80" t="str">
        <f>VLOOKUP(A130,Registry!$A$4:$AA$241,3,FALSE)</f>
        <v>Orange</v>
      </c>
      <c r="D130" s="80" t="str">
        <f>VLOOKUP(A130,Registry!$A$4:$AA$241,4,FALSE)</f>
        <v>Williamstown</v>
      </c>
      <c r="E130" s="80">
        <f>IF(VLOOKUP(A130,Registry!$A$4:$AA$241,7,FALSE)=0,"",VLOOKUP(A130,Registry!$A$4:$AA$241,7,FALSE))</f>
        <v>1970</v>
      </c>
      <c r="F130" s="80" t="str">
        <f>IF(VLOOKUP(A130,Registry!$A$4:$AA$241,20,FALSE)=0,"",VLOOKUP(A130,Registry!$A$4:$AA$241,20,FALSE))</f>
        <v>For profit</v>
      </c>
      <c r="G130" s="25">
        <v>2022</v>
      </c>
      <c r="H130" s="24">
        <f>VLOOKUP(A130,Registry!$A$4:$AA$241,21,FALSE)</f>
        <v>4</v>
      </c>
      <c r="I130" s="24">
        <f>VLOOKUP(A130,Registry!$A$4:$AA$241,24,FALSE)</f>
        <v>2</v>
      </c>
      <c r="J130" s="24">
        <f>VLOOKUP(A130,Registry!$A$4:$AA$241,26,FALSE)</f>
        <v>0</v>
      </c>
      <c r="K130" s="128">
        <v>2</v>
      </c>
      <c r="L130" s="128">
        <v>0</v>
      </c>
      <c r="M130" s="128">
        <v>2</v>
      </c>
      <c r="N130" s="128">
        <v>0</v>
      </c>
      <c r="O130" s="128">
        <v>2</v>
      </c>
      <c r="P130" s="128">
        <v>1</v>
      </c>
      <c r="Q130" s="28">
        <f>I130-Table4[[#This Row],[Park Owned6]]</f>
        <v>0</v>
      </c>
      <c r="R130" s="28">
        <f>J130-Table4[[#This Row],[Other Owned7]]</f>
        <v>-1</v>
      </c>
      <c r="S130" s="24">
        <f>VLOOKUP($A130,Registry!$A$4:$AA$241,23,FALSE)</f>
        <v>0</v>
      </c>
      <c r="T130" s="61">
        <f t="shared" si="6"/>
        <v>0</v>
      </c>
      <c r="U130" s="35">
        <v>0</v>
      </c>
      <c r="V130" s="90">
        <v>0</v>
      </c>
      <c r="W130" s="86">
        <v>0</v>
      </c>
      <c r="X130" s="90">
        <v>0</v>
      </c>
      <c r="Y130" s="86">
        <v>0</v>
      </c>
      <c r="Z130" s="90">
        <v>0</v>
      </c>
      <c r="AA130" s="35">
        <f>Table4[[#This Row],['# Lots]]-Table4[[#This Row],['# Lots10]]</f>
        <v>0</v>
      </c>
      <c r="AB130" s="61">
        <f t="shared" si="10"/>
        <v>0</v>
      </c>
      <c r="AC130" s="35">
        <f>Table4[[#This Row],['# Lots]]-Table4[[#This Row],['# Lots14]]</f>
        <v>0</v>
      </c>
      <c r="AD130" s="61">
        <f t="shared" si="11"/>
        <v>0</v>
      </c>
      <c r="AE130" s="138">
        <v>1</v>
      </c>
      <c r="AF130" s="35">
        <v>1</v>
      </c>
      <c r="AG130" s="58">
        <v>1</v>
      </c>
      <c r="AH130" s="58">
        <v>2</v>
      </c>
      <c r="AI130" s="128">
        <f>Table4[[#This Row],[2022 Leased Lots20]]-Table4[[#This Row],[2019 Leased Lots23]]</f>
        <v>-1</v>
      </c>
      <c r="AJ130" s="61">
        <f t="shared" si="9"/>
        <v>0.25</v>
      </c>
      <c r="AK130" s="139">
        <f>VLOOKUP($A130,Registry!$A$4:$AA$241,27,FALSE)</f>
        <v>382.74</v>
      </c>
      <c r="AL130" s="65">
        <v>368.81</v>
      </c>
      <c r="AM130" s="65">
        <v>368.81</v>
      </c>
      <c r="AN130" s="65">
        <v>355.66</v>
      </c>
      <c r="AO130" s="120">
        <f>IFERROR((AK130-Table4[[#This Row],[2019 Total Rent29]])/Table4[[#This Row],[2019 Total Rent29]], "-")</f>
        <v>7.6140133835685714E-2</v>
      </c>
    </row>
    <row r="131" spans="1:41" x14ac:dyDescent="0.25">
      <c r="A131" s="25">
        <v>306</v>
      </c>
      <c r="B131" s="54" t="str">
        <f>VLOOKUP(A131,Registry!$A$4:$AA$241,2,FALSE)</f>
        <v>Jamieson MHP</v>
      </c>
      <c r="C131" s="80" t="str">
        <f>VLOOKUP(A131,Registry!$A$4:$AA$241,3,FALSE)</f>
        <v>Orange</v>
      </c>
      <c r="D131" s="80" t="str">
        <f>VLOOKUP(A131,Registry!$A$4:$AA$241,4,FALSE)</f>
        <v>Williamstown</v>
      </c>
      <c r="E131" s="80">
        <f>IF(VLOOKUP(A131,Registry!$A$4:$AA$241,7,FALSE)=0,"",VLOOKUP(A131,Registry!$A$4:$AA$241,7,FALSE))</f>
        <v>1991</v>
      </c>
      <c r="F131" s="80" t="str">
        <f>IF(VLOOKUP(A131,Registry!$A$4:$AA$241,20,FALSE)=0,"",VLOOKUP(A131,Registry!$A$4:$AA$241,20,FALSE))</f>
        <v>For profit</v>
      </c>
      <c r="G131" s="25">
        <v>1975</v>
      </c>
      <c r="H131" s="24">
        <f>VLOOKUP(A131,Registry!$A$4:$AA$241,21,FALSE)</f>
        <v>11</v>
      </c>
      <c r="I131" s="24">
        <f>VLOOKUP(A131,Registry!$A$4:$AA$241,24,FALSE)</f>
        <v>4</v>
      </c>
      <c r="J131" s="24">
        <f>VLOOKUP(A131,Registry!$A$4:$AA$241,26,FALSE)</f>
        <v>0</v>
      </c>
      <c r="K131" s="128">
        <v>4</v>
      </c>
      <c r="L131" s="128">
        <v>0</v>
      </c>
      <c r="M131" s="128">
        <v>3</v>
      </c>
      <c r="N131" s="128">
        <v>0</v>
      </c>
      <c r="O131" s="128">
        <v>3</v>
      </c>
      <c r="P131" s="128">
        <v>0</v>
      </c>
      <c r="Q131" s="28">
        <f>I131-Table4[[#This Row],[Park Owned6]]</f>
        <v>1</v>
      </c>
      <c r="R131" s="28">
        <f>J131-Table4[[#This Row],[Other Owned7]]</f>
        <v>0</v>
      </c>
      <c r="S131" s="24">
        <f>VLOOKUP($A131,Registry!$A$4:$AA$241,23,FALSE)</f>
        <v>0</v>
      </c>
      <c r="T131" s="61">
        <f t="shared" si="6"/>
        <v>0</v>
      </c>
      <c r="U131" s="35">
        <v>0</v>
      </c>
      <c r="V131" s="90">
        <v>0</v>
      </c>
      <c r="W131" s="86">
        <v>0</v>
      </c>
      <c r="X131" s="90">
        <v>0</v>
      </c>
      <c r="Y131" s="86">
        <v>0</v>
      </c>
      <c r="Z131" s="90">
        <v>0</v>
      </c>
      <c r="AA131" s="35">
        <f>Table4[[#This Row],['# Lots]]-Table4[[#This Row],['# Lots10]]</f>
        <v>0</v>
      </c>
      <c r="AB131" s="61">
        <f t="shared" si="10"/>
        <v>0</v>
      </c>
      <c r="AC131" s="35">
        <f>Table4[[#This Row],['# Lots]]-Table4[[#This Row],['# Lots14]]</f>
        <v>0</v>
      </c>
      <c r="AD131" s="61">
        <f t="shared" si="11"/>
        <v>0</v>
      </c>
      <c r="AE131" s="138">
        <v>11</v>
      </c>
      <c r="AF131" s="35">
        <v>11</v>
      </c>
      <c r="AG131" s="58">
        <v>11</v>
      </c>
      <c r="AH131" s="58">
        <v>11</v>
      </c>
      <c r="AI131" s="128">
        <f>Table4[[#This Row],[2022 Leased Lots20]]-Table4[[#This Row],[2019 Leased Lots23]]</f>
        <v>0</v>
      </c>
      <c r="AJ131" s="61">
        <f t="shared" si="9"/>
        <v>1</v>
      </c>
      <c r="AK131" s="139">
        <f>VLOOKUP($A131,Registry!$A$4:$AA$241,27,FALSE)</f>
        <v>315</v>
      </c>
      <c r="AL131" s="65">
        <v>300</v>
      </c>
      <c r="AM131" s="65">
        <v>300</v>
      </c>
      <c r="AN131" s="65">
        <v>300</v>
      </c>
      <c r="AO131" s="120">
        <f>IFERROR((AK131-Table4[[#This Row],[2019 Total Rent29]])/Table4[[#This Row],[2019 Total Rent29]], "-")</f>
        <v>0.05</v>
      </c>
    </row>
    <row r="132" spans="1:41" x14ac:dyDescent="0.25">
      <c r="A132" s="25">
        <v>163</v>
      </c>
      <c r="B132" s="54" t="str">
        <f>VLOOKUP(A132,Registry!$A$4:$AA$241,2,FALSE)</f>
        <v>Limehurst Mobile Home Park</v>
      </c>
      <c r="C132" s="80" t="str">
        <f>VLOOKUP(A132,Registry!$A$4:$AA$241,3,FALSE)</f>
        <v>Orange</v>
      </c>
      <c r="D132" s="80" t="str">
        <f>VLOOKUP(A132,Registry!$A$4:$AA$241,4,FALSE)</f>
        <v>Williamstown</v>
      </c>
      <c r="E132" s="80">
        <f>IF(VLOOKUP(A132,Registry!$A$4:$AA$241,7,FALSE)=0,"",VLOOKUP(A132,Registry!$A$4:$AA$241,7,FALSE))</f>
        <v>1975</v>
      </c>
      <c r="F132" s="80" t="str">
        <f>IF(VLOOKUP(A132,Registry!$A$4:$AA$241,20,FALSE)=0,"",VLOOKUP(A132,Registry!$A$4:$AA$241,20,FALSE))</f>
        <v>Non-profit</v>
      </c>
      <c r="G132" s="25">
        <v>1995</v>
      </c>
      <c r="H132" s="24">
        <f>VLOOKUP(A132,Registry!$A$4:$AA$241,21,FALSE)</f>
        <v>33</v>
      </c>
      <c r="I132" s="24">
        <f>VLOOKUP(A132,Registry!$A$4:$AA$241,24,FALSE)</f>
        <v>0</v>
      </c>
      <c r="J132" s="24">
        <f>VLOOKUP(A132,Registry!$A$4:$AA$241,26,FALSE)</f>
        <v>0</v>
      </c>
      <c r="K132" s="128">
        <v>0</v>
      </c>
      <c r="L132" s="128">
        <v>1</v>
      </c>
      <c r="M132" s="128">
        <v>0</v>
      </c>
      <c r="N132" s="128">
        <v>0</v>
      </c>
      <c r="O132" s="128">
        <v>0</v>
      </c>
      <c r="P132" s="128">
        <v>0</v>
      </c>
      <c r="Q132" s="28">
        <f>I132-Table4[[#This Row],[Park Owned6]]</f>
        <v>0</v>
      </c>
      <c r="R132" s="28">
        <f>J132-Table4[[#This Row],[Other Owned7]]</f>
        <v>0</v>
      </c>
      <c r="S132" s="24">
        <f>VLOOKUP($A132,Registry!$A$4:$AA$241,23,FALSE)</f>
        <v>1</v>
      </c>
      <c r="T132" s="61">
        <f t="shared" ref="T132:T195" si="12">S132/$H132</f>
        <v>3.0303030303030304E-2</v>
      </c>
      <c r="U132" s="35">
        <v>0</v>
      </c>
      <c r="V132" s="90">
        <v>0</v>
      </c>
      <c r="W132" s="86">
        <v>0</v>
      </c>
      <c r="X132" s="90">
        <v>0</v>
      </c>
      <c r="Y132" s="86">
        <v>0</v>
      </c>
      <c r="Z132" s="90">
        <v>0</v>
      </c>
      <c r="AA132" s="35">
        <f>Table4[[#This Row],['# Lots]]-Table4[[#This Row],['# Lots10]]</f>
        <v>1</v>
      </c>
      <c r="AB132" s="61">
        <f t="shared" ref="AB132:AB163" si="13">AA132/$H132</f>
        <v>3.0303030303030304E-2</v>
      </c>
      <c r="AC132" s="35">
        <f>Table4[[#This Row],['# Lots]]-Table4[[#This Row],['# Lots14]]</f>
        <v>1</v>
      </c>
      <c r="AD132" s="61">
        <f t="shared" ref="AD132:AD163" si="14">AC132/$H132</f>
        <v>3.0303030303030304E-2</v>
      </c>
      <c r="AE132" s="138">
        <v>33</v>
      </c>
      <c r="AF132" s="35">
        <v>33</v>
      </c>
      <c r="AG132" s="58">
        <v>33</v>
      </c>
      <c r="AH132" s="58">
        <v>33</v>
      </c>
      <c r="AI132" s="128">
        <f>Table4[[#This Row],[2022 Leased Lots20]]-Table4[[#This Row],[2019 Leased Lots23]]</f>
        <v>0</v>
      </c>
      <c r="AJ132" s="61">
        <f t="shared" si="9"/>
        <v>1</v>
      </c>
      <c r="AK132" s="139">
        <f>VLOOKUP($A132,Registry!$A$4:$AA$241,27,FALSE)</f>
        <v>334</v>
      </c>
      <c r="AL132" s="65">
        <v>324</v>
      </c>
      <c r="AM132" s="65">
        <v>315</v>
      </c>
      <c r="AN132" s="65">
        <v>306</v>
      </c>
      <c r="AO132" s="120">
        <f>IFERROR((AK132-Table4[[#This Row],[2019 Total Rent29]])/Table4[[#This Row],[2019 Total Rent29]], "-")</f>
        <v>9.1503267973856203E-2</v>
      </c>
    </row>
    <row r="133" spans="1:41" x14ac:dyDescent="0.25">
      <c r="A133" s="25">
        <v>140</v>
      </c>
      <c r="B133" s="54" t="str">
        <f>VLOOKUP(A133,Registry!$A$4:$AA$241,2,FALSE)</f>
        <v>Northwind Mobile Home Park</v>
      </c>
      <c r="C133" s="80" t="str">
        <f>VLOOKUP(A133,Registry!$A$4:$AA$241,3,FALSE)</f>
        <v>Orange</v>
      </c>
      <c r="D133" s="80" t="str">
        <f>VLOOKUP(A133,Registry!$A$4:$AA$241,4,FALSE)</f>
        <v>Williamstown</v>
      </c>
      <c r="E133" s="80">
        <f>IF(VLOOKUP(A133,Registry!$A$4:$AA$241,7,FALSE)=0,"",VLOOKUP(A133,Registry!$A$4:$AA$241,7,FALSE))</f>
        <v>1994</v>
      </c>
      <c r="F133" s="80" t="str">
        <f>IF(VLOOKUP(A133,Registry!$A$4:$AA$241,20,FALSE)=0,"",VLOOKUP(A133,Registry!$A$4:$AA$241,20,FALSE))</f>
        <v>Non-profit</v>
      </c>
      <c r="G133" s="25">
        <v>1994</v>
      </c>
      <c r="H133" s="24">
        <f>VLOOKUP(A133,Registry!$A$4:$AA$241,21,FALSE)</f>
        <v>6</v>
      </c>
      <c r="I133" s="24">
        <f>VLOOKUP(A133,Registry!$A$4:$AA$241,24,FALSE)</f>
        <v>0</v>
      </c>
      <c r="J133" s="24">
        <f>VLOOKUP(A133,Registry!$A$4:$AA$241,26,FALSE)</f>
        <v>0</v>
      </c>
      <c r="K133" s="128">
        <v>0</v>
      </c>
      <c r="L133" s="128">
        <v>0</v>
      </c>
      <c r="M133" s="128">
        <v>0</v>
      </c>
      <c r="N133" s="128">
        <v>0</v>
      </c>
      <c r="O133" s="128">
        <v>0</v>
      </c>
      <c r="P133" s="128">
        <v>0</v>
      </c>
      <c r="Q133" s="28">
        <f>I133-Table4[[#This Row],[Park Owned6]]</f>
        <v>0</v>
      </c>
      <c r="R133" s="28">
        <f>J133-Table4[[#This Row],[Other Owned7]]</f>
        <v>0</v>
      </c>
      <c r="S133" s="24">
        <f>VLOOKUP($A133,Registry!$A$4:$AA$241,23,FALSE)</f>
        <v>0</v>
      </c>
      <c r="T133" s="61">
        <f t="shared" si="12"/>
        <v>0</v>
      </c>
      <c r="U133" s="35">
        <v>0</v>
      </c>
      <c r="V133" s="90">
        <v>0</v>
      </c>
      <c r="W133" s="86">
        <v>0</v>
      </c>
      <c r="X133" s="90">
        <v>0</v>
      </c>
      <c r="Y133" s="86">
        <v>0</v>
      </c>
      <c r="Z133" s="90">
        <v>0</v>
      </c>
      <c r="AA133" s="35">
        <f>Table4[[#This Row],['# Lots]]-Table4[[#This Row],['# Lots10]]</f>
        <v>0</v>
      </c>
      <c r="AB133" s="61">
        <f t="shared" si="13"/>
        <v>0</v>
      </c>
      <c r="AC133" s="35">
        <f>Table4[[#This Row],['# Lots]]-Table4[[#This Row],['# Lots14]]</f>
        <v>0</v>
      </c>
      <c r="AD133" s="61">
        <f t="shared" si="14"/>
        <v>0</v>
      </c>
      <c r="AE133" s="138">
        <v>6</v>
      </c>
      <c r="AF133" s="35">
        <v>6</v>
      </c>
      <c r="AG133" s="58">
        <v>6</v>
      </c>
      <c r="AH133" s="58">
        <v>6</v>
      </c>
      <c r="AI133" s="128">
        <f>Table4[[#This Row],[2022 Leased Lots20]]-Table4[[#This Row],[2019 Leased Lots23]]</f>
        <v>0</v>
      </c>
      <c r="AJ133" s="61">
        <f t="shared" ref="AJ133:AJ196" si="15">AE133/H133</f>
        <v>1</v>
      </c>
      <c r="AK133" s="139">
        <f>VLOOKUP($A133,Registry!$A$4:$AA$241,27,FALSE)</f>
        <v>392</v>
      </c>
      <c r="AL133" s="65">
        <v>392</v>
      </c>
      <c r="AM133" s="65">
        <v>381</v>
      </c>
      <c r="AN133" s="65">
        <v>368</v>
      </c>
      <c r="AO133" s="120">
        <f>IFERROR((AK133-Table4[[#This Row],[2019 Total Rent29]])/Table4[[#This Row],[2019 Total Rent29]], "-")</f>
        <v>6.5217391304347824E-2</v>
      </c>
    </row>
    <row r="134" spans="1:41" x14ac:dyDescent="0.25">
      <c r="A134" s="25">
        <v>190</v>
      </c>
      <c r="B134" s="54" t="str">
        <f>VLOOKUP(A134,Registry!$A$4:$AA$241,2,FALSE)</f>
        <v>Fairview Estates</v>
      </c>
      <c r="C134" s="80" t="str">
        <f>VLOOKUP(A134,Registry!$A$4:$AA$241,3,FALSE)</f>
        <v>Orleans</v>
      </c>
      <c r="D134" s="80" t="str">
        <f>VLOOKUP(A134,Registry!$A$4:$AA$241,4,FALSE)</f>
        <v>Barton</v>
      </c>
      <c r="E134" s="80">
        <f>IF(VLOOKUP(A134,Registry!$A$4:$AA$241,7,FALSE)=0,"",VLOOKUP(A134,Registry!$A$4:$AA$241,7,FALSE))</f>
        <v>1961</v>
      </c>
      <c r="F134" s="80" t="str">
        <f>IF(VLOOKUP(A134,Registry!$A$4:$AA$241,20,FALSE)=0,"",VLOOKUP(A134,Registry!$A$4:$AA$241,20,FALSE))</f>
        <v>For profit</v>
      </c>
      <c r="G134" s="25">
        <v>2011</v>
      </c>
      <c r="H134" s="24">
        <f>VLOOKUP(A134,Registry!$A$4:$AA$241,21,FALSE)</f>
        <v>32</v>
      </c>
      <c r="I134" s="24">
        <f>VLOOKUP(A134,Registry!$A$4:$AA$241,24,FALSE)</f>
        <v>14</v>
      </c>
      <c r="J134" s="24">
        <f>VLOOKUP(A134,Registry!$A$4:$AA$241,26,FALSE)</f>
        <v>0</v>
      </c>
      <c r="K134" s="128">
        <v>13</v>
      </c>
      <c r="L134" s="128">
        <v>0</v>
      </c>
      <c r="M134" s="128">
        <v>13</v>
      </c>
      <c r="N134" s="128">
        <v>0</v>
      </c>
      <c r="O134" s="128">
        <v>12</v>
      </c>
      <c r="P134" s="128">
        <v>0</v>
      </c>
      <c r="Q134" s="28">
        <f>I134-Table4[[#This Row],[Park Owned6]]</f>
        <v>2</v>
      </c>
      <c r="R134" s="28">
        <f>J134-Table4[[#This Row],[Other Owned7]]</f>
        <v>0</v>
      </c>
      <c r="S134" s="24">
        <f>VLOOKUP($A134,Registry!$A$4:$AA$241,23,FALSE)</f>
        <v>0</v>
      </c>
      <c r="T134" s="61">
        <f t="shared" si="12"/>
        <v>0</v>
      </c>
      <c r="U134" s="35">
        <v>0</v>
      </c>
      <c r="V134" s="90">
        <v>0</v>
      </c>
      <c r="W134" s="86">
        <v>1</v>
      </c>
      <c r="X134" s="90">
        <v>3.1E-2</v>
      </c>
      <c r="Y134" s="86">
        <v>1</v>
      </c>
      <c r="Z134" s="90">
        <v>3.1E-2</v>
      </c>
      <c r="AA134" s="35">
        <f>Table4[[#This Row],['# Lots]]-Table4[[#This Row],['# Lots10]]</f>
        <v>0</v>
      </c>
      <c r="AB134" s="61">
        <f t="shared" si="13"/>
        <v>0</v>
      </c>
      <c r="AC134" s="35">
        <f>Table4[[#This Row],['# Lots]]-Table4[[#This Row],['# Lots14]]</f>
        <v>-1</v>
      </c>
      <c r="AD134" s="61">
        <f t="shared" si="14"/>
        <v>-3.125E-2</v>
      </c>
      <c r="AE134" s="138">
        <v>32</v>
      </c>
      <c r="AF134" s="35">
        <v>31</v>
      </c>
      <c r="AG134" s="58">
        <v>31</v>
      </c>
      <c r="AH134" s="58">
        <v>30</v>
      </c>
      <c r="AI134" s="128">
        <f>Table4[[#This Row],[2022 Leased Lots20]]-Table4[[#This Row],[2019 Leased Lots23]]</f>
        <v>2</v>
      </c>
      <c r="AJ134" s="61">
        <f t="shared" si="15"/>
        <v>1</v>
      </c>
      <c r="AK134" s="139">
        <f>VLOOKUP($A134,Registry!$A$4:$AA$241,27,FALSE)</f>
        <v>345</v>
      </c>
      <c r="AL134" s="65">
        <v>315</v>
      </c>
      <c r="AM134" s="65">
        <v>305</v>
      </c>
      <c r="AN134" s="65">
        <v>299</v>
      </c>
      <c r="AO134" s="120">
        <f>IFERROR((AK134-Table4[[#This Row],[2019 Total Rent29]])/Table4[[#This Row],[2019 Total Rent29]], "-")</f>
        <v>0.15384615384615385</v>
      </c>
    </row>
    <row r="135" spans="1:41" x14ac:dyDescent="0.25">
      <c r="A135" s="25">
        <v>309</v>
      </c>
      <c r="B135" s="54" t="str">
        <f>VLOOKUP(A135,Registry!$A$4:$AA$241,2,FALSE)</f>
        <v>Kelley MHP</v>
      </c>
      <c r="C135" s="80" t="str">
        <f>VLOOKUP(A135,Registry!$A$4:$AA$241,3,FALSE)</f>
        <v>Orleans</v>
      </c>
      <c r="D135" s="80" t="str">
        <f>VLOOKUP(A135,Registry!$A$4:$AA$241,4,FALSE)</f>
        <v>Coventry</v>
      </c>
      <c r="E135" s="80">
        <f>IF(VLOOKUP(A135,Registry!$A$4:$AA$241,7,FALSE)=0,"",VLOOKUP(A135,Registry!$A$4:$AA$241,7,FALSE))</f>
        <v>1976</v>
      </c>
      <c r="F135" s="80" t="str">
        <f>IF(VLOOKUP(A135,Registry!$A$4:$AA$241,20,FALSE)=0,"",VLOOKUP(A135,Registry!$A$4:$AA$241,20,FALSE))</f>
        <v>For profit</v>
      </c>
      <c r="G135" s="25">
        <v>2018</v>
      </c>
      <c r="H135" s="24">
        <f>VLOOKUP(A135,Registry!$A$4:$AA$241,21,FALSE)</f>
        <v>6</v>
      </c>
      <c r="I135" s="24">
        <f>VLOOKUP(A135,Registry!$A$4:$AA$241,24,FALSE)</f>
        <v>1</v>
      </c>
      <c r="J135" s="24">
        <f>VLOOKUP(A135,Registry!$A$4:$AA$241,26,FALSE)</f>
        <v>0</v>
      </c>
      <c r="K135" s="128">
        <v>1</v>
      </c>
      <c r="L135" s="128">
        <v>0</v>
      </c>
      <c r="M135" s="128">
        <v>2</v>
      </c>
      <c r="N135" s="128">
        <v>0</v>
      </c>
      <c r="O135" s="128">
        <v>2</v>
      </c>
      <c r="P135" s="128">
        <v>0</v>
      </c>
      <c r="Q135" s="28">
        <f>I135-Table4[[#This Row],[Park Owned6]]</f>
        <v>-1</v>
      </c>
      <c r="R135" s="28">
        <f>J135-Table4[[#This Row],[Other Owned7]]</f>
        <v>0</v>
      </c>
      <c r="S135" s="24">
        <f>VLOOKUP($A135,Registry!$A$4:$AA$241,23,FALSE)</f>
        <v>0</v>
      </c>
      <c r="T135" s="61">
        <f t="shared" si="12"/>
        <v>0</v>
      </c>
      <c r="U135" s="35">
        <v>0</v>
      </c>
      <c r="V135" s="90">
        <v>0</v>
      </c>
      <c r="W135" s="86">
        <v>0</v>
      </c>
      <c r="X135" s="90">
        <v>0</v>
      </c>
      <c r="Y135" s="86">
        <v>0</v>
      </c>
      <c r="Z135" s="90">
        <v>0</v>
      </c>
      <c r="AA135" s="35">
        <f>Table4[[#This Row],['# Lots]]-Table4[[#This Row],['# Lots10]]</f>
        <v>0</v>
      </c>
      <c r="AB135" s="61">
        <f t="shared" si="13"/>
        <v>0</v>
      </c>
      <c r="AC135" s="35">
        <f>Table4[[#This Row],['# Lots]]-Table4[[#This Row],['# Lots14]]</f>
        <v>0</v>
      </c>
      <c r="AD135" s="61">
        <f t="shared" si="14"/>
        <v>0</v>
      </c>
      <c r="AE135" s="138">
        <v>6</v>
      </c>
      <c r="AF135" s="35">
        <v>6</v>
      </c>
      <c r="AG135" s="58">
        <v>6</v>
      </c>
      <c r="AH135" s="58">
        <v>5</v>
      </c>
      <c r="AI135" s="128">
        <f>Table4[[#This Row],[2022 Leased Lots20]]-Table4[[#This Row],[2019 Leased Lots23]]</f>
        <v>1</v>
      </c>
      <c r="AJ135" s="61">
        <f t="shared" si="15"/>
        <v>1</v>
      </c>
      <c r="AK135" s="139">
        <f>VLOOKUP($A135,Registry!$A$4:$AA$241,27,FALSE)</f>
        <v>250</v>
      </c>
      <c r="AL135" s="65">
        <v>250</v>
      </c>
      <c r="AM135" s="65">
        <v>250</v>
      </c>
      <c r="AN135" s="65">
        <v>235</v>
      </c>
      <c r="AO135" s="120">
        <f>IFERROR((AK135-Table4[[#This Row],[2019 Total Rent29]])/Table4[[#This Row],[2019 Total Rent29]], "-")</f>
        <v>6.3829787234042548E-2</v>
      </c>
    </row>
    <row r="136" spans="1:41" x14ac:dyDescent="0.25">
      <c r="A136" s="25">
        <v>286</v>
      </c>
      <c r="B136" s="54" t="str">
        <f>VLOOKUP(A136,Registry!$A$4:$AA$241,2,FALSE)</f>
        <v>Nadeau Trailer Park</v>
      </c>
      <c r="C136" s="80" t="str">
        <f>VLOOKUP(A136,Registry!$A$4:$AA$241,3,FALSE)</f>
        <v>Orleans</v>
      </c>
      <c r="D136" s="80" t="str">
        <f>VLOOKUP(A136,Registry!$A$4:$AA$241,4,FALSE)</f>
        <v>Coventry</v>
      </c>
      <c r="E136" s="80">
        <f>IF(VLOOKUP(A136,Registry!$A$4:$AA$241,7,FALSE)=0,"",VLOOKUP(A136,Registry!$A$4:$AA$241,7,FALSE))</f>
        <v>1964</v>
      </c>
      <c r="F136" s="80" t="str">
        <f>IF(VLOOKUP(A136,Registry!$A$4:$AA$241,20,FALSE)=0,"",VLOOKUP(A136,Registry!$A$4:$AA$241,20,FALSE))</f>
        <v>For profit</v>
      </c>
      <c r="G136" s="25">
        <v>2018</v>
      </c>
      <c r="H136" s="24">
        <f>VLOOKUP(A136,Registry!$A$4:$AA$241,21,FALSE)</f>
        <v>16</v>
      </c>
      <c r="I136" s="24">
        <f>VLOOKUP(A136,Registry!$A$4:$AA$241,24,FALSE)</f>
        <v>0</v>
      </c>
      <c r="J136" s="24">
        <f>VLOOKUP(A136,Registry!$A$4:$AA$241,26,FALSE)</f>
        <v>0</v>
      </c>
      <c r="K136" s="128">
        <v>0</v>
      </c>
      <c r="L136" s="128">
        <v>0</v>
      </c>
      <c r="M136" s="128">
        <v>0</v>
      </c>
      <c r="N136" s="128">
        <v>0</v>
      </c>
      <c r="O136" s="128">
        <v>0</v>
      </c>
      <c r="P136" s="128">
        <v>0</v>
      </c>
      <c r="Q136" s="28">
        <f>I136-Table4[[#This Row],[Park Owned6]]</f>
        <v>0</v>
      </c>
      <c r="R136" s="28">
        <f>J136-Table4[[#This Row],[Other Owned7]]</f>
        <v>0</v>
      </c>
      <c r="S136" s="24">
        <f>VLOOKUP($A136,Registry!$A$4:$AA$241,23,FALSE)</f>
        <v>2</v>
      </c>
      <c r="T136" s="61">
        <f t="shared" si="12"/>
        <v>0.125</v>
      </c>
      <c r="U136" s="35">
        <v>3</v>
      </c>
      <c r="V136" s="90">
        <v>0.1875</v>
      </c>
      <c r="W136" s="86">
        <v>3</v>
      </c>
      <c r="X136" s="90">
        <v>0.188</v>
      </c>
      <c r="Y136" s="86">
        <v>4</v>
      </c>
      <c r="Z136" s="90">
        <v>0.25</v>
      </c>
      <c r="AA136" s="35">
        <f>Table4[[#This Row],['# Lots]]-Table4[[#This Row],['# Lots10]]</f>
        <v>-1</v>
      </c>
      <c r="AB136" s="61">
        <f t="shared" si="13"/>
        <v>-6.25E-2</v>
      </c>
      <c r="AC136" s="35">
        <f>Table4[[#This Row],['# Lots]]-Table4[[#This Row],['# Lots14]]</f>
        <v>-2</v>
      </c>
      <c r="AD136" s="61">
        <f t="shared" si="14"/>
        <v>-0.125</v>
      </c>
      <c r="AE136" s="138">
        <v>13</v>
      </c>
      <c r="AF136" s="35">
        <v>13</v>
      </c>
      <c r="AG136" s="58">
        <v>12</v>
      </c>
      <c r="AH136" s="58">
        <v>10</v>
      </c>
      <c r="AI136" s="128">
        <f>Table4[[#This Row],[2022 Leased Lots20]]-Table4[[#This Row],[2019 Leased Lots23]]</f>
        <v>3</v>
      </c>
      <c r="AJ136" s="61">
        <f t="shared" si="15"/>
        <v>0.8125</v>
      </c>
      <c r="AK136" s="139">
        <f>VLOOKUP($A136,Registry!$A$4:$AA$241,27,FALSE)</f>
        <v>275</v>
      </c>
      <c r="AL136" s="65">
        <v>250</v>
      </c>
      <c r="AM136" s="65">
        <v>250</v>
      </c>
      <c r="AN136" s="65">
        <v>250</v>
      </c>
      <c r="AO136" s="120">
        <f>IFERROR((AK136-Table4[[#This Row],[2019 Total Rent29]])/Table4[[#This Row],[2019 Total Rent29]], "-")</f>
        <v>0.1</v>
      </c>
    </row>
    <row r="137" spans="1:41" x14ac:dyDescent="0.25">
      <c r="A137" s="25">
        <v>227</v>
      </c>
      <c r="B137" s="54" t="str">
        <f>VLOOKUP(A137,Registry!$A$4:$AA$241,2,FALSE)</f>
        <v>Derby Center Mobile Court</v>
      </c>
      <c r="C137" s="80" t="str">
        <f>VLOOKUP(A137,Registry!$A$4:$AA$241,3,FALSE)</f>
        <v>Orleans</v>
      </c>
      <c r="D137" s="80" t="str">
        <f>VLOOKUP(A137,Registry!$A$4:$AA$241,4,FALSE)</f>
        <v>Derby</v>
      </c>
      <c r="E137" s="80">
        <f>IF(VLOOKUP(A137,Registry!$A$4:$AA$241,7,FALSE)=0,"",VLOOKUP(A137,Registry!$A$4:$AA$241,7,FALSE))</f>
        <v>1965</v>
      </c>
      <c r="F137" s="80" t="str">
        <f>IF(VLOOKUP(A137,Registry!$A$4:$AA$241,20,FALSE)=0,"",VLOOKUP(A137,Registry!$A$4:$AA$241,20,FALSE))</f>
        <v>For profit</v>
      </c>
      <c r="G137" s="25">
        <v>2017</v>
      </c>
      <c r="H137" s="24">
        <f>VLOOKUP(A137,Registry!$A$4:$AA$241,21,FALSE)</f>
        <v>11</v>
      </c>
      <c r="I137" s="24">
        <f>VLOOKUP(A137,Registry!$A$4:$AA$241,24,FALSE)</f>
        <v>11</v>
      </c>
      <c r="J137" s="24">
        <f>VLOOKUP(A137,Registry!$A$4:$AA$241,26,FALSE)</f>
        <v>0</v>
      </c>
      <c r="K137" s="128">
        <v>11</v>
      </c>
      <c r="L137" s="128">
        <v>0</v>
      </c>
      <c r="M137" s="128">
        <v>11</v>
      </c>
      <c r="N137" s="128">
        <v>0</v>
      </c>
      <c r="O137" s="128">
        <v>11</v>
      </c>
      <c r="P137" s="128">
        <v>0</v>
      </c>
      <c r="Q137" s="28">
        <f>I137-Table4[[#This Row],[Park Owned6]]</f>
        <v>0</v>
      </c>
      <c r="R137" s="28">
        <f>J137-Table4[[#This Row],[Other Owned7]]</f>
        <v>0</v>
      </c>
      <c r="S137" s="24">
        <f>VLOOKUP($A137,Registry!$A$4:$AA$241,23,FALSE)</f>
        <v>0</v>
      </c>
      <c r="T137" s="61">
        <f t="shared" si="12"/>
        <v>0</v>
      </c>
      <c r="U137" s="35">
        <v>0</v>
      </c>
      <c r="V137" s="90">
        <v>0</v>
      </c>
      <c r="W137" s="86">
        <v>0</v>
      </c>
      <c r="X137" s="90">
        <v>0</v>
      </c>
      <c r="Y137" s="86">
        <v>0</v>
      </c>
      <c r="Z137" s="90">
        <v>0</v>
      </c>
      <c r="AA137" s="35">
        <f>Table4[[#This Row],['# Lots]]-Table4[[#This Row],['# Lots10]]</f>
        <v>0</v>
      </c>
      <c r="AB137" s="61">
        <f t="shared" si="13"/>
        <v>0</v>
      </c>
      <c r="AC137" s="35">
        <f>Table4[[#This Row],['# Lots]]-Table4[[#This Row],['# Lots14]]</f>
        <v>0</v>
      </c>
      <c r="AD137" s="61">
        <f t="shared" si="14"/>
        <v>0</v>
      </c>
      <c r="AE137" s="138">
        <v>11</v>
      </c>
      <c r="AF137" s="35">
        <v>11</v>
      </c>
      <c r="AG137" s="58">
        <v>11</v>
      </c>
      <c r="AH137" s="58">
        <v>11</v>
      </c>
      <c r="AI137" s="128">
        <f>Table4[[#This Row],[2022 Leased Lots20]]-Table4[[#This Row],[2019 Leased Lots23]]</f>
        <v>0</v>
      </c>
      <c r="AJ137" s="61">
        <f t="shared" si="15"/>
        <v>1</v>
      </c>
      <c r="AK137" s="139">
        <f>VLOOKUP($A137,Registry!$A$4:$AA$241,27,FALSE)</f>
        <v>0</v>
      </c>
      <c r="AL137" s="65">
        <v>0</v>
      </c>
      <c r="AM137" s="65"/>
      <c r="AN137" s="65"/>
      <c r="AO137" s="120" t="str">
        <f>IFERROR((AK137-Table4[[#This Row],[2019 Total Rent29]])/Table4[[#This Row],[2019 Total Rent29]], "-")</f>
        <v>-</v>
      </c>
    </row>
    <row r="138" spans="1:41" x14ac:dyDescent="0.25">
      <c r="A138" s="25">
        <v>255</v>
      </c>
      <c r="B138" s="54" t="str">
        <f>VLOOKUP(A138,Registry!$A$4:$AA$241,2,FALSE)</f>
        <v>Derby Mobile Home Park</v>
      </c>
      <c r="C138" s="80" t="str">
        <f>VLOOKUP(A138,Registry!$A$4:$AA$241,3,FALSE)</f>
        <v>Orleans</v>
      </c>
      <c r="D138" s="80" t="str">
        <f>VLOOKUP(A138,Registry!$A$4:$AA$241,4,FALSE)</f>
        <v>Derby</v>
      </c>
      <c r="E138" s="80">
        <f>IF(VLOOKUP(A138,Registry!$A$4:$AA$241,7,FALSE)=0,"",VLOOKUP(A138,Registry!$A$4:$AA$241,7,FALSE))</f>
        <v>1998</v>
      </c>
      <c r="F138" s="80" t="str">
        <f>IF(VLOOKUP(A138,Registry!$A$4:$AA$241,20,FALSE)=0,"",VLOOKUP(A138,Registry!$A$4:$AA$241,20,FALSE))</f>
        <v>Non-profit</v>
      </c>
      <c r="G138" s="25">
        <v>1998</v>
      </c>
      <c r="H138" s="24">
        <f>VLOOKUP(A138,Registry!$A$4:$AA$241,21,FALSE)</f>
        <v>102</v>
      </c>
      <c r="I138" s="24">
        <f>VLOOKUP(A138,Registry!$A$4:$AA$241,24,FALSE)</f>
        <v>0</v>
      </c>
      <c r="J138" s="24">
        <f>VLOOKUP(A138,Registry!$A$4:$AA$241,26,FALSE)</f>
        <v>0</v>
      </c>
      <c r="K138" s="128">
        <v>1</v>
      </c>
      <c r="L138" s="128">
        <v>0</v>
      </c>
      <c r="M138" s="128">
        <v>1</v>
      </c>
      <c r="N138" s="128">
        <v>0</v>
      </c>
      <c r="O138" s="128">
        <v>0</v>
      </c>
      <c r="P138" s="128">
        <v>0</v>
      </c>
      <c r="Q138" s="28">
        <f>I138-Table4[[#This Row],[Park Owned6]]</f>
        <v>0</v>
      </c>
      <c r="R138" s="28">
        <f>J138-Table4[[#This Row],[Other Owned7]]</f>
        <v>0</v>
      </c>
      <c r="S138" s="24">
        <f>VLOOKUP($A138,Registry!$A$4:$AA$241,23,FALSE)</f>
        <v>2</v>
      </c>
      <c r="T138" s="61">
        <f t="shared" si="12"/>
        <v>1.9607843137254902E-2</v>
      </c>
      <c r="U138" s="35">
        <v>3</v>
      </c>
      <c r="V138" s="90">
        <v>2.9411764705882353E-2</v>
      </c>
      <c r="W138" s="86">
        <v>4</v>
      </c>
      <c r="X138" s="90">
        <v>3.9E-2</v>
      </c>
      <c r="Y138" s="86">
        <v>1</v>
      </c>
      <c r="Z138" s="90">
        <v>0.01</v>
      </c>
      <c r="AA138" s="35">
        <f>Table4[[#This Row],['# Lots]]-Table4[[#This Row],['# Lots10]]</f>
        <v>-1</v>
      </c>
      <c r="AB138" s="61">
        <f t="shared" si="13"/>
        <v>-9.8039215686274508E-3</v>
      </c>
      <c r="AC138" s="35">
        <f>Table4[[#This Row],['# Lots]]-Table4[[#This Row],['# Lots14]]</f>
        <v>1</v>
      </c>
      <c r="AD138" s="61">
        <f t="shared" si="14"/>
        <v>9.8039215686274508E-3</v>
      </c>
      <c r="AE138" s="138">
        <v>98</v>
      </c>
      <c r="AF138" s="35">
        <v>97</v>
      </c>
      <c r="AG138" s="58">
        <v>98</v>
      </c>
      <c r="AH138" s="58">
        <v>98</v>
      </c>
      <c r="AI138" s="128">
        <f>Table4[[#This Row],[2022 Leased Lots20]]-Table4[[#This Row],[2019 Leased Lots23]]</f>
        <v>0</v>
      </c>
      <c r="AJ138" s="61">
        <f t="shared" si="15"/>
        <v>0.96078431372549022</v>
      </c>
      <c r="AK138" s="139">
        <f>VLOOKUP($A138,Registry!$A$4:$AA$241,27,FALSE)</f>
        <v>374</v>
      </c>
      <c r="AL138" s="65">
        <v>365</v>
      </c>
      <c r="AM138" s="65">
        <v>355</v>
      </c>
      <c r="AN138" s="65">
        <v>343</v>
      </c>
      <c r="AO138" s="120">
        <f>IFERROR((AK138-Table4[[#This Row],[2019 Total Rent29]])/Table4[[#This Row],[2019 Total Rent29]], "-")</f>
        <v>9.0379008746355682E-2</v>
      </c>
    </row>
    <row r="139" spans="1:41" x14ac:dyDescent="0.25">
      <c r="A139" s="25">
        <v>192</v>
      </c>
      <c r="B139" s="54" t="str">
        <f>VLOOKUP(A139,Registry!$A$4:$AA$241,2,FALSE)</f>
        <v>Shattuck Hill Mobile Home Park</v>
      </c>
      <c r="C139" s="80" t="str">
        <f>VLOOKUP(A139,Registry!$A$4:$AA$241,3,FALSE)</f>
        <v>Orleans</v>
      </c>
      <c r="D139" s="80" t="str">
        <f>VLOOKUP(A139,Registry!$A$4:$AA$241,4,FALSE)</f>
        <v>Derby</v>
      </c>
      <c r="E139" s="80">
        <f>IF(VLOOKUP(A139,Registry!$A$4:$AA$241,7,FALSE)=0,"",VLOOKUP(A139,Registry!$A$4:$AA$241,7,FALSE))</f>
        <v>1969</v>
      </c>
      <c r="F139" s="80" t="str">
        <f>IF(VLOOKUP(A139,Registry!$A$4:$AA$241,20,FALSE)=0,"",VLOOKUP(A139,Registry!$A$4:$AA$241,20,FALSE))</f>
        <v>Non-profit</v>
      </c>
      <c r="G139" s="25">
        <v>1999</v>
      </c>
      <c r="H139" s="24">
        <f>VLOOKUP(A139,Registry!$A$4:$AA$241,21,FALSE)</f>
        <v>48</v>
      </c>
      <c r="I139" s="24">
        <f>VLOOKUP(A139,Registry!$A$4:$AA$241,24,FALSE)</f>
        <v>0</v>
      </c>
      <c r="J139" s="24">
        <f>VLOOKUP(A139,Registry!$A$4:$AA$241,26,FALSE)</f>
        <v>0</v>
      </c>
      <c r="K139" s="128">
        <v>0</v>
      </c>
      <c r="L139" s="128">
        <v>0</v>
      </c>
      <c r="M139" s="128">
        <v>0</v>
      </c>
      <c r="N139" s="128">
        <v>0</v>
      </c>
      <c r="O139" s="128">
        <v>0</v>
      </c>
      <c r="P139" s="128">
        <v>0</v>
      </c>
      <c r="Q139" s="28">
        <f>I139-Table4[[#This Row],[Park Owned6]]</f>
        <v>0</v>
      </c>
      <c r="R139" s="28">
        <f>J139-Table4[[#This Row],[Other Owned7]]</f>
        <v>0</v>
      </c>
      <c r="S139" s="24">
        <f>VLOOKUP($A139,Registry!$A$4:$AA$241,23,FALSE)</f>
        <v>2</v>
      </c>
      <c r="T139" s="61">
        <f t="shared" si="12"/>
        <v>4.1666666666666664E-2</v>
      </c>
      <c r="U139" s="35">
        <v>1</v>
      </c>
      <c r="V139" s="90">
        <v>2.0833333333333332E-2</v>
      </c>
      <c r="W139" s="86">
        <v>1</v>
      </c>
      <c r="X139" s="90">
        <v>2.1000000000000001E-2</v>
      </c>
      <c r="Y139" s="86">
        <v>1</v>
      </c>
      <c r="Z139" s="90">
        <v>2.1000000000000001E-2</v>
      </c>
      <c r="AA139" s="35">
        <f>Table4[[#This Row],['# Lots]]-Table4[[#This Row],['# Lots10]]</f>
        <v>1</v>
      </c>
      <c r="AB139" s="61">
        <f t="shared" si="13"/>
        <v>2.0833333333333332E-2</v>
      </c>
      <c r="AC139" s="35">
        <f>Table4[[#This Row],['# Lots]]-Table4[[#This Row],['# Lots14]]</f>
        <v>1</v>
      </c>
      <c r="AD139" s="61">
        <f t="shared" si="14"/>
        <v>2.0833333333333332E-2</v>
      </c>
      <c r="AE139" s="138">
        <v>47</v>
      </c>
      <c r="AF139" s="35">
        <v>47</v>
      </c>
      <c r="AG139" s="58">
        <v>47</v>
      </c>
      <c r="AH139" s="58">
        <v>47</v>
      </c>
      <c r="AI139" s="128">
        <f>Table4[[#This Row],[2022 Leased Lots20]]-Table4[[#This Row],[2019 Leased Lots23]]</f>
        <v>0</v>
      </c>
      <c r="AJ139" s="61">
        <f t="shared" si="15"/>
        <v>0.97916666666666663</v>
      </c>
      <c r="AK139" s="139">
        <f>VLOOKUP($A139,Registry!$A$4:$AA$241,27,FALSE)</f>
        <v>265</v>
      </c>
      <c r="AL139" s="65">
        <v>257</v>
      </c>
      <c r="AM139" s="65">
        <v>257</v>
      </c>
      <c r="AN139" s="65">
        <v>248</v>
      </c>
      <c r="AO139" s="120">
        <f>IFERROR((AK139-Table4[[#This Row],[2019 Total Rent29]])/Table4[[#This Row],[2019 Total Rent29]], "-")</f>
        <v>6.8548387096774188E-2</v>
      </c>
    </row>
    <row r="140" spans="1:41" x14ac:dyDescent="0.25">
      <c r="A140" s="25">
        <v>147</v>
      </c>
      <c r="B140" s="54" t="str">
        <f>VLOOKUP(A140,Registry!$A$4:$AA$241,2,FALSE)</f>
        <v>Brookdale Manor LLC</v>
      </c>
      <c r="C140" s="80" t="str">
        <f>VLOOKUP(A140,Registry!$A$4:$AA$241,3,FALSE)</f>
        <v>Rutland</v>
      </c>
      <c r="D140" s="80" t="str">
        <f>VLOOKUP(A140,Registry!$A$4:$AA$241,4,FALSE)</f>
        <v>Brandon</v>
      </c>
      <c r="E140" s="80">
        <f>IF(VLOOKUP(A140,Registry!$A$4:$AA$241,7,FALSE)=0,"",VLOOKUP(A140,Registry!$A$4:$AA$241,7,FALSE))</f>
        <v>1970</v>
      </c>
      <c r="F140" s="80" t="str">
        <f>IF(VLOOKUP(A140,Registry!$A$4:$AA$241,20,FALSE)=0,"",VLOOKUP(A140,Registry!$A$4:$AA$241,20,FALSE))</f>
        <v>For profit</v>
      </c>
      <c r="G140" s="25">
        <v>2019</v>
      </c>
      <c r="H140" s="24">
        <f>VLOOKUP(A140,Registry!$A$4:$AA$241,21,FALSE)</f>
        <v>17</v>
      </c>
      <c r="I140" s="24">
        <f>VLOOKUP(A140,Registry!$A$4:$AA$241,24,FALSE)</f>
        <v>0</v>
      </c>
      <c r="J140" s="24">
        <f>VLOOKUP(A140,Registry!$A$4:$AA$241,26,FALSE)</f>
        <v>0</v>
      </c>
      <c r="K140" s="128">
        <v>0</v>
      </c>
      <c r="L140" s="128">
        <v>0</v>
      </c>
      <c r="M140" s="128">
        <v>0</v>
      </c>
      <c r="N140" s="128">
        <v>0</v>
      </c>
      <c r="O140" s="128">
        <v>0</v>
      </c>
      <c r="P140" s="128">
        <v>0</v>
      </c>
      <c r="Q140" s="28">
        <f>I140-Table4[[#This Row],[Park Owned6]]</f>
        <v>0</v>
      </c>
      <c r="R140" s="28">
        <f>J140-Table4[[#This Row],[Other Owned7]]</f>
        <v>0</v>
      </c>
      <c r="S140" s="24">
        <f>VLOOKUP($A140,Registry!$A$4:$AA$241,23,FALSE)</f>
        <v>0</v>
      </c>
      <c r="T140" s="61">
        <f t="shared" si="12"/>
        <v>0</v>
      </c>
      <c r="U140" s="35">
        <v>0</v>
      </c>
      <c r="V140" s="90">
        <v>0</v>
      </c>
      <c r="W140" s="86">
        <v>0</v>
      </c>
      <c r="X140" s="90">
        <v>0</v>
      </c>
      <c r="Y140" s="86">
        <v>0</v>
      </c>
      <c r="Z140" s="90">
        <v>0</v>
      </c>
      <c r="AA140" s="35">
        <f>Table4[[#This Row],['# Lots]]-Table4[[#This Row],['# Lots10]]</f>
        <v>0</v>
      </c>
      <c r="AB140" s="61">
        <f t="shared" si="13"/>
        <v>0</v>
      </c>
      <c r="AC140" s="35">
        <f>Table4[[#This Row],['# Lots]]-Table4[[#This Row],['# Lots14]]</f>
        <v>0</v>
      </c>
      <c r="AD140" s="61">
        <f t="shared" si="14"/>
        <v>0</v>
      </c>
      <c r="AE140" s="138">
        <v>17</v>
      </c>
      <c r="AF140" s="35">
        <v>17</v>
      </c>
      <c r="AG140" s="58">
        <v>17</v>
      </c>
      <c r="AH140" s="58">
        <v>17</v>
      </c>
      <c r="AI140" s="128">
        <f>Table4[[#This Row],[2022 Leased Lots20]]-Table4[[#This Row],[2019 Leased Lots23]]</f>
        <v>0</v>
      </c>
      <c r="AJ140" s="61">
        <f t="shared" si="15"/>
        <v>1</v>
      </c>
      <c r="AK140" s="139">
        <f>VLOOKUP($A140,Registry!$A$4:$AA$241,27,FALSE)</f>
        <v>343</v>
      </c>
      <c r="AL140" s="65">
        <v>329</v>
      </c>
      <c r="AM140" s="65">
        <v>329</v>
      </c>
      <c r="AN140" s="65">
        <v>329</v>
      </c>
      <c r="AO140" s="120">
        <f>IFERROR((AK140-Table4[[#This Row],[2019 Total Rent29]])/Table4[[#This Row],[2019 Total Rent29]], "-")</f>
        <v>4.2553191489361701E-2</v>
      </c>
    </row>
    <row r="141" spans="1:41" x14ac:dyDescent="0.25">
      <c r="A141" s="25">
        <v>150</v>
      </c>
      <c r="B141" s="54" t="str">
        <f>VLOOKUP(A141,Registry!$A$4:$AA$241,2,FALSE)</f>
        <v>Forest Dale Mobile Home Park</v>
      </c>
      <c r="C141" s="80" t="str">
        <f>VLOOKUP(A141,Registry!$A$4:$AA$241,3,FALSE)</f>
        <v>Rutland</v>
      </c>
      <c r="D141" s="80" t="str">
        <f>VLOOKUP(A141,Registry!$A$4:$AA$241,4,FALSE)</f>
        <v>Brandon</v>
      </c>
      <c r="E141" s="80">
        <f>IF(VLOOKUP(A141,Registry!$A$4:$AA$241,7,FALSE)=0,"",VLOOKUP(A141,Registry!$A$4:$AA$241,7,FALSE))</f>
        <v>1970</v>
      </c>
      <c r="F141" s="80" t="str">
        <f>IF(VLOOKUP(A141,Registry!$A$4:$AA$241,20,FALSE)=0,"",VLOOKUP(A141,Registry!$A$4:$AA$241,20,FALSE))</f>
        <v>For profit</v>
      </c>
      <c r="G141" s="25">
        <v>1990</v>
      </c>
      <c r="H141" s="24">
        <f>VLOOKUP(A141,Registry!$A$4:$AA$241,21,FALSE)</f>
        <v>5</v>
      </c>
      <c r="I141" s="24">
        <f>VLOOKUP(A141,Registry!$A$4:$AA$241,24,FALSE)</f>
        <v>0</v>
      </c>
      <c r="J141" s="24">
        <f>VLOOKUP(A141,Registry!$A$4:$AA$241,26,FALSE)</f>
        <v>0</v>
      </c>
      <c r="K141" s="128">
        <v>0</v>
      </c>
      <c r="L141" s="128">
        <v>0</v>
      </c>
      <c r="M141" s="128">
        <v>0</v>
      </c>
      <c r="N141" s="128">
        <v>0</v>
      </c>
      <c r="O141" s="128">
        <v>0</v>
      </c>
      <c r="P141" s="128">
        <v>0</v>
      </c>
      <c r="Q141" s="28">
        <f>I141-Table4[[#This Row],[Park Owned6]]</f>
        <v>0</v>
      </c>
      <c r="R141" s="28">
        <f>J141-Table4[[#This Row],[Other Owned7]]</f>
        <v>0</v>
      </c>
      <c r="S141" s="24">
        <f>VLOOKUP($A141,Registry!$A$4:$AA$241,23,FALSE)</f>
        <v>0</v>
      </c>
      <c r="T141" s="61">
        <f t="shared" si="12"/>
        <v>0</v>
      </c>
      <c r="U141" s="35">
        <v>0</v>
      </c>
      <c r="V141" s="90">
        <v>0</v>
      </c>
      <c r="W141" s="86">
        <v>0</v>
      </c>
      <c r="X141" s="90">
        <v>0</v>
      </c>
      <c r="Y141" s="86">
        <v>0</v>
      </c>
      <c r="Z141" s="90">
        <v>0</v>
      </c>
      <c r="AA141" s="35">
        <f>Table4[[#This Row],['# Lots]]-Table4[[#This Row],['# Lots10]]</f>
        <v>0</v>
      </c>
      <c r="AB141" s="61">
        <f t="shared" si="13"/>
        <v>0</v>
      </c>
      <c r="AC141" s="35">
        <f>Table4[[#This Row],['# Lots]]-Table4[[#This Row],['# Lots14]]</f>
        <v>0</v>
      </c>
      <c r="AD141" s="61">
        <f t="shared" si="14"/>
        <v>0</v>
      </c>
      <c r="AE141" s="138">
        <v>5</v>
      </c>
      <c r="AF141" s="35">
        <v>5</v>
      </c>
      <c r="AG141" s="58">
        <v>5</v>
      </c>
      <c r="AH141" s="58">
        <v>5</v>
      </c>
      <c r="AI141" s="128">
        <f>Table4[[#This Row],[2022 Leased Lots20]]-Table4[[#This Row],[2019 Leased Lots23]]</f>
        <v>0</v>
      </c>
      <c r="AJ141" s="61">
        <f t="shared" si="15"/>
        <v>1</v>
      </c>
      <c r="AK141" s="139">
        <f>VLOOKUP($A141,Registry!$A$4:$AA$241,27,FALSE)</f>
        <v>301.5</v>
      </c>
      <c r="AL141" s="65">
        <v>289</v>
      </c>
      <c r="AM141" s="65">
        <v>289</v>
      </c>
      <c r="AN141" s="65">
        <v>289</v>
      </c>
      <c r="AO141" s="120">
        <f>IFERROR((AK141-Table4[[#This Row],[2019 Total Rent29]])/Table4[[#This Row],[2019 Total Rent29]], "-")</f>
        <v>4.3252595155709339E-2</v>
      </c>
    </row>
    <row r="142" spans="1:41" x14ac:dyDescent="0.25">
      <c r="A142" s="25">
        <v>313</v>
      </c>
      <c r="B142" s="54" t="str">
        <f>VLOOKUP(A142,Registry!$A$4:$AA$241,2,FALSE)</f>
        <v>Forestdale Manor</v>
      </c>
      <c r="C142" s="80" t="str">
        <f>VLOOKUP(A142,Registry!$A$4:$AA$241,3,FALSE)</f>
        <v>Rutland</v>
      </c>
      <c r="D142" s="80" t="str">
        <f>VLOOKUP(A142,Registry!$A$4:$AA$241,4,FALSE)</f>
        <v>Brandon</v>
      </c>
      <c r="E142" s="80">
        <f>IF(VLOOKUP(A142,Registry!$A$4:$AA$241,7,FALSE)=0,"",VLOOKUP(A142,Registry!$A$4:$AA$241,7,FALSE))</f>
        <v>1970</v>
      </c>
      <c r="F142" s="80" t="str">
        <f>IF(VLOOKUP(A142,Registry!$A$4:$AA$241,20,FALSE)=0,"",VLOOKUP(A142,Registry!$A$4:$AA$241,20,FALSE))</f>
        <v>For profit</v>
      </c>
      <c r="G142" s="25">
        <v>2019</v>
      </c>
      <c r="H142" s="24">
        <f>VLOOKUP(A142,Registry!$A$4:$AA$241,21,FALSE)</f>
        <v>12</v>
      </c>
      <c r="I142" s="24">
        <f>VLOOKUP(A142,Registry!$A$4:$AA$241,24,FALSE)</f>
        <v>0</v>
      </c>
      <c r="J142" s="24">
        <f>VLOOKUP(A142,Registry!$A$4:$AA$241,26,FALSE)</f>
        <v>9</v>
      </c>
      <c r="K142" s="128">
        <v>0</v>
      </c>
      <c r="L142" s="128">
        <v>9</v>
      </c>
      <c r="M142" s="128">
        <v>0</v>
      </c>
      <c r="N142" s="128">
        <v>9</v>
      </c>
      <c r="O142" s="128">
        <v>0</v>
      </c>
      <c r="P142" s="128">
        <v>0</v>
      </c>
      <c r="Q142" s="28">
        <f>I142-Table4[[#This Row],[Park Owned6]]</f>
        <v>0</v>
      </c>
      <c r="R142" s="28">
        <f>J142-Table4[[#This Row],[Other Owned7]]</f>
        <v>9</v>
      </c>
      <c r="S142" s="24">
        <f>VLOOKUP($A142,Registry!$A$4:$AA$241,23,FALSE)</f>
        <v>0</v>
      </c>
      <c r="T142" s="61">
        <f t="shared" si="12"/>
        <v>0</v>
      </c>
      <c r="U142" s="35">
        <v>0</v>
      </c>
      <c r="V142" s="90">
        <v>0</v>
      </c>
      <c r="W142" s="86">
        <v>0</v>
      </c>
      <c r="X142" s="90">
        <v>0</v>
      </c>
      <c r="Y142" s="86">
        <v>1</v>
      </c>
      <c r="Z142" s="90">
        <v>0</v>
      </c>
      <c r="AA142" s="35">
        <f>Table4[[#This Row],['# Lots]]-Table4[[#This Row],['# Lots10]]</f>
        <v>0</v>
      </c>
      <c r="AB142" s="61">
        <f t="shared" si="13"/>
        <v>0</v>
      </c>
      <c r="AC142" s="35">
        <f>Table4[[#This Row],['# Lots]]-Table4[[#This Row],['# Lots14]]</f>
        <v>-1</v>
      </c>
      <c r="AD142" s="61">
        <f t="shared" si="14"/>
        <v>-8.3333333333333329E-2</v>
      </c>
      <c r="AE142" s="138">
        <v>3</v>
      </c>
      <c r="AF142" s="35">
        <v>3</v>
      </c>
      <c r="AG142" s="58">
        <v>11</v>
      </c>
      <c r="AH142" s="58">
        <v>11</v>
      </c>
      <c r="AI142" s="128">
        <f>Table4[[#This Row],[2022 Leased Lots20]]-Table4[[#This Row],[2019 Leased Lots23]]</f>
        <v>-8</v>
      </c>
      <c r="AJ142" s="61">
        <f t="shared" si="15"/>
        <v>0.25</v>
      </c>
      <c r="AK142" s="139">
        <f>VLOOKUP($A142,Registry!$A$4:$AA$241,27,FALSE)</f>
        <v>0</v>
      </c>
      <c r="AL142" s="65">
        <v>0</v>
      </c>
      <c r="AM142" s="65">
        <v>295</v>
      </c>
      <c r="AN142" s="65"/>
      <c r="AO142" s="120"/>
    </row>
    <row r="143" spans="1:41" x14ac:dyDescent="0.25">
      <c r="A143" s="25">
        <v>220</v>
      </c>
      <c r="B143" s="54" t="str">
        <f>VLOOKUP(A143,Registry!$A$4:$AA$241,2,FALSE)</f>
        <v>Pine Tree Park</v>
      </c>
      <c r="C143" s="80" t="str">
        <f>VLOOKUP(A143,Registry!$A$4:$AA$241,3,FALSE)</f>
        <v>Rutland</v>
      </c>
      <c r="D143" s="80" t="str">
        <f>VLOOKUP(A143,Registry!$A$4:$AA$241,4,FALSE)</f>
        <v>Brandon</v>
      </c>
      <c r="E143" s="80">
        <f>IF(VLOOKUP(A143,Registry!$A$4:$AA$241,7,FALSE)=0,"",VLOOKUP(A143,Registry!$A$4:$AA$241,7,FALSE))</f>
        <v>1970</v>
      </c>
      <c r="F143" s="80" t="str">
        <f>IF(VLOOKUP(A143,Registry!$A$4:$AA$241,20,FALSE)=0,"",VLOOKUP(A143,Registry!$A$4:$AA$241,20,FALSE))</f>
        <v>For profit</v>
      </c>
      <c r="G143" s="25">
        <v>2022</v>
      </c>
      <c r="H143" s="24">
        <f>VLOOKUP(A143,Registry!$A$4:$AA$241,21,FALSE)</f>
        <v>20</v>
      </c>
      <c r="I143" s="24">
        <f>VLOOKUP(A143,Registry!$A$4:$AA$241,24,FALSE)</f>
        <v>11</v>
      </c>
      <c r="J143" s="24">
        <f>VLOOKUP(A143,Registry!$A$4:$AA$241,26,FALSE)</f>
        <v>0</v>
      </c>
      <c r="K143" s="128">
        <v>11</v>
      </c>
      <c r="L143" s="128">
        <v>0</v>
      </c>
      <c r="M143" s="128">
        <v>11</v>
      </c>
      <c r="N143" s="128">
        <v>0</v>
      </c>
      <c r="O143" s="128">
        <v>9</v>
      </c>
      <c r="P143" s="128">
        <v>0</v>
      </c>
      <c r="Q143" s="28">
        <f>I143-Table4[[#This Row],[Park Owned6]]</f>
        <v>2</v>
      </c>
      <c r="R143" s="28">
        <f>J143-Table4[[#This Row],[Other Owned7]]</f>
        <v>0</v>
      </c>
      <c r="S143" s="24">
        <f>VLOOKUP($A143,Registry!$A$4:$AA$241,23,FALSE)</f>
        <v>1</v>
      </c>
      <c r="T143" s="61">
        <f t="shared" si="12"/>
        <v>0.05</v>
      </c>
      <c r="U143" s="35">
        <v>1</v>
      </c>
      <c r="V143" s="90">
        <v>0.05</v>
      </c>
      <c r="W143" s="86">
        <v>0</v>
      </c>
      <c r="X143" s="90">
        <v>0</v>
      </c>
      <c r="Y143" s="86">
        <v>0</v>
      </c>
      <c r="Z143" s="90">
        <v>0</v>
      </c>
      <c r="AA143" s="35">
        <f>Table4[[#This Row],['# Lots]]-Table4[[#This Row],['# Lots10]]</f>
        <v>0</v>
      </c>
      <c r="AB143" s="61">
        <f t="shared" si="13"/>
        <v>0</v>
      </c>
      <c r="AC143" s="35">
        <f>Table4[[#This Row],['# Lots]]-Table4[[#This Row],['# Lots14]]</f>
        <v>1</v>
      </c>
      <c r="AD143" s="61">
        <f t="shared" si="14"/>
        <v>0.05</v>
      </c>
      <c r="AE143" s="138">
        <v>19</v>
      </c>
      <c r="AF143" s="35">
        <v>20</v>
      </c>
      <c r="AG143" s="58">
        <v>20</v>
      </c>
      <c r="AH143" s="58">
        <v>19</v>
      </c>
      <c r="AI143" s="128">
        <f>Table4[[#This Row],[2022 Leased Lots20]]-Table4[[#This Row],[2019 Leased Lots23]]</f>
        <v>0</v>
      </c>
      <c r="AJ143" s="61">
        <f t="shared" si="15"/>
        <v>0.95</v>
      </c>
      <c r="AK143" s="139">
        <f>VLOOKUP($A143,Registry!$A$4:$AA$241,27,FALSE)</f>
        <v>320</v>
      </c>
      <c r="AL143" s="65">
        <v>320</v>
      </c>
      <c r="AM143" s="65">
        <v>310</v>
      </c>
      <c r="AN143" s="65">
        <v>300</v>
      </c>
      <c r="AO143" s="120">
        <f>IFERROR((AK143-Table4[[#This Row],[2019 Total Rent29]])/Table4[[#This Row],[2019 Total Rent29]], "-")</f>
        <v>6.6666666666666666E-2</v>
      </c>
    </row>
    <row r="144" spans="1:41" x14ac:dyDescent="0.25">
      <c r="A144" s="25">
        <v>210</v>
      </c>
      <c r="B144" s="54" t="str">
        <f>VLOOKUP(A144,Registry!$A$4:$AA$241,2,FALSE)</f>
        <v>Triangle Court MHP</v>
      </c>
      <c r="C144" s="80" t="str">
        <f>VLOOKUP(A144,Registry!$A$4:$AA$241,3,FALSE)</f>
        <v>Rutland</v>
      </c>
      <c r="D144" s="80" t="str">
        <f>VLOOKUP(A144,Registry!$A$4:$AA$241,4,FALSE)</f>
        <v>Brandon</v>
      </c>
      <c r="E144" s="80">
        <f>IF(VLOOKUP(A144,Registry!$A$4:$AA$241,7,FALSE)=0,"",VLOOKUP(A144,Registry!$A$4:$AA$241,7,FALSE))</f>
        <v>1986</v>
      </c>
      <c r="F144" s="80" t="str">
        <f>IF(VLOOKUP(A144,Registry!$A$4:$AA$241,20,FALSE)=0,"",VLOOKUP(A144,Registry!$A$4:$AA$241,20,FALSE))</f>
        <v>Cooperative</v>
      </c>
      <c r="G144" s="25">
        <v>2016</v>
      </c>
      <c r="H144" s="24">
        <f>VLOOKUP(A144,Registry!$A$4:$AA$241,21,FALSE)</f>
        <v>12</v>
      </c>
      <c r="I144" s="24">
        <f>VLOOKUP(A144,Registry!$A$4:$AA$241,24,FALSE)</f>
        <v>0</v>
      </c>
      <c r="J144" s="24">
        <f>VLOOKUP(A144,Registry!$A$4:$AA$241,26,FALSE)</f>
        <v>0</v>
      </c>
      <c r="K144" s="128">
        <v>0</v>
      </c>
      <c r="L144" s="128">
        <v>0</v>
      </c>
      <c r="M144" s="128">
        <v>0</v>
      </c>
      <c r="N144" s="128">
        <v>0</v>
      </c>
      <c r="O144" s="128">
        <v>0</v>
      </c>
      <c r="P144" s="128">
        <v>0</v>
      </c>
      <c r="Q144" s="28">
        <f>I144-Table4[[#This Row],[Park Owned6]]</f>
        <v>0</v>
      </c>
      <c r="R144" s="28">
        <f>J144-Table4[[#This Row],[Other Owned7]]</f>
        <v>0</v>
      </c>
      <c r="S144" s="24">
        <f>VLOOKUP($A144,Registry!$A$4:$AA$241,23,FALSE)</f>
        <v>0</v>
      </c>
      <c r="T144" s="61">
        <f t="shared" si="12"/>
        <v>0</v>
      </c>
      <c r="U144" s="35">
        <v>0</v>
      </c>
      <c r="V144" s="90">
        <v>0</v>
      </c>
      <c r="W144" s="86">
        <v>0</v>
      </c>
      <c r="X144" s="90">
        <v>0</v>
      </c>
      <c r="Y144" s="86">
        <v>0</v>
      </c>
      <c r="Z144" s="90">
        <v>0</v>
      </c>
      <c r="AA144" s="35">
        <f>Table4[[#This Row],['# Lots]]-Table4[[#This Row],['# Lots10]]</f>
        <v>0</v>
      </c>
      <c r="AB144" s="61">
        <f t="shared" si="13"/>
        <v>0</v>
      </c>
      <c r="AC144" s="35">
        <f>Table4[[#This Row],['# Lots]]-Table4[[#This Row],['# Lots14]]</f>
        <v>0</v>
      </c>
      <c r="AD144" s="61">
        <f t="shared" si="14"/>
        <v>0</v>
      </c>
      <c r="AE144" s="138">
        <v>12</v>
      </c>
      <c r="AF144" s="35">
        <v>12</v>
      </c>
      <c r="AG144" s="58">
        <v>12</v>
      </c>
      <c r="AH144" s="58">
        <v>12</v>
      </c>
      <c r="AI144" s="128">
        <f>Table4[[#This Row],[2022 Leased Lots20]]-Table4[[#This Row],[2019 Leased Lots23]]</f>
        <v>0</v>
      </c>
      <c r="AJ144" s="61">
        <f t="shared" si="15"/>
        <v>1</v>
      </c>
      <c r="AK144" s="139">
        <f>VLOOKUP($A144,Registry!$A$4:$AA$241,27,FALSE)</f>
        <v>370</v>
      </c>
      <c r="AL144" s="65">
        <v>370</v>
      </c>
      <c r="AM144" s="65">
        <v>370</v>
      </c>
      <c r="AN144" s="65">
        <v>370</v>
      </c>
      <c r="AO144" s="120">
        <f>IFERROR((AK144-Table4[[#This Row],[2019 Total Rent29]])/Table4[[#This Row],[2019 Total Rent29]], "-")</f>
        <v>0</v>
      </c>
    </row>
    <row r="145" spans="1:41" x14ac:dyDescent="0.25">
      <c r="A145" s="25">
        <v>205</v>
      </c>
      <c r="B145" s="54" t="str">
        <f>VLOOKUP(A145,Registry!$A$4:$AA$241,2,FALSE)</f>
        <v>Valley View MHP</v>
      </c>
      <c r="C145" s="80" t="str">
        <f>VLOOKUP(A145,Registry!$A$4:$AA$241,3,FALSE)</f>
        <v>Rutland</v>
      </c>
      <c r="D145" s="80" t="str">
        <f>VLOOKUP(A145,Registry!$A$4:$AA$241,4,FALSE)</f>
        <v>Brandon</v>
      </c>
      <c r="E145" s="80">
        <f>IF(VLOOKUP(A145,Registry!$A$4:$AA$241,7,FALSE)=0,"",VLOOKUP(A145,Registry!$A$4:$AA$241,7,FALSE))</f>
        <v>1955</v>
      </c>
      <c r="F145" s="80" t="str">
        <f>IF(VLOOKUP(A145,Registry!$A$4:$AA$241,20,FALSE)=0,"",VLOOKUP(A145,Registry!$A$4:$AA$241,20,FALSE))</f>
        <v>For profit</v>
      </c>
      <c r="G145" s="25">
        <v>2012</v>
      </c>
      <c r="H145" s="24">
        <f>VLOOKUP(A145,Registry!$A$4:$AA$241,21,FALSE)</f>
        <v>10</v>
      </c>
      <c r="I145" s="24">
        <f>VLOOKUP(A145,Registry!$A$4:$AA$241,24,FALSE)</f>
        <v>3</v>
      </c>
      <c r="J145" s="24">
        <f>VLOOKUP(A145,Registry!$A$4:$AA$241,26,FALSE)</f>
        <v>0</v>
      </c>
      <c r="K145" s="128">
        <v>3</v>
      </c>
      <c r="L145" s="128">
        <v>0</v>
      </c>
      <c r="M145" s="128">
        <v>3</v>
      </c>
      <c r="N145" s="128">
        <v>0</v>
      </c>
      <c r="O145" s="128">
        <v>0</v>
      </c>
      <c r="P145" s="128">
        <v>0</v>
      </c>
      <c r="Q145" s="28">
        <f>I145-Table4[[#This Row],[Park Owned6]]</f>
        <v>3</v>
      </c>
      <c r="R145" s="28">
        <f>J145-Table4[[#This Row],[Other Owned7]]</f>
        <v>0</v>
      </c>
      <c r="S145" s="24">
        <f>VLOOKUP($A145,Registry!$A$4:$AA$241,23,FALSE)</f>
        <v>0</v>
      </c>
      <c r="T145" s="61">
        <f t="shared" si="12"/>
        <v>0</v>
      </c>
      <c r="U145" s="35">
        <v>0</v>
      </c>
      <c r="V145" s="90">
        <v>0</v>
      </c>
      <c r="W145" s="86">
        <v>0</v>
      </c>
      <c r="X145" s="90">
        <v>0</v>
      </c>
      <c r="Y145" s="86">
        <v>1</v>
      </c>
      <c r="Z145" s="90">
        <v>0.1</v>
      </c>
      <c r="AA145" s="35">
        <f>Table4[[#This Row],['# Lots]]-Table4[[#This Row],['# Lots10]]</f>
        <v>0</v>
      </c>
      <c r="AB145" s="61">
        <f t="shared" si="13"/>
        <v>0</v>
      </c>
      <c r="AC145" s="35">
        <f>Table4[[#This Row],['# Lots]]-Table4[[#This Row],['# Lots14]]</f>
        <v>-1</v>
      </c>
      <c r="AD145" s="61">
        <f t="shared" si="14"/>
        <v>-0.1</v>
      </c>
      <c r="AE145" s="138">
        <v>7</v>
      </c>
      <c r="AF145" s="35">
        <v>7</v>
      </c>
      <c r="AG145" s="58">
        <v>9</v>
      </c>
      <c r="AH145" s="58">
        <v>9</v>
      </c>
      <c r="AI145" s="128">
        <f>Table4[[#This Row],[2022 Leased Lots20]]-Table4[[#This Row],[2019 Leased Lots23]]</f>
        <v>-2</v>
      </c>
      <c r="AJ145" s="61">
        <f t="shared" si="15"/>
        <v>0.7</v>
      </c>
      <c r="AK145" s="139">
        <f>VLOOKUP($A145,Registry!$A$4:$AA$241,27,FALSE)</f>
        <v>299</v>
      </c>
      <c r="AL145" s="65">
        <v>0</v>
      </c>
      <c r="AM145" s="65">
        <v>299</v>
      </c>
      <c r="AN145" s="65">
        <v>299</v>
      </c>
      <c r="AO145" s="120"/>
    </row>
    <row r="146" spans="1:41" x14ac:dyDescent="0.25">
      <c r="A146" s="25">
        <v>211</v>
      </c>
      <c r="B146" s="54" t="str">
        <f>VLOOKUP(A146,Registry!$A$4:$AA$241,2,FALSE)</f>
        <v>FWMHP, LLC</v>
      </c>
      <c r="C146" s="80" t="str">
        <f>VLOOKUP(A146,Registry!$A$4:$AA$241,3,FALSE)</f>
        <v>Rutland</v>
      </c>
      <c r="D146" s="80" t="str">
        <f>VLOOKUP(A146,Registry!$A$4:$AA$241,4,FALSE)</f>
        <v>Castleton</v>
      </c>
      <c r="E146" s="80">
        <f>IF(VLOOKUP(A146,Registry!$A$4:$AA$241,7,FALSE)=0,"",VLOOKUP(A146,Registry!$A$4:$AA$241,7,FALSE))</f>
        <v>1970</v>
      </c>
      <c r="F146" s="80" t="str">
        <f>IF(VLOOKUP(A146,Registry!$A$4:$AA$241,20,FALSE)=0,"",VLOOKUP(A146,Registry!$A$4:$AA$241,20,FALSE))</f>
        <v>For profit</v>
      </c>
      <c r="G146" s="25">
        <v>2008</v>
      </c>
      <c r="H146" s="24">
        <f>VLOOKUP(A146,Registry!$A$4:$AA$241,21,FALSE)</f>
        <v>44</v>
      </c>
      <c r="I146" s="24">
        <f>VLOOKUP(A146,Registry!$A$4:$AA$241,24,FALSE)</f>
        <v>2</v>
      </c>
      <c r="J146" s="24">
        <f>VLOOKUP(A146,Registry!$A$4:$AA$241,26,FALSE)</f>
        <v>1</v>
      </c>
      <c r="K146" s="128">
        <v>2</v>
      </c>
      <c r="L146" s="128">
        <v>3</v>
      </c>
      <c r="M146" s="128">
        <v>3</v>
      </c>
      <c r="N146" s="128">
        <v>3</v>
      </c>
      <c r="O146" s="128">
        <v>3</v>
      </c>
      <c r="P146" s="128">
        <v>3</v>
      </c>
      <c r="Q146" s="28">
        <f>I146-Table4[[#This Row],[Park Owned6]]</f>
        <v>-1</v>
      </c>
      <c r="R146" s="28">
        <f>J146-Table4[[#This Row],[Other Owned7]]</f>
        <v>-2</v>
      </c>
      <c r="S146" s="24">
        <f>VLOOKUP($A146,Registry!$A$4:$AA$241,23,FALSE)</f>
        <v>3</v>
      </c>
      <c r="T146" s="61">
        <f t="shared" si="12"/>
        <v>6.8181818181818177E-2</v>
      </c>
      <c r="U146" s="35">
        <v>2</v>
      </c>
      <c r="V146" s="90">
        <v>4.5454545454545456E-2</v>
      </c>
      <c r="W146" s="86">
        <v>2</v>
      </c>
      <c r="X146" s="90">
        <v>4.4999999999999998E-2</v>
      </c>
      <c r="Y146" s="86">
        <v>2</v>
      </c>
      <c r="Z146" s="90">
        <v>4.4999999999999998E-2</v>
      </c>
      <c r="AA146" s="35">
        <f>Table4[[#This Row],['# Lots]]-Table4[[#This Row],['# Lots10]]</f>
        <v>1</v>
      </c>
      <c r="AB146" s="61">
        <f t="shared" si="13"/>
        <v>2.2727272727272728E-2</v>
      </c>
      <c r="AC146" s="35">
        <f>Table4[[#This Row],['# Lots]]-Table4[[#This Row],['# Lots14]]</f>
        <v>1</v>
      </c>
      <c r="AD146" s="61">
        <f t="shared" si="14"/>
        <v>2.2727272727272728E-2</v>
      </c>
      <c r="AE146" s="138">
        <v>39</v>
      </c>
      <c r="AF146" s="35">
        <v>37</v>
      </c>
      <c r="AG146" s="58">
        <v>36</v>
      </c>
      <c r="AH146" s="58">
        <v>39</v>
      </c>
      <c r="AI146" s="128">
        <f>Table4[[#This Row],[2022 Leased Lots20]]-Table4[[#This Row],[2019 Leased Lots23]]</f>
        <v>0</v>
      </c>
      <c r="AJ146" s="61">
        <f t="shared" si="15"/>
        <v>0.88636363636363635</v>
      </c>
      <c r="AK146" s="139">
        <f>VLOOKUP($A146,Registry!$A$4:$AA$241,27,FALSE)</f>
        <v>409</v>
      </c>
      <c r="AL146" s="65">
        <v>396</v>
      </c>
      <c r="AM146" s="65">
        <v>387</v>
      </c>
      <c r="AN146" s="65">
        <v>373</v>
      </c>
      <c r="AO146" s="120">
        <f>IFERROR((AK146-Table4[[#This Row],[2019 Total Rent29]])/Table4[[#This Row],[2019 Total Rent29]], "-")</f>
        <v>9.6514745308310987E-2</v>
      </c>
    </row>
    <row r="147" spans="1:41" x14ac:dyDescent="0.25">
      <c r="A147" s="25">
        <v>180</v>
      </c>
      <c r="B147" s="54" t="str">
        <f>VLOOKUP(A147,Registry!$A$4:$AA$241,2,FALSE)</f>
        <v>Windy Hollow Mobile Home Park</v>
      </c>
      <c r="C147" s="80" t="str">
        <f>VLOOKUP(A147,Registry!$A$4:$AA$241,3,FALSE)</f>
        <v>Rutland</v>
      </c>
      <c r="D147" s="80" t="str">
        <f>VLOOKUP(A147,Registry!$A$4:$AA$241,4,FALSE)</f>
        <v>Castleton</v>
      </c>
      <c r="E147" s="80">
        <f>IF(VLOOKUP(A147,Registry!$A$4:$AA$241,7,FALSE)=0,"",VLOOKUP(A147,Registry!$A$4:$AA$241,7,FALSE))</f>
        <v>1966</v>
      </c>
      <c r="F147" s="80" t="str">
        <f>IF(VLOOKUP(A147,Registry!$A$4:$AA$241,20,FALSE)=0,"",VLOOKUP(A147,Registry!$A$4:$AA$241,20,FALSE))</f>
        <v>Cooperative</v>
      </c>
      <c r="G147" s="25">
        <v>2018</v>
      </c>
      <c r="H147" s="24">
        <f>VLOOKUP(A147,Registry!$A$4:$AA$241,21,FALSE)</f>
        <v>44</v>
      </c>
      <c r="I147" s="24">
        <f>VLOOKUP(A147,Registry!$A$4:$AA$241,24,FALSE)</f>
        <v>0</v>
      </c>
      <c r="J147" s="24">
        <f>VLOOKUP(A147,Registry!$A$4:$AA$241,26,FALSE)</f>
        <v>0</v>
      </c>
      <c r="K147" s="128">
        <v>0</v>
      </c>
      <c r="L147" s="128">
        <v>0</v>
      </c>
      <c r="M147" s="128">
        <v>0</v>
      </c>
      <c r="N147" s="128">
        <v>0</v>
      </c>
      <c r="O147" s="128">
        <v>0</v>
      </c>
      <c r="P147" s="128">
        <v>0</v>
      </c>
      <c r="Q147" s="28">
        <f>I147-Table4[[#This Row],[Park Owned6]]</f>
        <v>0</v>
      </c>
      <c r="R147" s="28">
        <f>J147-Table4[[#This Row],[Other Owned7]]</f>
        <v>0</v>
      </c>
      <c r="S147" s="24">
        <f>VLOOKUP($A147,Registry!$A$4:$AA$241,23,FALSE)</f>
        <v>0</v>
      </c>
      <c r="T147" s="61">
        <f t="shared" si="12"/>
        <v>0</v>
      </c>
      <c r="U147" s="35">
        <v>0</v>
      </c>
      <c r="V147" s="90">
        <v>0</v>
      </c>
      <c r="W147" s="86">
        <v>0</v>
      </c>
      <c r="X147" s="90">
        <v>0</v>
      </c>
      <c r="Y147" s="86">
        <v>0</v>
      </c>
      <c r="Z147" s="90">
        <v>0</v>
      </c>
      <c r="AA147" s="35">
        <f>Table4[[#This Row],['# Lots]]-Table4[[#This Row],['# Lots10]]</f>
        <v>0</v>
      </c>
      <c r="AB147" s="61">
        <f t="shared" si="13"/>
        <v>0</v>
      </c>
      <c r="AC147" s="35">
        <f>Table4[[#This Row],['# Lots]]-Table4[[#This Row],['# Lots14]]</f>
        <v>0</v>
      </c>
      <c r="AD147" s="61">
        <f t="shared" si="14"/>
        <v>0</v>
      </c>
      <c r="AE147" s="138">
        <v>44</v>
      </c>
      <c r="AF147" s="35">
        <v>44</v>
      </c>
      <c r="AG147" s="58">
        <v>44</v>
      </c>
      <c r="AH147" s="58">
        <v>43</v>
      </c>
      <c r="AI147" s="128">
        <f>Table4[[#This Row],[2022 Leased Lots20]]-Table4[[#This Row],[2019 Leased Lots23]]</f>
        <v>1</v>
      </c>
      <c r="AJ147" s="61">
        <f t="shared" si="15"/>
        <v>1</v>
      </c>
      <c r="AK147" s="139">
        <f>VLOOKUP($A147,Registry!$A$4:$AA$241,27,FALSE)</f>
        <v>360</v>
      </c>
      <c r="AL147" s="65">
        <v>350</v>
      </c>
      <c r="AM147" s="65">
        <v>350</v>
      </c>
      <c r="AN147" s="65">
        <v>350</v>
      </c>
      <c r="AO147" s="120">
        <f>IFERROR((AK147-Table4[[#This Row],[2019 Total Rent29]])/Table4[[#This Row],[2019 Total Rent29]], "-")</f>
        <v>2.8571428571428571E-2</v>
      </c>
    </row>
    <row r="148" spans="1:41" x14ac:dyDescent="0.25">
      <c r="A148" s="25">
        <v>135</v>
      </c>
      <c r="B148" s="54" t="str">
        <f>VLOOKUP(A148,Registry!$A$4:$AA$241,2,FALSE)</f>
        <v>Coburn Mobile Home Park</v>
      </c>
      <c r="C148" s="80" t="str">
        <f>VLOOKUP(A148,Registry!$A$4:$AA$241,3,FALSE)</f>
        <v>Rutland</v>
      </c>
      <c r="D148" s="80" t="str">
        <f>VLOOKUP(A148,Registry!$A$4:$AA$241,4,FALSE)</f>
        <v>Clarendon</v>
      </c>
      <c r="E148" s="80">
        <f>IF(VLOOKUP(A148,Registry!$A$4:$AA$241,7,FALSE)=0,"",VLOOKUP(A148,Registry!$A$4:$AA$241,7,FALSE))</f>
        <v>1960</v>
      </c>
      <c r="F148" s="80" t="str">
        <f>IF(VLOOKUP(A148,Registry!$A$4:$AA$241,20,FALSE)=0,"",VLOOKUP(A148,Registry!$A$4:$AA$241,20,FALSE))</f>
        <v>Non-profit</v>
      </c>
      <c r="G148" s="25">
        <v>1992</v>
      </c>
      <c r="H148" s="24">
        <f>VLOOKUP(A148,Registry!$A$4:$AA$241,21,FALSE)</f>
        <v>46</v>
      </c>
      <c r="I148" s="24">
        <f>VLOOKUP(A148,Registry!$A$4:$AA$241,24,FALSE)</f>
        <v>0</v>
      </c>
      <c r="J148" s="24">
        <f>VLOOKUP(A148,Registry!$A$4:$AA$241,26,FALSE)</f>
        <v>0</v>
      </c>
      <c r="K148" s="128">
        <v>2</v>
      </c>
      <c r="L148" s="128">
        <v>0</v>
      </c>
      <c r="M148" s="128">
        <v>4</v>
      </c>
      <c r="N148" s="128">
        <v>0</v>
      </c>
      <c r="O148" s="128">
        <v>2</v>
      </c>
      <c r="P148" s="128">
        <v>0</v>
      </c>
      <c r="Q148" s="28">
        <f>I148-Table4[[#This Row],[Park Owned6]]</f>
        <v>-2</v>
      </c>
      <c r="R148" s="28">
        <f>J148-Table4[[#This Row],[Other Owned7]]</f>
        <v>0</v>
      </c>
      <c r="S148" s="24">
        <f>VLOOKUP($A148,Registry!$A$4:$AA$241,23,FALSE)</f>
        <v>24</v>
      </c>
      <c r="T148" s="61">
        <f t="shared" si="12"/>
        <v>0.52173913043478259</v>
      </c>
      <c r="U148" s="35">
        <v>22</v>
      </c>
      <c r="V148" s="90">
        <v>0.47826086956521741</v>
      </c>
      <c r="W148" s="86">
        <v>19</v>
      </c>
      <c r="X148" s="90">
        <v>0.41299999999999998</v>
      </c>
      <c r="Y148" s="86">
        <v>17</v>
      </c>
      <c r="Z148" s="90">
        <v>0.37</v>
      </c>
      <c r="AA148" s="35">
        <f>Table4[[#This Row],['# Lots]]-Table4[[#This Row],['# Lots10]]</f>
        <v>2</v>
      </c>
      <c r="AB148" s="61">
        <f t="shared" si="13"/>
        <v>4.3478260869565216E-2</v>
      </c>
      <c r="AC148" s="35">
        <f>Table4[[#This Row],['# Lots]]-Table4[[#This Row],['# Lots14]]</f>
        <v>7</v>
      </c>
      <c r="AD148" s="61">
        <f t="shared" si="14"/>
        <v>0.15217391304347827</v>
      </c>
      <c r="AE148" s="138">
        <v>22</v>
      </c>
      <c r="AF148" s="35">
        <v>23</v>
      </c>
      <c r="AG148" s="58">
        <v>27</v>
      </c>
      <c r="AH148" s="58">
        <v>28</v>
      </c>
      <c r="AI148" s="128">
        <f>Table4[[#This Row],[2022 Leased Lots20]]-Table4[[#This Row],[2019 Leased Lots23]]</f>
        <v>-6</v>
      </c>
      <c r="AJ148" s="61">
        <f t="shared" si="15"/>
        <v>0.47826086956521741</v>
      </c>
      <c r="AK148" s="139">
        <f>VLOOKUP($A148,Registry!$A$4:$AA$241,27,FALSE)</f>
        <v>425</v>
      </c>
      <c r="AL148" s="65">
        <v>425</v>
      </c>
      <c r="AM148" s="65">
        <v>413</v>
      </c>
      <c r="AN148" s="65">
        <v>398</v>
      </c>
      <c r="AO148" s="120">
        <f>IFERROR((AK148-Table4[[#This Row],[2019 Total Rent29]])/Table4[[#This Row],[2019 Total Rent29]], "-")</f>
        <v>6.78391959798995E-2</v>
      </c>
    </row>
    <row r="149" spans="1:41" x14ac:dyDescent="0.25">
      <c r="A149" s="25">
        <v>301</v>
      </c>
      <c r="B149" s="54" t="str">
        <f>VLOOKUP(A149,Registry!$A$4:$AA$241,2,FALSE)</f>
        <v>Iroquois Village</v>
      </c>
      <c r="C149" s="80" t="str">
        <f>VLOOKUP(A149,Registry!$A$4:$AA$241,3,FALSE)</f>
        <v>Rutland</v>
      </c>
      <c r="D149" s="80" t="str">
        <f>VLOOKUP(A149,Registry!$A$4:$AA$241,4,FALSE)</f>
        <v>Clarendon</v>
      </c>
      <c r="E149" s="80">
        <f>IF(VLOOKUP(A149,Registry!$A$4:$AA$241,7,FALSE)=0,"",VLOOKUP(A149,Registry!$A$4:$AA$241,7,FALSE))</f>
        <v>1986</v>
      </c>
      <c r="F149" s="80" t="str">
        <f>IF(VLOOKUP(A149,Registry!$A$4:$AA$241,20,FALSE)=0,"",VLOOKUP(A149,Registry!$A$4:$AA$241,20,FALSE))</f>
        <v>For profit</v>
      </c>
      <c r="G149" s="25">
        <v>1986</v>
      </c>
      <c r="H149" s="24">
        <f>VLOOKUP(A149,Registry!$A$4:$AA$241,21,FALSE)</f>
        <v>6</v>
      </c>
      <c r="I149" s="24">
        <f>VLOOKUP(A149,Registry!$A$4:$AA$241,24,FALSE)</f>
        <v>0</v>
      </c>
      <c r="J149" s="24">
        <f>VLOOKUP(A149,Registry!$A$4:$AA$241,26,FALSE)</f>
        <v>0</v>
      </c>
      <c r="K149" s="128">
        <v>0</v>
      </c>
      <c r="L149" s="128">
        <v>0</v>
      </c>
      <c r="M149" s="128">
        <v>0</v>
      </c>
      <c r="N149" s="128">
        <v>0</v>
      </c>
      <c r="O149" s="128">
        <v>0</v>
      </c>
      <c r="P149" s="128">
        <v>0</v>
      </c>
      <c r="Q149" s="28">
        <f>I149-Table4[[#This Row],[Park Owned6]]</f>
        <v>0</v>
      </c>
      <c r="R149" s="28">
        <f>J149-Table4[[#This Row],[Other Owned7]]</f>
        <v>0</v>
      </c>
      <c r="S149" s="24">
        <f>VLOOKUP($A149,Registry!$A$4:$AA$241,23,FALSE)</f>
        <v>0</v>
      </c>
      <c r="T149" s="61">
        <f t="shared" si="12"/>
        <v>0</v>
      </c>
      <c r="U149" s="35">
        <v>0</v>
      </c>
      <c r="V149" s="90">
        <v>0</v>
      </c>
      <c r="W149" s="86">
        <v>0</v>
      </c>
      <c r="X149" s="90">
        <v>0</v>
      </c>
      <c r="Y149" s="86">
        <v>0</v>
      </c>
      <c r="Z149" s="90">
        <v>0</v>
      </c>
      <c r="AA149" s="35">
        <f>Table4[[#This Row],['# Lots]]-Table4[[#This Row],['# Lots10]]</f>
        <v>0</v>
      </c>
      <c r="AB149" s="61">
        <f t="shared" si="13"/>
        <v>0</v>
      </c>
      <c r="AC149" s="35">
        <f>Table4[[#This Row],['# Lots]]-Table4[[#This Row],['# Lots14]]</f>
        <v>0</v>
      </c>
      <c r="AD149" s="61">
        <f t="shared" si="14"/>
        <v>0</v>
      </c>
      <c r="AE149" s="138">
        <v>6</v>
      </c>
      <c r="AF149" s="35">
        <v>6</v>
      </c>
      <c r="AG149" s="58">
        <v>6</v>
      </c>
      <c r="AH149" s="58">
        <v>6</v>
      </c>
      <c r="AI149" s="128">
        <f>Table4[[#This Row],[2022 Leased Lots20]]-Table4[[#This Row],[2019 Leased Lots23]]</f>
        <v>0</v>
      </c>
      <c r="AJ149" s="61">
        <f t="shared" si="15"/>
        <v>1</v>
      </c>
      <c r="AK149" s="139">
        <f>VLOOKUP($A149,Registry!$A$4:$AA$241,27,FALSE)</f>
        <v>271</v>
      </c>
      <c r="AL149" s="65">
        <v>260</v>
      </c>
      <c r="AM149" s="65">
        <v>260</v>
      </c>
      <c r="AN149" s="65">
        <v>260</v>
      </c>
      <c r="AO149" s="120">
        <f>IFERROR((AK149-Table4[[#This Row],[2019 Total Rent29]])/Table4[[#This Row],[2019 Total Rent29]], "-")</f>
        <v>4.230769230769231E-2</v>
      </c>
    </row>
    <row r="150" spans="1:41" x14ac:dyDescent="0.25">
      <c r="A150" s="25">
        <v>302</v>
      </c>
      <c r="B150" s="54" t="str">
        <f>VLOOKUP(A150,Registry!$A$4:$AA$241,2,FALSE)</f>
        <v>Rabtoy MHP</v>
      </c>
      <c r="C150" s="80" t="str">
        <f>VLOOKUP(A150,Registry!$A$4:$AA$241,3,FALSE)</f>
        <v>Rutland</v>
      </c>
      <c r="D150" s="80" t="str">
        <f>VLOOKUP(A150,Registry!$A$4:$AA$241,4,FALSE)</f>
        <v>Clarendon</v>
      </c>
      <c r="E150" s="80">
        <f>IF(VLOOKUP(A150,Registry!$A$4:$AA$241,7,FALSE)=0,"",VLOOKUP(A150,Registry!$A$4:$AA$241,7,FALSE))</f>
        <v>1969</v>
      </c>
      <c r="F150" s="80" t="str">
        <f>IF(VLOOKUP(A150,Registry!$A$4:$AA$241,20,FALSE)=0,"",VLOOKUP(A150,Registry!$A$4:$AA$241,20,FALSE))</f>
        <v>For profit</v>
      </c>
      <c r="G150" s="25">
        <v>2022</v>
      </c>
      <c r="H150" s="24">
        <f>VLOOKUP(A150,Registry!$A$4:$AA$241,21,FALSE)</f>
        <v>9</v>
      </c>
      <c r="I150" s="24">
        <f>VLOOKUP(A150,Registry!$A$4:$AA$241,24,FALSE)</f>
        <v>2</v>
      </c>
      <c r="J150" s="24">
        <f>VLOOKUP(A150,Registry!$A$4:$AA$241,26,FALSE)</f>
        <v>1</v>
      </c>
      <c r="K150" s="128">
        <v>2</v>
      </c>
      <c r="L150" s="128">
        <v>0</v>
      </c>
      <c r="M150" s="128">
        <v>2</v>
      </c>
      <c r="N150" s="128">
        <v>0</v>
      </c>
      <c r="O150" s="128">
        <v>2</v>
      </c>
      <c r="P150" s="128">
        <v>0</v>
      </c>
      <c r="Q150" s="28">
        <f>I150-Table4[[#This Row],[Park Owned6]]</f>
        <v>0</v>
      </c>
      <c r="R150" s="28">
        <f>J150-Table4[[#This Row],[Other Owned7]]</f>
        <v>1</v>
      </c>
      <c r="S150" s="24">
        <f>VLOOKUP($A150,Registry!$A$4:$AA$241,23,FALSE)</f>
        <v>2</v>
      </c>
      <c r="T150" s="61">
        <f t="shared" si="12"/>
        <v>0.22222222222222221</v>
      </c>
      <c r="U150" s="35">
        <v>0</v>
      </c>
      <c r="V150" s="90">
        <v>0</v>
      </c>
      <c r="W150" s="86">
        <v>0</v>
      </c>
      <c r="X150" s="90">
        <v>0</v>
      </c>
      <c r="Y150" s="86">
        <v>0</v>
      </c>
      <c r="Z150" s="90">
        <v>0</v>
      </c>
      <c r="AA150" s="35">
        <f>Table4[[#This Row],['# Lots]]-Table4[[#This Row],['# Lots10]]</f>
        <v>2</v>
      </c>
      <c r="AB150" s="61">
        <f t="shared" si="13"/>
        <v>0.22222222222222221</v>
      </c>
      <c r="AC150" s="35">
        <f>Table4[[#This Row],['# Lots]]-Table4[[#This Row],['# Lots14]]</f>
        <v>2</v>
      </c>
      <c r="AD150" s="61">
        <f t="shared" si="14"/>
        <v>0.22222222222222221</v>
      </c>
      <c r="AE150" s="138">
        <v>8</v>
      </c>
      <c r="AF150" s="35">
        <v>8</v>
      </c>
      <c r="AG150" s="58">
        <v>8</v>
      </c>
      <c r="AH150" s="58">
        <v>8</v>
      </c>
      <c r="AI150" s="128">
        <f>Table4[[#This Row],[2022 Leased Lots20]]-Table4[[#This Row],[2019 Leased Lots23]]</f>
        <v>0</v>
      </c>
      <c r="AJ150" s="61">
        <f t="shared" si="15"/>
        <v>0.88888888888888884</v>
      </c>
      <c r="AK150" s="139">
        <f>VLOOKUP($A150,Registry!$A$4:$AA$241,27,FALSE)</f>
        <v>222.5</v>
      </c>
      <c r="AL150" s="65">
        <v>214</v>
      </c>
      <c r="AM150" s="65">
        <v>208</v>
      </c>
      <c r="AN150" s="65">
        <v>200</v>
      </c>
      <c r="AO150" s="120">
        <f>IFERROR((AK150-Table4[[#This Row],[2019 Total Rent29]])/Table4[[#This Row],[2019 Total Rent29]], "-")</f>
        <v>0.1125</v>
      </c>
    </row>
    <row r="151" spans="1:41" x14ac:dyDescent="0.25">
      <c r="A151" s="25">
        <v>318</v>
      </c>
      <c r="B151" s="54" t="str">
        <f>VLOOKUP(A151,Registry!$A$4:$AA$241,2,FALSE)</f>
        <v>Depot Street Fair Haven MHP</v>
      </c>
      <c r="C151" s="80" t="str">
        <f>VLOOKUP(A151,Registry!$A$4:$AA$241,3,FALSE)</f>
        <v>Rutland</v>
      </c>
      <c r="D151" s="80" t="str">
        <f>VLOOKUP(A151,Registry!$A$4:$AA$241,4,FALSE)</f>
        <v>Fair Haven</v>
      </c>
      <c r="E151" s="80">
        <f>IF(VLOOKUP(A151,Registry!$A$4:$AA$241,7,FALSE)=0,"",VLOOKUP(A151,Registry!$A$4:$AA$241,7,FALSE))</f>
        <v>1993</v>
      </c>
      <c r="F151" s="80" t="str">
        <f>IF(VLOOKUP(A151,Registry!$A$4:$AA$241,20,FALSE)=0,"",VLOOKUP(A151,Registry!$A$4:$AA$241,20,FALSE))</f>
        <v>For profit</v>
      </c>
      <c r="G151" s="25">
        <v>2012</v>
      </c>
      <c r="H151" s="24">
        <f>VLOOKUP(A151,Registry!$A$4:$AA$241,21,FALSE)</f>
        <v>3</v>
      </c>
      <c r="I151" s="24">
        <f>VLOOKUP(A151,Registry!$A$4:$AA$241,24,FALSE)</f>
        <v>2</v>
      </c>
      <c r="J151" s="24">
        <f>VLOOKUP(A151,Registry!$A$4:$AA$241,26,FALSE)</f>
        <v>0</v>
      </c>
      <c r="K151" s="128">
        <v>2</v>
      </c>
      <c r="L151" s="128">
        <v>0</v>
      </c>
      <c r="M151" s="128">
        <v>2</v>
      </c>
      <c r="N151" s="128">
        <v>0</v>
      </c>
      <c r="O151" s="128">
        <v>2</v>
      </c>
      <c r="P151" s="128">
        <v>0</v>
      </c>
      <c r="Q151" s="28">
        <f>I151-Table4[[#This Row],[Park Owned6]]</f>
        <v>0</v>
      </c>
      <c r="R151" s="28">
        <f>J151-Table4[[#This Row],[Other Owned7]]</f>
        <v>0</v>
      </c>
      <c r="S151" s="24">
        <f>VLOOKUP($A151,Registry!$A$4:$AA$241,23,FALSE)</f>
        <v>0</v>
      </c>
      <c r="T151" s="61">
        <f t="shared" si="12"/>
        <v>0</v>
      </c>
      <c r="U151" s="35">
        <v>0</v>
      </c>
      <c r="V151" s="90">
        <v>0</v>
      </c>
      <c r="W151" s="86">
        <v>0</v>
      </c>
      <c r="X151" s="90">
        <v>0</v>
      </c>
      <c r="Y151" s="86">
        <v>0</v>
      </c>
      <c r="Z151" s="90">
        <v>0</v>
      </c>
      <c r="AA151" s="35">
        <f>Table4[[#This Row],['# Lots]]-Table4[[#This Row],['# Lots10]]</f>
        <v>0</v>
      </c>
      <c r="AB151" s="61">
        <f t="shared" si="13"/>
        <v>0</v>
      </c>
      <c r="AC151" s="35">
        <f>Table4[[#This Row],['# Lots]]-Table4[[#This Row],['# Lots14]]</f>
        <v>0</v>
      </c>
      <c r="AD151" s="61">
        <f t="shared" si="14"/>
        <v>0</v>
      </c>
      <c r="AE151" s="138">
        <v>3</v>
      </c>
      <c r="AF151" s="35">
        <v>3</v>
      </c>
      <c r="AG151" s="58">
        <v>3</v>
      </c>
      <c r="AH151" s="58">
        <v>3</v>
      </c>
      <c r="AI151" s="128">
        <f>Table4[[#This Row],[2022 Leased Lots20]]-Table4[[#This Row],[2019 Leased Lots23]]</f>
        <v>0</v>
      </c>
      <c r="AJ151" s="61">
        <f t="shared" si="15"/>
        <v>1</v>
      </c>
      <c r="AK151" s="139">
        <f>VLOOKUP($A151,Registry!$A$4:$AA$241,27,FALSE)</f>
        <v>250</v>
      </c>
      <c r="AL151" s="65">
        <v>250</v>
      </c>
      <c r="AM151" s="65">
        <v>250</v>
      </c>
      <c r="AN151" s="65">
        <v>250</v>
      </c>
      <c r="AO151" s="120">
        <f>IFERROR((AK151-Table4[[#This Row],[2019 Total Rent29]])/Table4[[#This Row],[2019 Total Rent29]], "-")</f>
        <v>0</v>
      </c>
    </row>
    <row r="152" spans="1:41" x14ac:dyDescent="0.25">
      <c r="A152" s="25">
        <v>259</v>
      </c>
      <c r="B152" s="54" t="str">
        <f>VLOOKUP(A152,Registry!$A$4:$AA$241,2,FALSE)</f>
        <v>Green Mountain Mobile Manor</v>
      </c>
      <c r="C152" s="80" t="str">
        <f>VLOOKUP(A152,Registry!$A$4:$AA$241,3,FALSE)</f>
        <v>Rutland</v>
      </c>
      <c r="D152" s="80" t="str">
        <f>VLOOKUP(A152,Registry!$A$4:$AA$241,4,FALSE)</f>
        <v>Fair Haven</v>
      </c>
      <c r="E152" s="80">
        <f>IF(VLOOKUP(A152,Registry!$A$4:$AA$241,7,FALSE)=0,"",VLOOKUP(A152,Registry!$A$4:$AA$241,7,FALSE))</f>
        <v>1960</v>
      </c>
      <c r="F152" s="80" t="str">
        <f>IF(VLOOKUP(A152,Registry!$A$4:$AA$241,20,FALSE)=0,"",VLOOKUP(A152,Registry!$A$4:$AA$241,20,FALSE))</f>
        <v>For profit</v>
      </c>
      <c r="G152" s="25">
        <v>1978</v>
      </c>
      <c r="H152" s="24">
        <f>VLOOKUP(A152,Registry!$A$4:$AA$241,21,FALSE)</f>
        <v>20</v>
      </c>
      <c r="I152" s="24">
        <f>VLOOKUP(A152,Registry!$A$4:$AA$241,24,FALSE)</f>
        <v>5</v>
      </c>
      <c r="J152" s="24">
        <f>VLOOKUP(A152,Registry!$A$4:$AA$241,26,FALSE)</f>
        <v>4</v>
      </c>
      <c r="K152" s="128">
        <v>5</v>
      </c>
      <c r="L152" s="128">
        <v>4</v>
      </c>
      <c r="M152" s="128">
        <v>5</v>
      </c>
      <c r="N152" s="128">
        <v>4</v>
      </c>
      <c r="O152" s="128">
        <v>5</v>
      </c>
      <c r="P152" s="128">
        <v>4</v>
      </c>
      <c r="Q152" s="28">
        <f>I152-Table4[[#This Row],[Park Owned6]]</f>
        <v>0</v>
      </c>
      <c r="R152" s="28">
        <f>J152-Table4[[#This Row],[Other Owned7]]</f>
        <v>0</v>
      </c>
      <c r="S152" s="24">
        <f>VLOOKUP($A152,Registry!$A$4:$AA$241,23,FALSE)</f>
        <v>1</v>
      </c>
      <c r="T152" s="61">
        <f t="shared" si="12"/>
        <v>0.05</v>
      </c>
      <c r="U152" s="35">
        <v>1</v>
      </c>
      <c r="V152" s="90">
        <v>0.05</v>
      </c>
      <c r="W152" s="86">
        <v>1</v>
      </c>
      <c r="X152" s="90">
        <v>0.05</v>
      </c>
      <c r="Y152" s="86">
        <v>1</v>
      </c>
      <c r="Z152" s="90">
        <v>0.05</v>
      </c>
      <c r="AA152" s="35">
        <f>Table4[[#This Row],['# Lots]]-Table4[[#This Row],['# Lots10]]</f>
        <v>0</v>
      </c>
      <c r="AB152" s="61">
        <f t="shared" si="13"/>
        <v>0</v>
      </c>
      <c r="AC152" s="35">
        <f>Table4[[#This Row],['# Lots]]-Table4[[#This Row],['# Lots14]]</f>
        <v>0</v>
      </c>
      <c r="AD152" s="61">
        <f t="shared" si="14"/>
        <v>0</v>
      </c>
      <c r="AE152" s="138">
        <v>12</v>
      </c>
      <c r="AF152" s="35">
        <v>12</v>
      </c>
      <c r="AG152" s="58">
        <v>12</v>
      </c>
      <c r="AH152" s="58">
        <v>12</v>
      </c>
      <c r="AI152" s="128">
        <f>Table4[[#This Row],[2022 Leased Lots20]]-Table4[[#This Row],[2019 Leased Lots23]]</f>
        <v>0</v>
      </c>
      <c r="AJ152" s="61">
        <f t="shared" si="15"/>
        <v>0.6</v>
      </c>
      <c r="AK152" s="139">
        <f>VLOOKUP($A152,Registry!$A$4:$AA$241,27,FALSE)</f>
        <v>260</v>
      </c>
      <c r="AL152" s="65">
        <v>260</v>
      </c>
      <c r="AM152" s="65">
        <v>260</v>
      </c>
      <c r="AN152" s="65">
        <v>260</v>
      </c>
      <c r="AO152" s="120">
        <f>IFERROR((AK152-Table4[[#This Row],[2019 Total Rent29]])/Table4[[#This Row],[2019 Total Rent29]], "-")</f>
        <v>0</v>
      </c>
    </row>
    <row r="153" spans="1:41" x14ac:dyDescent="0.25">
      <c r="A153" s="25">
        <v>149</v>
      </c>
      <c r="B153" s="54" t="str">
        <f>VLOOKUP(A153,Registry!$A$4:$AA$241,2,FALSE)</f>
        <v>Haven Meadows</v>
      </c>
      <c r="C153" s="80" t="str">
        <f>VLOOKUP(A153,Registry!$A$4:$AA$241,3,FALSE)</f>
        <v>Rutland</v>
      </c>
      <c r="D153" s="80" t="str">
        <f>VLOOKUP(A153,Registry!$A$4:$AA$241,4,FALSE)</f>
        <v>Fair Haven</v>
      </c>
      <c r="E153" s="80">
        <f>IF(VLOOKUP(A153,Registry!$A$4:$AA$241,7,FALSE)=0,"",VLOOKUP(A153,Registry!$A$4:$AA$241,7,FALSE))</f>
        <v>1970</v>
      </c>
      <c r="F153" s="80" t="str">
        <f>IF(VLOOKUP(A153,Registry!$A$4:$AA$241,20,FALSE)=0,"",VLOOKUP(A153,Registry!$A$4:$AA$241,20,FALSE))</f>
        <v>Non-profit</v>
      </c>
      <c r="G153" s="25">
        <v>1994</v>
      </c>
      <c r="H153" s="24">
        <f>VLOOKUP(A153,Registry!$A$4:$AA$241,21,FALSE)</f>
        <v>18</v>
      </c>
      <c r="I153" s="24">
        <f>VLOOKUP(A153,Registry!$A$4:$AA$241,24,FALSE)</f>
        <v>0</v>
      </c>
      <c r="J153" s="24">
        <f>VLOOKUP(A153,Registry!$A$4:$AA$241,26,FALSE)</f>
        <v>0</v>
      </c>
      <c r="K153" s="128">
        <v>0</v>
      </c>
      <c r="L153" s="128">
        <v>0</v>
      </c>
      <c r="M153" s="128">
        <v>0</v>
      </c>
      <c r="N153" s="128">
        <v>1</v>
      </c>
      <c r="O153" s="128">
        <v>0</v>
      </c>
      <c r="P153" s="128">
        <v>0</v>
      </c>
      <c r="Q153" s="28">
        <f>I153-Table4[[#This Row],[Park Owned6]]</f>
        <v>0</v>
      </c>
      <c r="R153" s="28">
        <f>J153-Table4[[#This Row],[Other Owned7]]</f>
        <v>0</v>
      </c>
      <c r="S153" s="24">
        <f>VLOOKUP($A153,Registry!$A$4:$AA$241,23,FALSE)</f>
        <v>1</v>
      </c>
      <c r="T153" s="61">
        <f t="shared" si="12"/>
        <v>5.5555555555555552E-2</v>
      </c>
      <c r="U153" s="35">
        <v>2</v>
      </c>
      <c r="V153" s="90">
        <v>0.1111111111111111</v>
      </c>
      <c r="W153" s="86">
        <v>2</v>
      </c>
      <c r="X153" s="90">
        <v>0.111</v>
      </c>
      <c r="Y153" s="86">
        <v>2</v>
      </c>
      <c r="Z153" s="90">
        <v>0.111</v>
      </c>
      <c r="AA153" s="35">
        <f>Table4[[#This Row],['# Lots]]-Table4[[#This Row],['# Lots10]]</f>
        <v>-1</v>
      </c>
      <c r="AB153" s="61">
        <f t="shared" si="13"/>
        <v>-5.5555555555555552E-2</v>
      </c>
      <c r="AC153" s="35">
        <f>Table4[[#This Row],['# Lots]]-Table4[[#This Row],['# Lots14]]</f>
        <v>-1</v>
      </c>
      <c r="AD153" s="61">
        <f t="shared" si="14"/>
        <v>-5.5555555555555552E-2</v>
      </c>
      <c r="AE153" s="138">
        <v>16</v>
      </c>
      <c r="AF153" s="35">
        <v>16</v>
      </c>
      <c r="AG153" s="58">
        <v>16</v>
      </c>
      <c r="AH153" s="58">
        <v>17</v>
      </c>
      <c r="AI153" s="128">
        <f>Table4[[#This Row],[2022 Leased Lots20]]-Table4[[#This Row],[2019 Leased Lots23]]</f>
        <v>-1</v>
      </c>
      <c r="AJ153" s="61">
        <f t="shared" si="15"/>
        <v>0.88888888888888884</v>
      </c>
      <c r="AK153" s="139">
        <f>VLOOKUP($A153,Registry!$A$4:$AA$241,27,FALSE)</f>
        <v>300</v>
      </c>
      <c r="AL153" s="65">
        <v>295</v>
      </c>
      <c r="AM153" s="65">
        <v>290</v>
      </c>
      <c r="AN153" s="65">
        <v>285</v>
      </c>
      <c r="AO153" s="120">
        <f>IFERROR((AK153-Table4[[#This Row],[2019 Total Rent29]])/Table4[[#This Row],[2019 Total Rent29]], "-")</f>
        <v>5.2631578947368418E-2</v>
      </c>
    </row>
    <row r="154" spans="1:41" x14ac:dyDescent="0.25">
      <c r="A154" s="25">
        <v>288</v>
      </c>
      <c r="B154" s="54" t="str">
        <f>VLOOKUP(A154,Registry!$A$4:$AA$241,2,FALSE)</f>
        <v>Phelps Family Park</v>
      </c>
      <c r="C154" s="80" t="str">
        <f>VLOOKUP(A154,Registry!$A$4:$AA$241,3,FALSE)</f>
        <v>Rutland</v>
      </c>
      <c r="D154" s="80" t="str">
        <f>VLOOKUP(A154,Registry!$A$4:$AA$241,4,FALSE)</f>
        <v>Pittsford</v>
      </c>
      <c r="E154" s="80">
        <f>IF(VLOOKUP(A154,Registry!$A$4:$AA$241,7,FALSE)=0,"",VLOOKUP(A154,Registry!$A$4:$AA$241,7,FALSE))</f>
        <v>1993</v>
      </c>
      <c r="F154" s="80" t="str">
        <f>IF(VLOOKUP(A154,Registry!$A$4:$AA$241,20,FALSE)=0,"",VLOOKUP(A154,Registry!$A$4:$AA$241,20,FALSE))</f>
        <v>For profit</v>
      </c>
      <c r="G154" s="25">
        <v>1994</v>
      </c>
      <c r="H154" s="24">
        <f>VLOOKUP(A154,Registry!$A$4:$AA$241,21,FALSE)</f>
        <v>4</v>
      </c>
      <c r="I154" s="24">
        <f>VLOOKUP(A154,Registry!$A$4:$AA$241,24,FALSE)</f>
        <v>1</v>
      </c>
      <c r="J154" s="24">
        <f>VLOOKUP(A154,Registry!$A$4:$AA$241,26,FALSE)</f>
        <v>0</v>
      </c>
      <c r="K154" s="128">
        <v>1</v>
      </c>
      <c r="L154" s="128">
        <v>0</v>
      </c>
      <c r="M154" s="128">
        <v>1</v>
      </c>
      <c r="N154" s="128">
        <v>0</v>
      </c>
      <c r="O154" s="128">
        <v>1</v>
      </c>
      <c r="P154" s="128">
        <v>0</v>
      </c>
      <c r="Q154" s="28">
        <f>I154-Table4[[#This Row],[Park Owned6]]</f>
        <v>0</v>
      </c>
      <c r="R154" s="28">
        <f>J154-Table4[[#This Row],[Other Owned7]]</f>
        <v>0</v>
      </c>
      <c r="S154" s="24">
        <f>VLOOKUP($A154,Registry!$A$4:$AA$241,23,FALSE)</f>
        <v>0</v>
      </c>
      <c r="T154" s="61">
        <f t="shared" si="12"/>
        <v>0</v>
      </c>
      <c r="U154" s="35">
        <v>0</v>
      </c>
      <c r="V154" s="90">
        <v>0</v>
      </c>
      <c r="W154" s="86">
        <v>0</v>
      </c>
      <c r="X154" s="90">
        <v>0</v>
      </c>
      <c r="Y154" s="86">
        <v>0</v>
      </c>
      <c r="Z154" s="90">
        <v>0</v>
      </c>
      <c r="AA154" s="35">
        <f>Table4[[#This Row],['# Lots]]-Table4[[#This Row],['# Lots10]]</f>
        <v>0</v>
      </c>
      <c r="AB154" s="61">
        <f t="shared" si="13"/>
        <v>0</v>
      </c>
      <c r="AC154" s="35">
        <f>Table4[[#This Row],['# Lots]]-Table4[[#This Row],['# Lots14]]</f>
        <v>0</v>
      </c>
      <c r="AD154" s="61">
        <f t="shared" si="14"/>
        <v>0</v>
      </c>
      <c r="AE154" s="138">
        <v>4</v>
      </c>
      <c r="AF154" s="35">
        <v>4</v>
      </c>
      <c r="AG154" s="58">
        <v>4</v>
      </c>
      <c r="AH154" s="58">
        <v>4</v>
      </c>
      <c r="AI154" s="128">
        <f>Table4[[#This Row],[2022 Leased Lots20]]-Table4[[#This Row],[2019 Leased Lots23]]</f>
        <v>0</v>
      </c>
      <c r="AJ154" s="61">
        <f t="shared" si="15"/>
        <v>1</v>
      </c>
      <c r="AK154" s="139">
        <f>VLOOKUP($A154,Registry!$A$4:$AA$241,27,FALSE)</f>
        <v>202</v>
      </c>
      <c r="AL154" s="65">
        <v>202</v>
      </c>
      <c r="AM154" s="65">
        <v>202</v>
      </c>
      <c r="AN154" s="65">
        <v>195</v>
      </c>
      <c r="AO154" s="120">
        <f>IFERROR((AK154-Table4[[#This Row],[2019 Total Rent29]])/Table4[[#This Row],[2019 Total Rent29]], "-")</f>
        <v>3.5897435897435895E-2</v>
      </c>
    </row>
    <row r="155" spans="1:41" x14ac:dyDescent="0.25">
      <c r="A155" s="25">
        <v>184</v>
      </c>
      <c r="B155" s="54" t="str">
        <f>VLOOKUP(A155,Registry!$A$4:$AA$241,2,FALSE)</f>
        <v>Lennox Mobile Home Park</v>
      </c>
      <c r="C155" s="80" t="str">
        <f>VLOOKUP(A155,Registry!$A$4:$AA$241,3,FALSE)</f>
        <v>Rutland</v>
      </c>
      <c r="D155" s="80" t="str">
        <f>VLOOKUP(A155,Registry!$A$4:$AA$241,4,FALSE)</f>
        <v>Poultney</v>
      </c>
      <c r="E155" s="80">
        <f>IF(VLOOKUP(A155,Registry!$A$4:$AA$241,7,FALSE)=0,"",VLOOKUP(A155,Registry!$A$4:$AA$241,7,FALSE))</f>
        <v>1967</v>
      </c>
      <c r="F155" s="80" t="str">
        <f>IF(VLOOKUP(A155,Registry!$A$4:$AA$241,20,FALSE)=0,"",VLOOKUP(A155,Registry!$A$4:$AA$241,20,FALSE))</f>
        <v>For profit</v>
      </c>
      <c r="G155" s="25">
        <v>2004</v>
      </c>
      <c r="H155" s="24">
        <f>VLOOKUP(A155,Registry!$A$4:$AA$241,21,FALSE)</f>
        <v>14</v>
      </c>
      <c r="I155" s="24">
        <f>VLOOKUP(A155,Registry!$A$4:$AA$241,24,FALSE)</f>
        <v>4</v>
      </c>
      <c r="J155" s="24">
        <f>VLOOKUP(A155,Registry!$A$4:$AA$241,26,FALSE)</f>
        <v>2</v>
      </c>
      <c r="K155" s="128">
        <v>4</v>
      </c>
      <c r="L155" s="128">
        <v>2</v>
      </c>
      <c r="M155" s="128">
        <v>5</v>
      </c>
      <c r="N155" s="128">
        <v>2</v>
      </c>
      <c r="O155" s="128">
        <v>5</v>
      </c>
      <c r="P155" s="128">
        <v>2</v>
      </c>
      <c r="Q155" s="28">
        <f>I155-Table4[[#This Row],[Park Owned6]]</f>
        <v>-1</v>
      </c>
      <c r="R155" s="28">
        <f>J155-Table4[[#This Row],[Other Owned7]]</f>
        <v>0</v>
      </c>
      <c r="S155" s="24">
        <f>VLOOKUP($A155,Registry!$A$4:$AA$241,23,FALSE)</f>
        <v>5</v>
      </c>
      <c r="T155" s="61">
        <f t="shared" si="12"/>
        <v>0.35714285714285715</v>
      </c>
      <c r="U155" s="35">
        <v>5</v>
      </c>
      <c r="V155" s="90">
        <v>0.35714285714285715</v>
      </c>
      <c r="W155" s="86">
        <v>4</v>
      </c>
      <c r="X155" s="90">
        <v>0.28600000000000003</v>
      </c>
      <c r="Y155" s="86">
        <v>4</v>
      </c>
      <c r="Z155" s="90">
        <v>0.28600000000000003</v>
      </c>
      <c r="AA155" s="35">
        <f>Table4[[#This Row],['# Lots]]-Table4[[#This Row],['# Lots10]]</f>
        <v>0</v>
      </c>
      <c r="AB155" s="61">
        <f t="shared" si="13"/>
        <v>0</v>
      </c>
      <c r="AC155" s="35">
        <f>Table4[[#This Row],['# Lots]]-Table4[[#This Row],['# Lots14]]</f>
        <v>1</v>
      </c>
      <c r="AD155" s="61">
        <f t="shared" si="14"/>
        <v>7.1428571428571425E-2</v>
      </c>
      <c r="AE155" s="138">
        <v>1</v>
      </c>
      <c r="AF155" s="35">
        <v>1</v>
      </c>
      <c r="AG155" s="58">
        <v>2</v>
      </c>
      <c r="AH155" s="58">
        <v>2</v>
      </c>
      <c r="AI155" s="128">
        <f>Table4[[#This Row],[2022 Leased Lots20]]-Table4[[#This Row],[2019 Leased Lots23]]</f>
        <v>-1</v>
      </c>
      <c r="AJ155" s="61">
        <f t="shared" si="15"/>
        <v>7.1428571428571425E-2</v>
      </c>
      <c r="AK155" s="139">
        <f>VLOOKUP($A155,Registry!$A$4:$AA$241,27,FALSE)</f>
        <v>235</v>
      </c>
      <c r="AL155" s="65">
        <v>235</v>
      </c>
      <c r="AM155" s="65">
        <v>235</v>
      </c>
      <c r="AN155" s="65">
        <v>235</v>
      </c>
      <c r="AO155" s="120">
        <f>IFERROR((AK155-Table4[[#This Row],[2019 Total Rent29]])/Table4[[#This Row],[2019 Total Rent29]], "-")</f>
        <v>0</v>
      </c>
    </row>
    <row r="156" spans="1:41" x14ac:dyDescent="0.25">
      <c r="A156" s="25">
        <v>228</v>
      </c>
      <c r="B156" s="54" t="str">
        <f>VLOOKUP(A156,Registry!$A$4:$AA$241,2,FALSE)</f>
        <v>Allen Street Mobile Home Park</v>
      </c>
      <c r="C156" s="80" t="str">
        <f>VLOOKUP(A156,Registry!$A$4:$AA$241,3,FALSE)</f>
        <v>Rutland</v>
      </c>
      <c r="D156" s="80" t="str">
        <f>VLOOKUP(A156,Registry!$A$4:$AA$241,4,FALSE)</f>
        <v>Rutland</v>
      </c>
      <c r="E156" s="80">
        <f>IF(VLOOKUP(A156,Registry!$A$4:$AA$241,7,FALSE)=0,"",VLOOKUP(A156,Registry!$A$4:$AA$241,7,FALSE))</f>
        <v>1971</v>
      </c>
      <c r="F156" s="80" t="str">
        <f>IF(VLOOKUP(A156,Registry!$A$4:$AA$241,20,FALSE)=0,"",VLOOKUP(A156,Registry!$A$4:$AA$241,20,FALSE))</f>
        <v>For profit</v>
      </c>
      <c r="G156" s="25">
        <v>1970</v>
      </c>
      <c r="H156" s="24">
        <f>VLOOKUP(A156,Registry!$A$4:$AA$241,21,FALSE)</f>
        <v>18</v>
      </c>
      <c r="I156" s="24">
        <f>VLOOKUP(A156,Registry!$A$4:$AA$241,24,FALSE)</f>
        <v>0</v>
      </c>
      <c r="J156" s="24">
        <f>VLOOKUP(A156,Registry!$A$4:$AA$241,26,FALSE)</f>
        <v>0</v>
      </c>
      <c r="K156" s="128">
        <v>0</v>
      </c>
      <c r="L156" s="128">
        <v>0</v>
      </c>
      <c r="M156" s="128">
        <v>0</v>
      </c>
      <c r="N156" s="128">
        <v>0</v>
      </c>
      <c r="O156" s="128">
        <v>0</v>
      </c>
      <c r="P156" s="128">
        <v>0</v>
      </c>
      <c r="Q156" s="28">
        <f>I156-Table4[[#This Row],[Park Owned6]]</f>
        <v>0</v>
      </c>
      <c r="R156" s="28">
        <f>J156-Table4[[#This Row],[Other Owned7]]</f>
        <v>0</v>
      </c>
      <c r="S156" s="24">
        <f>VLOOKUP($A156,Registry!$A$4:$AA$241,23,FALSE)</f>
        <v>0</v>
      </c>
      <c r="T156" s="61">
        <f t="shared" si="12"/>
        <v>0</v>
      </c>
      <c r="U156" s="35">
        <v>0</v>
      </c>
      <c r="V156" s="90">
        <v>0</v>
      </c>
      <c r="W156" s="86">
        <v>0</v>
      </c>
      <c r="X156" s="90">
        <v>0</v>
      </c>
      <c r="Y156" s="86">
        <v>0</v>
      </c>
      <c r="Z156" s="90">
        <v>0</v>
      </c>
      <c r="AA156" s="35">
        <f>Table4[[#This Row],['# Lots]]-Table4[[#This Row],['# Lots10]]</f>
        <v>0</v>
      </c>
      <c r="AB156" s="61">
        <f t="shared" si="13"/>
        <v>0</v>
      </c>
      <c r="AC156" s="35">
        <f>Table4[[#This Row],['# Lots]]-Table4[[#This Row],['# Lots14]]</f>
        <v>0</v>
      </c>
      <c r="AD156" s="61">
        <f t="shared" si="14"/>
        <v>0</v>
      </c>
      <c r="AE156" s="138">
        <v>18</v>
      </c>
      <c r="AF156" s="35">
        <v>18</v>
      </c>
      <c r="AG156" s="58">
        <v>18</v>
      </c>
      <c r="AH156" s="58">
        <v>18</v>
      </c>
      <c r="AI156" s="128">
        <f>Table4[[#This Row],[2022 Leased Lots20]]-Table4[[#This Row],[2019 Leased Lots23]]</f>
        <v>0</v>
      </c>
      <c r="AJ156" s="61">
        <f t="shared" si="15"/>
        <v>1</v>
      </c>
      <c r="AK156" s="139">
        <f>VLOOKUP($A156,Registry!$A$4:$AA$241,27,FALSE)</f>
        <v>360</v>
      </c>
      <c r="AL156" s="65">
        <v>345</v>
      </c>
      <c r="AM156" s="65">
        <v>335</v>
      </c>
      <c r="AN156" s="65">
        <v>323</v>
      </c>
      <c r="AO156" s="120">
        <f>IFERROR((AK156-Table4[[#This Row],[2019 Total Rent29]])/Table4[[#This Row],[2019 Total Rent29]], "-")</f>
        <v>0.11455108359133127</v>
      </c>
    </row>
    <row r="157" spans="1:41" x14ac:dyDescent="0.25">
      <c r="A157" s="25">
        <v>212</v>
      </c>
      <c r="B157" s="54" t="str">
        <f>VLOOKUP(A157,Registry!$A$4:$AA$241,2,FALSE)</f>
        <v>Billings Mobile Manor</v>
      </c>
      <c r="C157" s="80" t="str">
        <f>VLOOKUP(A157,Registry!$A$4:$AA$241,3,FALSE)</f>
        <v>Rutland</v>
      </c>
      <c r="D157" s="80" t="str">
        <f>VLOOKUP(A157,Registry!$A$4:$AA$241,4,FALSE)</f>
        <v>Rutland</v>
      </c>
      <c r="E157" s="80">
        <f>IF(VLOOKUP(A157,Registry!$A$4:$AA$241,7,FALSE)=0,"",VLOOKUP(A157,Registry!$A$4:$AA$241,7,FALSE))</f>
        <v>1964</v>
      </c>
      <c r="F157" s="80" t="str">
        <f>IF(VLOOKUP(A157,Registry!$A$4:$AA$241,20,FALSE)=0,"",VLOOKUP(A157,Registry!$A$4:$AA$241,20,FALSE))</f>
        <v>For profit</v>
      </c>
      <c r="G157" s="25">
        <v>1996</v>
      </c>
      <c r="H157" s="24">
        <f>VLOOKUP(A157,Registry!$A$4:$AA$241,21,FALSE)</f>
        <v>36</v>
      </c>
      <c r="I157" s="24">
        <f>VLOOKUP(A157,Registry!$A$4:$AA$241,24,FALSE)</f>
        <v>1</v>
      </c>
      <c r="J157" s="24">
        <f>VLOOKUP(A157,Registry!$A$4:$AA$241,26,FALSE)</f>
        <v>0</v>
      </c>
      <c r="K157" s="128">
        <v>1</v>
      </c>
      <c r="L157" s="128">
        <v>0</v>
      </c>
      <c r="M157" s="128">
        <v>2</v>
      </c>
      <c r="N157" s="128">
        <v>1</v>
      </c>
      <c r="O157" s="128">
        <v>2</v>
      </c>
      <c r="P157" s="128">
        <v>0</v>
      </c>
      <c r="Q157" s="28">
        <f>I157-Table4[[#This Row],[Park Owned6]]</f>
        <v>-1</v>
      </c>
      <c r="R157" s="28">
        <f>J157-Table4[[#This Row],[Other Owned7]]</f>
        <v>0</v>
      </c>
      <c r="S157" s="24">
        <f>VLOOKUP($A157,Registry!$A$4:$AA$241,23,FALSE)</f>
        <v>1</v>
      </c>
      <c r="T157" s="61">
        <f t="shared" si="12"/>
        <v>2.7777777777777776E-2</v>
      </c>
      <c r="U157" s="35">
        <v>1</v>
      </c>
      <c r="V157" s="90">
        <v>2.7777777777777776E-2</v>
      </c>
      <c r="W157" s="86">
        <v>1</v>
      </c>
      <c r="X157" s="90">
        <v>2.8999999999999998E-2</v>
      </c>
      <c r="Y157" s="86">
        <v>1</v>
      </c>
      <c r="Z157" s="90">
        <v>2.7999999999999997E-2</v>
      </c>
      <c r="AA157" s="35">
        <f>Table4[[#This Row],['# Lots]]-Table4[[#This Row],['# Lots10]]</f>
        <v>0</v>
      </c>
      <c r="AB157" s="61">
        <f t="shared" si="13"/>
        <v>0</v>
      </c>
      <c r="AC157" s="35">
        <f>Table4[[#This Row],['# Lots]]-Table4[[#This Row],['# Lots14]]</f>
        <v>0</v>
      </c>
      <c r="AD157" s="61">
        <f t="shared" si="14"/>
        <v>0</v>
      </c>
      <c r="AE157" s="138">
        <v>34</v>
      </c>
      <c r="AF157" s="35">
        <v>31</v>
      </c>
      <c r="AG157" s="58">
        <v>33</v>
      </c>
      <c r="AH157" s="58">
        <v>33</v>
      </c>
      <c r="AI157" s="128">
        <f>Table4[[#This Row],[2022 Leased Lots20]]-Table4[[#This Row],[2019 Leased Lots23]]</f>
        <v>1</v>
      </c>
      <c r="AJ157" s="61">
        <f t="shared" si="15"/>
        <v>0.94444444444444442</v>
      </c>
      <c r="AK157" s="139">
        <f>VLOOKUP($A157,Registry!$A$4:$AA$241,27,FALSE)</f>
        <v>428</v>
      </c>
      <c r="AL157" s="65">
        <v>415</v>
      </c>
      <c r="AM157" s="65">
        <v>407</v>
      </c>
      <c r="AN157" s="65">
        <v>394</v>
      </c>
      <c r="AO157" s="120">
        <f>IFERROR((AK157-Table4[[#This Row],[2019 Total Rent29]])/Table4[[#This Row],[2019 Total Rent29]], "-")</f>
        <v>8.6294416243654817E-2</v>
      </c>
    </row>
    <row r="158" spans="1:41" x14ac:dyDescent="0.25">
      <c r="A158" s="25">
        <v>207</v>
      </c>
      <c r="B158" s="54" t="str">
        <f>VLOOKUP(A158,Registry!$A$4:$AA$241,2,FALSE)</f>
        <v>Brookside Mobile Home Park</v>
      </c>
      <c r="C158" s="80" t="str">
        <f>VLOOKUP(A158,Registry!$A$4:$AA$241,3,FALSE)</f>
        <v>Rutland</v>
      </c>
      <c r="D158" s="80" t="str">
        <f>VLOOKUP(A158,Registry!$A$4:$AA$241,4,FALSE)</f>
        <v>Rutland</v>
      </c>
      <c r="E158" s="80">
        <f>IF(VLOOKUP(A158,Registry!$A$4:$AA$241,7,FALSE)=0,"",VLOOKUP(A158,Registry!$A$4:$AA$241,7,FALSE))</f>
        <v>1978</v>
      </c>
      <c r="F158" s="80" t="str">
        <f>IF(VLOOKUP(A158,Registry!$A$4:$AA$241,20,FALSE)=0,"",VLOOKUP(A158,Registry!$A$4:$AA$241,20,FALSE))</f>
        <v>For profit</v>
      </c>
      <c r="G158" s="25">
        <v>0</v>
      </c>
      <c r="H158" s="24">
        <f>VLOOKUP(A158,Registry!$A$4:$AA$241,21,FALSE)</f>
        <v>26</v>
      </c>
      <c r="I158" s="24">
        <f>VLOOKUP(A158,Registry!$A$4:$AA$241,24,FALSE)</f>
        <v>0</v>
      </c>
      <c r="J158" s="24">
        <f>VLOOKUP(A158,Registry!$A$4:$AA$241,26,FALSE)</f>
        <v>0</v>
      </c>
      <c r="K158" s="128">
        <v>0</v>
      </c>
      <c r="L158" s="128">
        <v>0</v>
      </c>
      <c r="M158" s="128">
        <v>0</v>
      </c>
      <c r="N158" s="128">
        <v>0</v>
      </c>
      <c r="O158" s="128">
        <v>0</v>
      </c>
      <c r="P158" s="128">
        <v>0</v>
      </c>
      <c r="Q158" s="28">
        <f>I158-Table4[[#This Row],[Park Owned6]]</f>
        <v>0</v>
      </c>
      <c r="R158" s="28">
        <f>J158-Table4[[#This Row],[Other Owned7]]</f>
        <v>0</v>
      </c>
      <c r="S158" s="24">
        <f>VLOOKUP($A158,Registry!$A$4:$AA$241,23,FALSE)</f>
        <v>0</v>
      </c>
      <c r="T158" s="61">
        <f t="shared" si="12"/>
        <v>0</v>
      </c>
      <c r="U158" s="35">
        <v>0</v>
      </c>
      <c r="V158" s="90">
        <v>0</v>
      </c>
      <c r="W158" s="86">
        <v>0</v>
      </c>
      <c r="X158" s="90">
        <v>0</v>
      </c>
      <c r="Y158" s="86">
        <v>0</v>
      </c>
      <c r="Z158" s="90">
        <v>0</v>
      </c>
      <c r="AA158" s="35">
        <f>Table4[[#This Row],['# Lots]]-Table4[[#This Row],['# Lots10]]</f>
        <v>0</v>
      </c>
      <c r="AB158" s="61">
        <f t="shared" si="13"/>
        <v>0</v>
      </c>
      <c r="AC158" s="35">
        <f>Table4[[#This Row],['# Lots]]-Table4[[#This Row],['# Lots14]]</f>
        <v>0</v>
      </c>
      <c r="AD158" s="61">
        <f t="shared" si="14"/>
        <v>0</v>
      </c>
      <c r="AE158" s="138">
        <v>26</v>
      </c>
      <c r="AF158" s="35">
        <v>26</v>
      </c>
      <c r="AG158" s="58">
        <v>26</v>
      </c>
      <c r="AH158" s="58">
        <v>26</v>
      </c>
      <c r="AI158" s="128">
        <f>Table4[[#This Row],[2022 Leased Lots20]]-Table4[[#This Row],[2019 Leased Lots23]]</f>
        <v>0</v>
      </c>
      <c r="AJ158" s="61">
        <f t="shared" si="15"/>
        <v>1</v>
      </c>
      <c r="AK158" s="139">
        <f>VLOOKUP($A158,Registry!$A$4:$AA$241,27,FALSE)</f>
        <v>363</v>
      </c>
      <c r="AL158" s="65">
        <v>348</v>
      </c>
      <c r="AM158" s="65">
        <v>338</v>
      </c>
      <c r="AN158" s="65">
        <v>326</v>
      </c>
      <c r="AO158" s="120">
        <f>IFERROR((AK158-Table4[[#This Row],[2019 Total Rent29]])/Table4[[#This Row],[2019 Total Rent29]], "-")</f>
        <v>0.11349693251533742</v>
      </c>
    </row>
    <row r="159" spans="1:41" x14ac:dyDescent="0.25">
      <c r="A159" s="25">
        <v>215</v>
      </c>
      <c r="B159" s="54" t="str">
        <f>VLOOKUP(A159,Registry!$A$4:$AA$241,2,FALSE)</f>
        <v>Dorr Drive Mobile Home Park</v>
      </c>
      <c r="C159" s="80" t="str">
        <f>VLOOKUP(A159,Registry!$A$4:$AA$241,3,FALSE)</f>
        <v>Rutland</v>
      </c>
      <c r="D159" s="80" t="str">
        <f>VLOOKUP(A159,Registry!$A$4:$AA$241,4,FALSE)</f>
        <v>Rutland</v>
      </c>
      <c r="E159" s="80">
        <f>IF(VLOOKUP(A159,Registry!$A$4:$AA$241,7,FALSE)=0,"",VLOOKUP(A159,Registry!$A$4:$AA$241,7,FALSE))</f>
        <v>1975</v>
      </c>
      <c r="F159" s="80" t="str">
        <f>IF(VLOOKUP(A159,Registry!$A$4:$AA$241,20,FALSE)=0,"",VLOOKUP(A159,Registry!$A$4:$AA$241,20,FALSE))</f>
        <v>For profit</v>
      </c>
      <c r="G159" s="25">
        <v>1986</v>
      </c>
      <c r="H159" s="24">
        <f>VLOOKUP(A159,Registry!$A$4:$AA$241,21,FALSE)</f>
        <v>17</v>
      </c>
      <c r="I159" s="24">
        <f>VLOOKUP(A159,Registry!$A$4:$AA$241,24,FALSE)</f>
        <v>0</v>
      </c>
      <c r="J159" s="24">
        <f>VLOOKUP(A159,Registry!$A$4:$AA$241,26,FALSE)</f>
        <v>1</v>
      </c>
      <c r="K159" s="128">
        <v>0</v>
      </c>
      <c r="L159" s="128">
        <v>1</v>
      </c>
      <c r="M159" s="128">
        <v>0</v>
      </c>
      <c r="N159" s="128">
        <v>1</v>
      </c>
      <c r="O159" s="128">
        <v>0</v>
      </c>
      <c r="P159" s="128">
        <v>0</v>
      </c>
      <c r="Q159" s="28">
        <f>I159-Table4[[#This Row],[Park Owned6]]</f>
        <v>0</v>
      </c>
      <c r="R159" s="28">
        <f>J159-Table4[[#This Row],[Other Owned7]]</f>
        <v>1</v>
      </c>
      <c r="S159" s="24">
        <f>VLOOKUP($A159,Registry!$A$4:$AA$241,23,FALSE)</f>
        <v>1</v>
      </c>
      <c r="T159" s="61">
        <f t="shared" si="12"/>
        <v>5.8823529411764705E-2</v>
      </c>
      <c r="U159" s="35">
        <v>1</v>
      </c>
      <c r="V159" s="90">
        <v>5.8823529411764705E-2</v>
      </c>
      <c r="W159" s="86">
        <v>0</v>
      </c>
      <c r="X159" s="90">
        <v>0</v>
      </c>
      <c r="Y159" s="86">
        <v>1</v>
      </c>
      <c r="Z159" s="90">
        <v>5.9000000000000004E-2</v>
      </c>
      <c r="AA159" s="35">
        <f>Table4[[#This Row],['# Lots]]-Table4[[#This Row],['# Lots10]]</f>
        <v>0</v>
      </c>
      <c r="AB159" s="61">
        <f t="shared" si="13"/>
        <v>0</v>
      </c>
      <c r="AC159" s="35">
        <f>Table4[[#This Row],['# Lots]]-Table4[[#This Row],['# Lots14]]</f>
        <v>0</v>
      </c>
      <c r="AD159" s="61">
        <f t="shared" si="14"/>
        <v>0</v>
      </c>
      <c r="AE159" s="138">
        <v>15</v>
      </c>
      <c r="AF159" s="35">
        <v>15</v>
      </c>
      <c r="AG159" s="58">
        <v>16</v>
      </c>
      <c r="AH159" s="58">
        <v>16</v>
      </c>
      <c r="AI159" s="128">
        <f>Table4[[#This Row],[2022 Leased Lots20]]-Table4[[#This Row],[2019 Leased Lots23]]</f>
        <v>-1</v>
      </c>
      <c r="AJ159" s="61">
        <f t="shared" si="15"/>
        <v>0.88235294117647056</v>
      </c>
      <c r="AK159" s="139">
        <f>VLOOKUP($A159,Registry!$A$4:$AA$241,27,FALSE)</f>
        <v>355</v>
      </c>
      <c r="AL159" s="65">
        <v>345</v>
      </c>
      <c r="AM159" s="65">
        <v>345</v>
      </c>
      <c r="AN159" s="65">
        <v>330</v>
      </c>
      <c r="AO159" s="120">
        <f>IFERROR((AK159-Table4[[#This Row],[2019 Total Rent29]])/Table4[[#This Row],[2019 Total Rent29]], "-")</f>
        <v>7.575757575757576E-2</v>
      </c>
    </row>
    <row r="160" spans="1:41" x14ac:dyDescent="0.25">
      <c r="A160" s="25">
        <v>275</v>
      </c>
      <c r="B160" s="54" t="str">
        <f>VLOOKUP(A160,Registry!$A$4:$AA$241,2,FALSE)</f>
        <v>Mussey Street MHP</v>
      </c>
      <c r="C160" s="80" t="str">
        <f>VLOOKUP(A160,Registry!$A$4:$AA$241,3,FALSE)</f>
        <v>Rutland</v>
      </c>
      <c r="D160" s="80" t="str">
        <f>VLOOKUP(A160,Registry!$A$4:$AA$241,4,FALSE)</f>
        <v>Rutland</v>
      </c>
      <c r="E160" s="80">
        <f>IF(VLOOKUP(A160,Registry!$A$4:$AA$241,7,FALSE)=0,"",VLOOKUP(A160,Registry!$A$4:$AA$241,7,FALSE))</f>
        <v>1993</v>
      </c>
      <c r="F160" s="80" t="str">
        <f>IF(VLOOKUP(A160,Registry!$A$4:$AA$241,20,FALSE)=0,"",VLOOKUP(A160,Registry!$A$4:$AA$241,20,FALSE))</f>
        <v>Non-profit</v>
      </c>
      <c r="G160" s="25">
        <v>1993</v>
      </c>
      <c r="H160" s="24">
        <f>VLOOKUP(A160,Registry!$A$4:$AA$241,21,FALSE)</f>
        <v>14</v>
      </c>
      <c r="I160" s="24">
        <f>VLOOKUP(A160,Registry!$A$4:$AA$241,24,FALSE)</f>
        <v>0</v>
      </c>
      <c r="J160" s="24">
        <f>VLOOKUP(A160,Registry!$A$4:$AA$241,26,FALSE)</f>
        <v>0</v>
      </c>
      <c r="K160" s="128">
        <v>0</v>
      </c>
      <c r="L160" s="128">
        <v>0</v>
      </c>
      <c r="M160" s="128">
        <v>0</v>
      </c>
      <c r="N160" s="128">
        <v>0</v>
      </c>
      <c r="O160" s="128">
        <v>0</v>
      </c>
      <c r="P160" s="128">
        <v>0</v>
      </c>
      <c r="Q160" s="28">
        <f>I160-Table4[[#This Row],[Park Owned6]]</f>
        <v>0</v>
      </c>
      <c r="R160" s="28">
        <f>J160-Table4[[#This Row],[Other Owned7]]</f>
        <v>0</v>
      </c>
      <c r="S160" s="24">
        <f>VLOOKUP($A160,Registry!$A$4:$AA$241,23,FALSE)</f>
        <v>0</v>
      </c>
      <c r="T160" s="61">
        <f t="shared" si="12"/>
        <v>0</v>
      </c>
      <c r="U160" s="35">
        <v>1</v>
      </c>
      <c r="V160" s="90">
        <v>7.1428571428571425E-2</v>
      </c>
      <c r="W160" s="86">
        <v>1</v>
      </c>
      <c r="X160" s="90">
        <v>7.0999999999999994E-2</v>
      </c>
      <c r="Y160" s="86">
        <v>0</v>
      </c>
      <c r="Z160" s="90">
        <v>0</v>
      </c>
      <c r="AA160" s="35">
        <f>Table4[[#This Row],['# Lots]]-Table4[[#This Row],['# Lots10]]</f>
        <v>-1</v>
      </c>
      <c r="AB160" s="61">
        <f t="shared" si="13"/>
        <v>-7.1428571428571425E-2</v>
      </c>
      <c r="AC160" s="35">
        <f>Table4[[#This Row],['# Lots]]-Table4[[#This Row],['# Lots14]]</f>
        <v>0</v>
      </c>
      <c r="AD160" s="61">
        <f t="shared" si="14"/>
        <v>0</v>
      </c>
      <c r="AE160" s="138">
        <v>13</v>
      </c>
      <c r="AF160" s="35">
        <v>13</v>
      </c>
      <c r="AG160" s="58">
        <v>14</v>
      </c>
      <c r="AH160" s="58">
        <v>14</v>
      </c>
      <c r="AI160" s="128">
        <f>Table4[[#This Row],[2022 Leased Lots20]]-Table4[[#This Row],[2019 Leased Lots23]]</f>
        <v>-1</v>
      </c>
      <c r="AJ160" s="61">
        <f t="shared" si="15"/>
        <v>0.9285714285714286</v>
      </c>
      <c r="AK160" s="139">
        <f>VLOOKUP($A160,Registry!$A$4:$AA$241,27,FALSE)</f>
        <v>290</v>
      </c>
      <c r="AL160" s="65">
        <v>285</v>
      </c>
      <c r="AM160" s="65">
        <v>277</v>
      </c>
      <c r="AN160" s="65">
        <v>272</v>
      </c>
      <c r="AO160" s="120">
        <f>IFERROR((AK160-Table4[[#This Row],[2019 Total Rent29]])/Table4[[#This Row],[2019 Total Rent29]], "-")</f>
        <v>6.6176470588235295E-2</v>
      </c>
    </row>
    <row r="161" spans="1:41" x14ac:dyDescent="0.25">
      <c r="A161" s="25">
        <v>284</v>
      </c>
      <c r="B161" s="54" t="str">
        <f>VLOOKUP(A161,Registry!$A$4:$AA$241,2,FALSE)</f>
        <v>Mussey Street Park</v>
      </c>
      <c r="C161" s="80" t="str">
        <f>VLOOKUP(A161,Registry!$A$4:$AA$241,3,FALSE)</f>
        <v>Rutland</v>
      </c>
      <c r="D161" s="80" t="str">
        <f>VLOOKUP(A161,Registry!$A$4:$AA$241,4,FALSE)</f>
        <v>Rutland</v>
      </c>
      <c r="E161" s="80">
        <f>IF(VLOOKUP(A161,Registry!$A$4:$AA$241,7,FALSE)=0,"",VLOOKUP(A161,Registry!$A$4:$AA$241,7,FALSE))</f>
        <v>1970</v>
      </c>
      <c r="F161" s="80" t="str">
        <f>IF(VLOOKUP(A161,Registry!$A$4:$AA$241,20,FALSE)=0,"",VLOOKUP(A161,Registry!$A$4:$AA$241,20,FALSE))</f>
        <v>For profit</v>
      </c>
      <c r="G161" s="25">
        <v>1986</v>
      </c>
      <c r="H161" s="24">
        <f>VLOOKUP(A161,Registry!$A$4:$AA$241,21,FALSE)</f>
        <v>4</v>
      </c>
      <c r="I161" s="24">
        <f>VLOOKUP(A161,Registry!$A$4:$AA$241,24,FALSE)</f>
        <v>3</v>
      </c>
      <c r="J161" s="24">
        <f>VLOOKUP(A161,Registry!$A$4:$AA$241,26,FALSE)</f>
        <v>0</v>
      </c>
      <c r="K161" s="128">
        <v>3</v>
      </c>
      <c r="L161" s="128">
        <v>0</v>
      </c>
      <c r="M161" s="128">
        <v>3</v>
      </c>
      <c r="N161" s="128">
        <v>0</v>
      </c>
      <c r="O161" s="128">
        <v>3</v>
      </c>
      <c r="P161" s="128">
        <v>0</v>
      </c>
      <c r="Q161" s="28">
        <f>I161-Table4[[#This Row],[Park Owned6]]</f>
        <v>0</v>
      </c>
      <c r="R161" s="28">
        <f>J161-Table4[[#This Row],[Other Owned7]]</f>
        <v>0</v>
      </c>
      <c r="S161" s="24">
        <f>VLOOKUP($A161,Registry!$A$4:$AA$241,23,FALSE)</f>
        <v>0</v>
      </c>
      <c r="T161" s="61">
        <f t="shared" si="12"/>
        <v>0</v>
      </c>
      <c r="U161" s="35">
        <v>0</v>
      </c>
      <c r="V161" s="90">
        <v>0</v>
      </c>
      <c r="W161" s="86">
        <v>0</v>
      </c>
      <c r="X161" s="90">
        <v>0</v>
      </c>
      <c r="Y161" s="86">
        <v>0</v>
      </c>
      <c r="Z161" s="90">
        <v>0</v>
      </c>
      <c r="AA161" s="35">
        <f>Table4[[#This Row],['# Lots]]-Table4[[#This Row],['# Lots10]]</f>
        <v>0</v>
      </c>
      <c r="AB161" s="61">
        <f t="shared" si="13"/>
        <v>0</v>
      </c>
      <c r="AC161" s="35">
        <f>Table4[[#This Row],['# Lots]]-Table4[[#This Row],['# Lots14]]</f>
        <v>0</v>
      </c>
      <c r="AD161" s="61">
        <f t="shared" si="14"/>
        <v>0</v>
      </c>
      <c r="AE161" s="138">
        <v>4</v>
      </c>
      <c r="AF161" s="35">
        <v>4</v>
      </c>
      <c r="AG161" s="58">
        <v>4</v>
      </c>
      <c r="AH161" s="58">
        <v>4</v>
      </c>
      <c r="AI161" s="128">
        <f>Table4[[#This Row],[2022 Leased Lots20]]-Table4[[#This Row],[2019 Leased Lots23]]</f>
        <v>0</v>
      </c>
      <c r="AJ161" s="61">
        <f t="shared" si="15"/>
        <v>1</v>
      </c>
      <c r="AK161" s="139">
        <f>VLOOKUP($A161,Registry!$A$4:$AA$241,27,FALSE)</f>
        <v>310</v>
      </c>
      <c r="AL161" s="65">
        <v>310</v>
      </c>
      <c r="AM161" s="65">
        <v>310</v>
      </c>
      <c r="AN161" s="65">
        <v>300</v>
      </c>
      <c r="AO161" s="120">
        <f>IFERROR((AK161-Table4[[#This Row],[2019 Total Rent29]])/Table4[[#This Row],[2019 Total Rent29]], "-")</f>
        <v>3.3333333333333333E-2</v>
      </c>
    </row>
    <row r="162" spans="1:41" x14ac:dyDescent="0.25">
      <c r="A162" s="25">
        <v>213</v>
      </c>
      <c r="B162" s="54" t="str">
        <f>VLOOKUP(A162,Registry!$A$4:$AA$241,2,FALSE)</f>
        <v>Prestons Park</v>
      </c>
      <c r="C162" s="80" t="str">
        <f>VLOOKUP(A162,Registry!$A$4:$AA$241,3,FALSE)</f>
        <v>Rutland</v>
      </c>
      <c r="D162" s="80" t="str">
        <f>VLOOKUP(A162,Registry!$A$4:$AA$241,4,FALSE)</f>
        <v>Rutland</v>
      </c>
      <c r="E162" s="80">
        <f>IF(VLOOKUP(A162,Registry!$A$4:$AA$241,7,FALSE)=0,"",VLOOKUP(A162,Registry!$A$4:$AA$241,7,FALSE))</f>
        <v>1980</v>
      </c>
      <c r="F162" s="80" t="str">
        <f>IF(VLOOKUP(A162,Registry!$A$4:$AA$241,20,FALSE)=0,"",VLOOKUP(A162,Registry!$A$4:$AA$241,20,FALSE))</f>
        <v>For profit</v>
      </c>
      <c r="G162" s="25">
        <v>0</v>
      </c>
      <c r="H162" s="24">
        <f>VLOOKUP(A162,Registry!$A$4:$AA$241,21,FALSE)</f>
        <v>12</v>
      </c>
      <c r="I162" s="24">
        <f>VLOOKUP(A162,Registry!$A$4:$AA$241,24,FALSE)</f>
        <v>0</v>
      </c>
      <c r="J162" s="24">
        <f>VLOOKUP(A162,Registry!$A$4:$AA$241,26,FALSE)</f>
        <v>0</v>
      </c>
      <c r="K162" s="128">
        <v>0</v>
      </c>
      <c r="L162" s="128">
        <v>0</v>
      </c>
      <c r="M162" s="128">
        <v>0</v>
      </c>
      <c r="N162" s="128">
        <v>0</v>
      </c>
      <c r="O162" s="128">
        <v>0</v>
      </c>
      <c r="P162" s="128">
        <v>0</v>
      </c>
      <c r="Q162" s="28">
        <f>I162-Table4[[#This Row],[Park Owned6]]</f>
        <v>0</v>
      </c>
      <c r="R162" s="28">
        <f>J162-Table4[[#This Row],[Other Owned7]]</f>
        <v>0</v>
      </c>
      <c r="S162" s="24">
        <f>VLOOKUP($A162,Registry!$A$4:$AA$241,23,FALSE)</f>
        <v>0</v>
      </c>
      <c r="T162" s="61">
        <f t="shared" si="12"/>
        <v>0</v>
      </c>
      <c r="U162" s="35">
        <v>0</v>
      </c>
      <c r="V162" s="90">
        <v>0</v>
      </c>
      <c r="W162" s="86">
        <v>0</v>
      </c>
      <c r="X162" s="90">
        <v>0</v>
      </c>
      <c r="Y162" s="86">
        <v>0</v>
      </c>
      <c r="Z162" s="90">
        <v>0</v>
      </c>
      <c r="AA162" s="35">
        <f>Table4[[#This Row],['# Lots]]-Table4[[#This Row],['# Lots10]]</f>
        <v>0</v>
      </c>
      <c r="AB162" s="61">
        <f t="shared" si="13"/>
        <v>0</v>
      </c>
      <c r="AC162" s="35">
        <f>Table4[[#This Row],['# Lots]]-Table4[[#This Row],['# Lots14]]</f>
        <v>0</v>
      </c>
      <c r="AD162" s="61">
        <f t="shared" si="14"/>
        <v>0</v>
      </c>
      <c r="AE162" s="138">
        <v>12</v>
      </c>
      <c r="AF162" s="35">
        <v>12</v>
      </c>
      <c r="AG162" s="58">
        <v>12</v>
      </c>
      <c r="AH162" s="58">
        <v>12</v>
      </c>
      <c r="AI162" s="128">
        <f>Table4[[#This Row],[2022 Leased Lots20]]-Table4[[#This Row],[2019 Leased Lots23]]</f>
        <v>0</v>
      </c>
      <c r="AJ162" s="61">
        <f t="shared" si="15"/>
        <v>1</v>
      </c>
      <c r="AK162" s="139">
        <f>VLOOKUP($A162,Registry!$A$4:$AA$241,27,FALSE)</f>
        <v>428</v>
      </c>
      <c r="AL162" s="65">
        <v>415</v>
      </c>
      <c r="AM162" s="65">
        <v>407</v>
      </c>
      <c r="AN162" s="65">
        <v>394</v>
      </c>
      <c r="AO162" s="120">
        <f>IFERROR((AK162-Table4[[#This Row],[2019 Total Rent29]])/Table4[[#This Row],[2019 Total Rent29]], "-")</f>
        <v>8.6294416243654817E-2</v>
      </c>
    </row>
    <row r="163" spans="1:41" x14ac:dyDescent="0.25">
      <c r="A163" s="25">
        <v>208</v>
      </c>
      <c r="B163" s="54" t="str">
        <f>VLOOKUP(A163,Registry!$A$4:$AA$241,2,FALSE)</f>
        <v>T and C Corporation</v>
      </c>
      <c r="C163" s="80" t="str">
        <f>VLOOKUP(A163,Registry!$A$4:$AA$241,3,FALSE)</f>
        <v>Rutland</v>
      </c>
      <c r="D163" s="80" t="str">
        <f>VLOOKUP(A163,Registry!$A$4:$AA$241,4,FALSE)</f>
        <v>Rutland</v>
      </c>
      <c r="E163" s="80">
        <f>IF(VLOOKUP(A163,Registry!$A$4:$AA$241,7,FALSE)=0,"",VLOOKUP(A163,Registry!$A$4:$AA$241,7,FALSE))</f>
        <v>1956</v>
      </c>
      <c r="F163" s="80" t="str">
        <f>IF(VLOOKUP(A163,Registry!$A$4:$AA$241,20,FALSE)=0,"",VLOOKUP(A163,Registry!$A$4:$AA$241,20,FALSE))</f>
        <v>For profit</v>
      </c>
      <c r="G163" s="25">
        <v>2013</v>
      </c>
      <c r="H163" s="24">
        <f>VLOOKUP(A163,Registry!$A$4:$AA$241,21,FALSE)</f>
        <v>12</v>
      </c>
      <c r="I163" s="24">
        <f>VLOOKUP(A163,Registry!$A$4:$AA$241,24,FALSE)</f>
        <v>0</v>
      </c>
      <c r="J163" s="24">
        <f>VLOOKUP(A163,Registry!$A$4:$AA$241,26,FALSE)</f>
        <v>0</v>
      </c>
      <c r="K163" s="128">
        <v>0</v>
      </c>
      <c r="L163" s="128">
        <v>0</v>
      </c>
      <c r="M163" s="128">
        <v>0</v>
      </c>
      <c r="N163" s="128">
        <v>0</v>
      </c>
      <c r="O163" s="128">
        <v>0</v>
      </c>
      <c r="P163" s="128">
        <v>0</v>
      </c>
      <c r="Q163" s="28">
        <f>I163-Table4[[#This Row],[Park Owned6]]</f>
        <v>0</v>
      </c>
      <c r="R163" s="28">
        <f>J163-Table4[[#This Row],[Other Owned7]]</f>
        <v>0</v>
      </c>
      <c r="S163" s="24">
        <f>VLOOKUP($A163,Registry!$A$4:$AA$241,23,FALSE)</f>
        <v>0</v>
      </c>
      <c r="T163" s="61">
        <f t="shared" si="12"/>
        <v>0</v>
      </c>
      <c r="U163" s="35">
        <v>0</v>
      </c>
      <c r="V163" s="90">
        <v>0</v>
      </c>
      <c r="W163" s="86">
        <v>2</v>
      </c>
      <c r="X163" s="90">
        <v>0.16699999999999998</v>
      </c>
      <c r="Y163" s="86">
        <v>2</v>
      </c>
      <c r="Z163" s="90">
        <v>0.16699999999999998</v>
      </c>
      <c r="AA163" s="35">
        <f>Table4[[#This Row],['# Lots]]-Table4[[#This Row],['# Lots10]]</f>
        <v>0</v>
      </c>
      <c r="AB163" s="61">
        <f t="shared" si="13"/>
        <v>0</v>
      </c>
      <c r="AC163" s="35">
        <f>Table4[[#This Row],['# Lots]]-Table4[[#This Row],['# Lots14]]</f>
        <v>-2</v>
      </c>
      <c r="AD163" s="61">
        <f t="shared" si="14"/>
        <v>-0.16666666666666666</v>
      </c>
      <c r="AE163" s="138">
        <v>12</v>
      </c>
      <c r="AF163" s="35">
        <v>10</v>
      </c>
      <c r="AG163" s="58">
        <v>10</v>
      </c>
      <c r="AH163" s="58">
        <v>10</v>
      </c>
      <c r="AI163" s="128">
        <f>Table4[[#This Row],[2022 Leased Lots20]]-Table4[[#This Row],[2019 Leased Lots23]]</f>
        <v>2</v>
      </c>
      <c r="AJ163" s="61">
        <f t="shared" si="15"/>
        <v>1</v>
      </c>
      <c r="AK163" s="139">
        <f>VLOOKUP($A163,Registry!$A$4:$AA$241,27,FALSE)</f>
        <v>324</v>
      </c>
      <c r="AL163" s="65">
        <v>324</v>
      </c>
      <c r="AM163" s="65">
        <v>315</v>
      </c>
      <c r="AN163" s="65">
        <v>315</v>
      </c>
      <c r="AO163" s="120">
        <f>IFERROR((AK163-Table4[[#This Row],[2019 Total Rent29]])/Table4[[#This Row],[2019 Total Rent29]], "-")</f>
        <v>2.8571428571428571E-2</v>
      </c>
    </row>
    <row r="164" spans="1:41" x14ac:dyDescent="0.25">
      <c r="A164" s="25">
        <v>186</v>
      </c>
      <c r="B164" s="54" t="str">
        <f>VLOOKUP(A164,Registry!$A$4:$AA$241,2,FALSE)</f>
        <v>Lakes End Mobile Home Park</v>
      </c>
      <c r="C164" s="80" t="str">
        <f>VLOOKUP(A164,Registry!$A$4:$AA$241,3,FALSE)</f>
        <v>Rutland</v>
      </c>
      <c r="D164" s="80" t="str">
        <f>VLOOKUP(A164,Registry!$A$4:$AA$241,4,FALSE)</f>
        <v>Wells</v>
      </c>
      <c r="E164" s="80">
        <f>IF(VLOOKUP(A164,Registry!$A$4:$AA$241,7,FALSE)=0,"",VLOOKUP(A164,Registry!$A$4:$AA$241,7,FALSE))</f>
        <v>1955</v>
      </c>
      <c r="F164" s="80" t="str">
        <f>IF(VLOOKUP(A164,Registry!$A$4:$AA$241,20,FALSE)=0,"",VLOOKUP(A164,Registry!$A$4:$AA$241,20,FALSE))</f>
        <v>For profit</v>
      </c>
      <c r="G164" s="25">
        <v>2009</v>
      </c>
      <c r="H164" s="24">
        <f>VLOOKUP(A164,Registry!$A$4:$AA$241,21,FALSE)</f>
        <v>10</v>
      </c>
      <c r="I164" s="24">
        <f>VLOOKUP(A164,Registry!$A$4:$AA$241,24,FALSE)</f>
        <v>0</v>
      </c>
      <c r="J164" s="24">
        <f>VLOOKUP(A164,Registry!$A$4:$AA$241,26,FALSE)</f>
        <v>0</v>
      </c>
      <c r="K164" s="128">
        <v>0</v>
      </c>
      <c r="L164" s="128">
        <v>0</v>
      </c>
      <c r="M164" s="128">
        <v>0</v>
      </c>
      <c r="N164" s="128">
        <v>0</v>
      </c>
      <c r="O164" s="128">
        <v>0</v>
      </c>
      <c r="P164" s="128">
        <v>0</v>
      </c>
      <c r="Q164" s="28">
        <f>I164-Table4[[#This Row],[Park Owned6]]</f>
        <v>0</v>
      </c>
      <c r="R164" s="28">
        <f>J164-Table4[[#This Row],[Other Owned7]]</f>
        <v>0</v>
      </c>
      <c r="S164" s="24">
        <f>VLOOKUP($A164,Registry!$A$4:$AA$241,23,FALSE)</f>
        <v>0</v>
      </c>
      <c r="T164" s="61">
        <f t="shared" si="12"/>
        <v>0</v>
      </c>
      <c r="U164" s="35">
        <v>0</v>
      </c>
      <c r="V164" s="90">
        <v>0</v>
      </c>
      <c r="W164" s="86">
        <v>0</v>
      </c>
      <c r="X164" s="90">
        <v>0</v>
      </c>
      <c r="Y164" s="86">
        <v>0</v>
      </c>
      <c r="Z164" s="90">
        <v>0</v>
      </c>
      <c r="AA164" s="35">
        <f>Table4[[#This Row],['# Lots]]-Table4[[#This Row],['# Lots10]]</f>
        <v>0</v>
      </c>
      <c r="AB164" s="61">
        <f t="shared" ref="AB164:AB195" si="16">AA164/$H164</f>
        <v>0</v>
      </c>
      <c r="AC164" s="35">
        <f>Table4[[#This Row],['# Lots]]-Table4[[#This Row],['# Lots14]]</f>
        <v>0</v>
      </c>
      <c r="AD164" s="61">
        <f t="shared" ref="AD164:AD195" si="17">AC164/$H164</f>
        <v>0</v>
      </c>
      <c r="AE164" s="138">
        <v>10</v>
      </c>
      <c r="AF164" s="35">
        <v>10</v>
      </c>
      <c r="AG164" s="58">
        <v>10</v>
      </c>
      <c r="AH164" s="58">
        <v>10</v>
      </c>
      <c r="AI164" s="128">
        <f>Table4[[#This Row],[2022 Leased Lots20]]-Table4[[#This Row],[2019 Leased Lots23]]</f>
        <v>0</v>
      </c>
      <c r="AJ164" s="61">
        <f t="shared" si="15"/>
        <v>1</v>
      </c>
      <c r="AK164" s="139">
        <f>VLOOKUP($A164,Registry!$A$4:$AA$241,27,FALSE)</f>
        <v>267.72000000000003</v>
      </c>
      <c r="AL164" s="65">
        <v>256.19</v>
      </c>
      <c r="AM164" s="65">
        <v>248.49</v>
      </c>
      <c r="AN164" s="65">
        <v>239.39</v>
      </c>
      <c r="AO164" s="120">
        <f>IFERROR((AK164-Table4[[#This Row],[2019 Total Rent29]])/Table4[[#This Row],[2019 Total Rent29]], "-")</f>
        <v>0.11834245373658066</v>
      </c>
    </row>
    <row r="165" spans="1:41" x14ac:dyDescent="0.25">
      <c r="A165" s="25">
        <v>159</v>
      </c>
      <c r="B165" s="54" t="str">
        <f>VLOOKUP(A165,Registry!$A$4:$AA$241,2,FALSE)</f>
        <v>Bridge Street MHP</v>
      </c>
      <c r="C165" s="80" t="str">
        <f>VLOOKUP(A165,Registry!$A$4:$AA$241,3,FALSE)</f>
        <v>Washington</v>
      </c>
      <c r="D165" s="80" t="str">
        <f>VLOOKUP(A165,Registry!$A$4:$AA$241,4,FALSE)</f>
        <v>Barre</v>
      </c>
      <c r="E165" s="80">
        <f>IF(VLOOKUP(A165,Registry!$A$4:$AA$241,7,FALSE)=0,"",VLOOKUP(A165,Registry!$A$4:$AA$241,7,FALSE))</f>
        <v>1955</v>
      </c>
      <c r="F165" s="80" t="str">
        <f>IF(VLOOKUP(A165,Registry!$A$4:$AA$241,20,FALSE)=0,"",VLOOKUP(A165,Registry!$A$4:$AA$241,20,FALSE))</f>
        <v>Non-profit</v>
      </c>
      <c r="G165" s="25">
        <v>2001</v>
      </c>
      <c r="H165" s="24">
        <f>VLOOKUP(A165,Registry!$A$4:$AA$241,21,FALSE)</f>
        <v>8</v>
      </c>
      <c r="I165" s="24">
        <f>VLOOKUP(A165,Registry!$A$4:$AA$241,24,FALSE)</f>
        <v>0</v>
      </c>
      <c r="J165" s="24">
        <f>VLOOKUP(A165,Registry!$A$4:$AA$241,26,FALSE)</f>
        <v>0</v>
      </c>
      <c r="K165" s="128">
        <v>0</v>
      </c>
      <c r="L165" s="128">
        <v>0</v>
      </c>
      <c r="M165" s="128">
        <v>0</v>
      </c>
      <c r="N165" s="128">
        <v>0</v>
      </c>
      <c r="O165" s="128">
        <v>0</v>
      </c>
      <c r="P165" s="128">
        <v>0</v>
      </c>
      <c r="Q165" s="28">
        <f>I165-Table4[[#This Row],[Park Owned6]]</f>
        <v>0</v>
      </c>
      <c r="R165" s="28">
        <f>J165-Table4[[#This Row],[Other Owned7]]</f>
        <v>0</v>
      </c>
      <c r="S165" s="24">
        <f>VLOOKUP($A165,Registry!$A$4:$AA$241,23,FALSE)</f>
        <v>0</v>
      </c>
      <c r="T165" s="61">
        <f t="shared" si="12"/>
        <v>0</v>
      </c>
      <c r="U165" s="35">
        <v>0</v>
      </c>
      <c r="V165" s="90">
        <v>0</v>
      </c>
      <c r="W165" s="86">
        <v>0</v>
      </c>
      <c r="X165" s="90">
        <v>0</v>
      </c>
      <c r="Y165" s="86">
        <v>0</v>
      </c>
      <c r="Z165" s="90">
        <v>0</v>
      </c>
      <c r="AA165" s="35">
        <f>Table4[[#This Row],['# Lots]]-Table4[[#This Row],['# Lots10]]</f>
        <v>0</v>
      </c>
      <c r="AB165" s="61">
        <f t="shared" si="16"/>
        <v>0</v>
      </c>
      <c r="AC165" s="35">
        <f>Table4[[#This Row],['# Lots]]-Table4[[#This Row],['# Lots14]]</f>
        <v>0</v>
      </c>
      <c r="AD165" s="61">
        <f t="shared" si="17"/>
        <v>0</v>
      </c>
      <c r="AE165" s="138">
        <v>8</v>
      </c>
      <c r="AF165" s="35">
        <v>8</v>
      </c>
      <c r="AG165" s="58">
        <v>8</v>
      </c>
      <c r="AH165" s="58">
        <v>8</v>
      </c>
      <c r="AI165" s="128">
        <f>Table4[[#This Row],[2022 Leased Lots20]]-Table4[[#This Row],[2019 Leased Lots23]]</f>
        <v>0</v>
      </c>
      <c r="AJ165" s="61">
        <f t="shared" si="15"/>
        <v>1</v>
      </c>
      <c r="AK165" s="139">
        <f>VLOOKUP($A165,Registry!$A$4:$AA$241,27,FALSE)</f>
        <v>234</v>
      </c>
      <c r="AL165" s="65">
        <v>226</v>
      </c>
      <c r="AM165" s="65">
        <v>220</v>
      </c>
      <c r="AN165" s="65">
        <v>212</v>
      </c>
      <c r="AO165" s="120">
        <f>IFERROR((AK165-Table4[[#This Row],[2019 Total Rent29]])/Table4[[#This Row],[2019 Total Rent29]], "-")</f>
        <v>0.10377358490566038</v>
      </c>
    </row>
    <row r="166" spans="1:41" x14ac:dyDescent="0.25">
      <c r="A166" s="25">
        <v>161</v>
      </c>
      <c r="B166" s="54" t="str">
        <f>VLOOKUP(A166,Registry!$A$4:$AA$241,2,FALSE)</f>
        <v>East Barre Mobile Home Park</v>
      </c>
      <c r="C166" s="80" t="str">
        <f>VLOOKUP(A166,Registry!$A$4:$AA$241,3,FALSE)</f>
        <v>Washington</v>
      </c>
      <c r="D166" s="80" t="str">
        <f>VLOOKUP(A166,Registry!$A$4:$AA$241,4,FALSE)</f>
        <v>Barre</v>
      </c>
      <c r="E166" s="80">
        <f>IF(VLOOKUP(A166,Registry!$A$4:$AA$241,7,FALSE)=0,"",VLOOKUP(A166,Registry!$A$4:$AA$241,7,FALSE))</f>
        <v>1955</v>
      </c>
      <c r="F166" s="80" t="str">
        <f>IF(VLOOKUP(A166,Registry!$A$4:$AA$241,20,FALSE)=0,"",VLOOKUP(A166,Registry!$A$4:$AA$241,20,FALSE))</f>
        <v>For profit</v>
      </c>
      <c r="G166" s="25">
        <v>2013</v>
      </c>
      <c r="H166" s="24">
        <f>VLOOKUP(A166,Registry!$A$4:$AA$241,21,FALSE)</f>
        <v>7</v>
      </c>
      <c r="I166" s="24">
        <f>VLOOKUP(A166,Registry!$A$4:$AA$241,24,FALSE)</f>
        <v>2</v>
      </c>
      <c r="J166" s="24">
        <f>VLOOKUP(A166,Registry!$A$4:$AA$241,26,FALSE)</f>
        <v>0</v>
      </c>
      <c r="K166" s="128">
        <v>2</v>
      </c>
      <c r="L166" s="128">
        <v>0</v>
      </c>
      <c r="M166" s="128">
        <v>2</v>
      </c>
      <c r="N166" s="128">
        <v>0</v>
      </c>
      <c r="O166" s="128">
        <v>2</v>
      </c>
      <c r="P166" s="128">
        <v>0</v>
      </c>
      <c r="Q166" s="28">
        <f>I166-Table4[[#This Row],[Park Owned6]]</f>
        <v>0</v>
      </c>
      <c r="R166" s="28">
        <f>J166-Table4[[#This Row],[Other Owned7]]</f>
        <v>0</v>
      </c>
      <c r="S166" s="24">
        <f>VLOOKUP($A166,Registry!$A$4:$AA$241,23,FALSE)</f>
        <v>0</v>
      </c>
      <c r="T166" s="61">
        <f t="shared" si="12"/>
        <v>0</v>
      </c>
      <c r="U166" s="35">
        <v>0</v>
      </c>
      <c r="V166" s="90">
        <v>0</v>
      </c>
      <c r="W166" s="86">
        <v>0</v>
      </c>
      <c r="X166" s="90">
        <v>0</v>
      </c>
      <c r="Y166" s="86">
        <v>0</v>
      </c>
      <c r="Z166" s="90">
        <v>0</v>
      </c>
      <c r="AA166" s="35">
        <f>Table4[[#This Row],['# Lots]]-Table4[[#This Row],['# Lots10]]</f>
        <v>0</v>
      </c>
      <c r="AB166" s="61">
        <f t="shared" si="16"/>
        <v>0</v>
      </c>
      <c r="AC166" s="35">
        <f>Table4[[#This Row],['# Lots]]-Table4[[#This Row],['# Lots14]]</f>
        <v>0</v>
      </c>
      <c r="AD166" s="61">
        <f t="shared" si="17"/>
        <v>0</v>
      </c>
      <c r="AE166" s="138">
        <v>7</v>
      </c>
      <c r="AF166" s="35">
        <v>7</v>
      </c>
      <c r="AG166" s="58">
        <v>7</v>
      </c>
      <c r="AH166" s="58">
        <v>7</v>
      </c>
      <c r="AI166" s="128">
        <f>Table4[[#This Row],[2022 Leased Lots20]]-Table4[[#This Row],[2019 Leased Lots23]]</f>
        <v>0</v>
      </c>
      <c r="AJ166" s="61">
        <f t="shared" si="15"/>
        <v>1</v>
      </c>
      <c r="AK166" s="139">
        <f>VLOOKUP($A166,Registry!$A$4:$AA$241,27,FALSE)</f>
        <v>454</v>
      </c>
      <c r="AL166" s="65">
        <v>435</v>
      </c>
      <c r="AM166" s="65">
        <v>423</v>
      </c>
      <c r="AN166" s="65">
        <v>423</v>
      </c>
      <c r="AO166" s="120">
        <f>IFERROR((AK166-Table4[[#This Row],[2019 Total Rent29]])/Table4[[#This Row],[2019 Total Rent29]], "-")</f>
        <v>7.328605200945626E-2</v>
      </c>
    </row>
    <row r="167" spans="1:41" x14ac:dyDescent="0.25">
      <c r="A167" s="25">
        <v>162</v>
      </c>
      <c r="B167" s="54" t="str">
        <f>VLOOKUP(A167,Registry!$A$4:$AA$241,2,FALSE)</f>
        <v>Pleasant View Mobile Home Park</v>
      </c>
      <c r="C167" s="80" t="str">
        <f>VLOOKUP(A167,Registry!$A$4:$AA$241,3,FALSE)</f>
        <v>Washington</v>
      </c>
      <c r="D167" s="80" t="str">
        <f>VLOOKUP(A167,Registry!$A$4:$AA$241,4,FALSE)</f>
        <v>Barre</v>
      </c>
      <c r="E167" s="80">
        <f>IF(VLOOKUP(A167,Registry!$A$4:$AA$241,7,FALSE)=0,"",VLOOKUP(A167,Registry!$A$4:$AA$241,7,FALSE))</f>
        <v>1960</v>
      </c>
      <c r="F167" s="80" t="str">
        <f>IF(VLOOKUP(A167,Registry!$A$4:$AA$241,20,FALSE)=0,"",VLOOKUP(A167,Registry!$A$4:$AA$241,20,FALSE))</f>
        <v>For profit</v>
      </c>
      <c r="G167" s="25">
        <v>2013</v>
      </c>
      <c r="H167" s="24">
        <f>VLOOKUP(A167,Registry!$A$4:$AA$241,21,FALSE)</f>
        <v>21</v>
      </c>
      <c r="I167" s="24">
        <f>VLOOKUP(A167,Registry!$A$4:$AA$241,24,FALSE)</f>
        <v>7</v>
      </c>
      <c r="J167" s="24">
        <f>VLOOKUP(A167,Registry!$A$4:$AA$241,26,FALSE)</f>
        <v>0</v>
      </c>
      <c r="K167" s="128">
        <v>4</v>
      </c>
      <c r="L167" s="128">
        <v>0</v>
      </c>
      <c r="M167" s="128">
        <v>4</v>
      </c>
      <c r="N167" s="128">
        <v>0</v>
      </c>
      <c r="O167" s="128">
        <v>4</v>
      </c>
      <c r="P167" s="128">
        <v>0</v>
      </c>
      <c r="Q167" s="28">
        <f>I167-Table4[[#This Row],[Park Owned6]]</f>
        <v>3</v>
      </c>
      <c r="R167" s="28">
        <f>J167-Table4[[#This Row],[Other Owned7]]</f>
        <v>0</v>
      </c>
      <c r="S167" s="24">
        <f>VLOOKUP($A167,Registry!$A$4:$AA$241,23,FALSE)</f>
        <v>0</v>
      </c>
      <c r="T167" s="61">
        <f t="shared" si="12"/>
        <v>0</v>
      </c>
      <c r="U167" s="35">
        <v>0</v>
      </c>
      <c r="V167" s="90">
        <v>0</v>
      </c>
      <c r="W167" s="86">
        <v>0</v>
      </c>
      <c r="X167" s="90">
        <v>0</v>
      </c>
      <c r="Y167" s="86">
        <v>0</v>
      </c>
      <c r="Z167" s="90">
        <v>0</v>
      </c>
      <c r="AA167" s="35">
        <f>Table4[[#This Row],['# Lots]]-Table4[[#This Row],['# Lots10]]</f>
        <v>0</v>
      </c>
      <c r="AB167" s="61">
        <f t="shared" si="16"/>
        <v>0</v>
      </c>
      <c r="AC167" s="35">
        <f>Table4[[#This Row],['# Lots]]-Table4[[#This Row],['# Lots14]]</f>
        <v>0</v>
      </c>
      <c r="AD167" s="61">
        <f t="shared" si="17"/>
        <v>0</v>
      </c>
      <c r="AE167" s="138">
        <v>21</v>
      </c>
      <c r="AF167" s="35">
        <v>21</v>
      </c>
      <c r="AG167" s="58">
        <v>21</v>
      </c>
      <c r="AH167" s="58">
        <v>21</v>
      </c>
      <c r="AI167" s="128">
        <f>Table4[[#This Row],[2022 Leased Lots20]]-Table4[[#This Row],[2019 Leased Lots23]]</f>
        <v>0</v>
      </c>
      <c r="AJ167" s="61">
        <f t="shared" si="15"/>
        <v>1</v>
      </c>
      <c r="AK167" s="139">
        <f>VLOOKUP($A167,Registry!$A$4:$AA$241,27,FALSE)</f>
        <v>454</v>
      </c>
      <c r="AL167" s="65">
        <v>435</v>
      </c>
      <c r="AM167" s="65">
        <v>423</v>
      </c>
      <c r="AN167" s="65">
        <v>423</v>
      </c>
      <c r="AO167" s="120">
        <f>IFERROR((AK167-Table4[[#This Row],[2019 Total Rent29]])/Table4[[#This Row],[2019 Total Rent29]], "-")</f>
        <v>7.328605200945626E-2</v>
      </c>
    </row>
    <row r="168" spans="1:41" x14ac:dyDescent="0.25">
      <c r="A168" s="25">
        <v>131</v>
      </c>
      <c r="B168" s="54" t="str">
        <f>VLOOKUP(A168,Registry!$A$4:$AA$241,2,FALSE)</f>
        <v>Berlin Corner MHP</v>
      </c>
      <c r="C168" s="80" t="str">
        <f>VLOOKUP(A168,Registry!$A$4:$AA$241,3,FALSE)</f>
        <v>Washington</v>
      </c>
      <c r="D168" s="80" t="str">
        <f>VLOOKUP(A168,Registry!$A$4:$AA$241,4,FALSE)</f>
        <v>Berlin</v>
      </c>
      <c r="E168" s="80">
        <f>IF(VLOOKUP(A168,Registry!$A$4:$AA$241,7,FALSE)=0,"",VLOOKUP(A168,Registry!$A$4:$AA$241,7,FALSE))</f>
        <v>1964</v>
      </c>
      <c r="F168" s="80" t="str">
        <f>IF(VLOOKUP(A168,Registry!$A$4:$AA$241,20,FALSE)=0,"",VLOOKUP(A168,Registry!$A$4:$AA$241,20,FALSE))</f>
        <v>For profit</v>
      </c>
      <c r="G168" s="25">
        <v>2020</v>
      </c>
      <c r="H168" s="24">
        <f>VLOOKUP(A168,Registry!$A$4:$AA$241,21,FALSE)</f>
        <v>4</v>
      </c>
      <c r="I168" s="24">
        <f>VLOOKUP(A168,Registry!$A$4:$AA$241,24,FALSE)</f>
        <v>4</v>
      </c>
      <c r="J168" s="24">
        <f>VLOOKUP(A168,Registry!$A$4:$AA$241,26,FALSE)</f>
        <v>0</v>
      </c>
      <c r="K168" s="128">
        <v>4</v>
      </c>
      <c r="L168" s="128">
        <v>0</v>
      </c>
      <c r="M168" s="128">
        <v>0</v>
      </c>
      <c r="N168" s="128">
        <v>0</v>
      </c>
      <c r="O168" s="128">
        <v>0</v>
      </c>
      <c r="P168" s="128">
        <v>0</v>
      </c>
      <c r="Q168" s="28">
        <f>I168-Table4[[#This Row],[Park Owned6]]</f>
        <v>4</v>
      </c>
      <c r="R168" s="28">
        <f>J168-Table4[[#This Row],[Other Owned7]]</f>
        <v>0</v>
      </c>
      <c r="S168" s="24">
        <f>VLOOKUP($A168,Registry!$A$4:$AA$241,23,FALSE)</f>
        <v>0</v>
      </c>
      <c r="T168" s="61">
        <f t="shared" si="12"/>
        <v>0</v>
      </c>
      <c r="U168" s="35">
        <v>0</v>
      </c>
      <c r="V168" s="90">
        <v>0</v>
      </c>
      <c r="W168" s="86">
        <v>1</v>
      </c>
      <c r="X168" s="90">
        <v>0.25</v>
      </c>
      <c r="Y168" s="86">
        <v>1</v>
      </c>
      <c r="Z168" s="90">
        <v>0.25</v>
      </c>
      <c r="AA168" s="35">
        <f>Table4[[#This Row],['# Lots]]-Table4[[#This Row],['# Lots10]]</f>
        <v>0</v>
      </c>
      <c r="AB168" s="61">
        <f t="shared" si="16"/>
        <v>0</v>
      </c>
      <c r="AC168" s="35">
        <f>Table4[[#This Row],['# Lots]]-Table4[[#This Row],['# Lots14]]</f>
        <v>-1</v>
      </c>
      <c r="AD168" s="61">
        <f t="shared" si="17"/>
        <v>-0.25</v>
      </c>
      <c r="AE168" s="138">
        <v>4</v>
      </c>
      <c r="AF168" s="35">
        <v>3</v>
      </c>
      <c r="AG168" s="58">
        <v>3</v>
      </c>
      <c r="AH168" s="58">
        <v>3</v>
      </c>
      <c r="AI168" s="128">
        <f>Table4[[#This Row],[2022 Leased Lots20]]-Table4[[#This Row],[2019 Leased Lots23]]</f>
        <v>1</v>
      </c>
      <c r="AJ168" s="61">
        <f t="shared" si="15"/>
        <v>1</v>
      </c>
      <c r="AK168" s="139">
        <f>VLOOKUP($A168,Registry!$A$4:$AA$241,27,FALSE)</f>
        <v>0</v>
      </c>
      <c r="AL168" s="65">
        <v>0</v>
      </c>
      <c r="AM168" s="65">
        <v>360</v>
      </c>
      <c r="AN168" s="65">
        <v>360</v>
      </c>
      <c r="AO168" s="120"/>
    </row>
    <row r="169" spans="1:41" x14ac:dyDescent="0.25">
      <c r="A169" s="25">
        <v>154</v>
      </c>
      <c r="B169" s="54" t="str">
        <f>VLOOKUP(A169,Registry!$A$4:$AA$241,2,FALSE)</f>
        <v>Berlin Mobile Home Park</v>
      </c>
      <c r="C169" s="80" t="str">
        <f>VLOOKUP(A169,Registry!$A$4:$AA$241,3,FALSE)</f>
        <v>Washington</v>
      </c>
      <c r="D169" s="80" t="str">
        <f>VLOOKUP(A169,Registry!$A$4:$AA$241,4,FALSE)</f>
        <v>Berlin</v>
      </c>
      <c r="E169" s="80">
        <f>IF(VLOOKUP(A169,Registry!$A$4:$AA$241,7,FALSE)=0,"",VLOOKUP(A169,Registry!$A$4:$AA$241,7,FALSE))</f>
        <v>1965</v>
      </c>
      <c r="F169" s="80" t="str">
        <f>IF(VLOOKUP(A169,Registry!$A$4:$AA$241,20,FALSE)=0,"",VLOOKUP(A169,Registry!$A$4:$AA$241,20,FALSE))</f>
        <v>For profit</v>
      </c>
      <c r="G169" s="25">
        <v>2015</v>
      </c>
      <c r="H169" s="24">
        <f>VLOOKUP(A169,Registry!$A$4:$AA$241,21,FALSE)</f>
        <v>30</v>
      </c>
      <c r="I169" s="24">
        <f>VLOOKUP(A169,Registry!$A$4:$AA$241,24,FALSE)</f>
        <v>0</v>
      </c>
      <c r="J169" s="24">
        <f>VLOOKUP(A169,Registry!$A$4:$AA$241,26,FALSE)</f>
        <v>0</v>
      </c>
      <c r="K169" s="128">
        <v>0</v>
      </c>
      <c r="L169" s="128">
        <v>0</v>
      </c>
      <c r="M169" s="128">
        <v>0</v>
      </c>
      <c r="N169" s="128">
        <v>0</v>
      </c>
      <c r="O169" s="128">
        <v>0</v>
      </c>
      <c r="P169" s="128">
        <v>0</v>
      </c>
      <c r="Q169" s="28">
        <f>I169-Table4[[#This Row],[Park Owned6]]</f>
        <v>0</v>
      </c>
      <c r="R169" s="28">
        <f>J169-Table4[[#This Row],[Other Owned7]]</f>
        <v>0</v>
      </c>
      <c r="S169" s="24">
        <f>VLOOKUP($A169,Registry!$A$4:$AA$241,23,FALSE)</f>
        <v>1</v>
      </c>
      <c r="T169" s="61">
        <f t="shared" si="12"/>
        <v>3.3333333333333333E-2</v>
      </c>
      <c r="U169" s="35">
        <v>0</v>
      </c>
      <c r="V169" s="90">
        <v>0</v>
      </c>
      <c r="W169" s="86">
        <v>0</v>
      </c>
      <c r="X169" s="90">
        <v>0</v>
      </c>
      <c r="Y169" s="86">
        <v>0</v>
      </c>
      <c r="Z169" s="90">
        <v>0</v>
      </c>
      <c r="AA169" s="35">
        <f>Table4[[#This Row],['# Lots]]-Table4[[#This Row],['# Lots10]]</f>
        <v>1</v>
      </c>
      <c r="AB169" s="61">
        <f t="shared" si="16"/>
        <v>3.3333333333333333E-2</v>
      </c>
      <c r="AC169" s="35">
        <f>Table4[[#This Row],['# Lots]]-Table4[[#This Row],['# Lots14]]</f>
        <v>1</v>
      </c>
      <c r="AD169" s="61">
        <f t="shared" si="17"/>
        <v>3.3333333333333333E-2</v>
      </c>
      <c r="AE169" s="138">
        <v>30</v>
      </c>
      <c r="AF169" s="35">
        <v>30</v>
      </c>
      <c r="AG169" s="58">
        <v>30</v>
      </c>
      <c r="AH169" s="58">
        <v>30</v>
      </c>
      <c r="AI169" s="128">
        <f>Table4[[#This Row],[2022 Leased Lots20]]-Table4[[#This Row],[2019 Leased Lots23]]</f>
        <v>0</v>
      </c>
      <c r="AJ169" s="61">
        <f t="shared" si="15"/>
        <v>1</v>
      </c>
      <c r="AK169" s="139">
        <f>VLOOKUP($A169,Registry!$A$4:$AA$241,27,FALSE)</f>
        <v>453</v>
      </c>
      <c r="AL169" s="65">
        <v>434</v>
      </c>
      <c r="AM169" s="65">
        <v>422</v>
      </c>
      <c r="AN169" s="65">
        <v>406</v>
      </c>
      <c r="AO169" s="120">
        <f>IFERROR((AK169-Table4[[#This Row],[2019 Total Rent29]])/Table4[[#This Row],[2019 Total Rent29]], "-")</f>
        <v>0.11576354679802955</v>
      </c>
    </row>
    <row r="170" spans="1:41" x14ac:dyDescent="0.25">
      <c r="A170" s="25">
        <v>157</v>
      </c>
      <c r="B170" s="54" t="str">
        <f>VLOOKUP(A170,Registry!$A$4:$AA$241,2,FALSE)</f>
        <v>Crosstown Road Mobile Home Park</v>
      </c>
      <c r="C170" s="80" t="str">
        <f>VLOOKUP(A170,Registry!$A$4:$AA$241,3,FALSE)</f>
        <v>Washington</v>
      </c>
      <c r="D170" s="80" t="str">
        <f>VLOOKUP(A170,Registry!$A$4:$AA$241,4,FALSE)</f>
        <v>Berlin</v>
      </c>
      <c r="E170" s="80">
        <f>IF(VLOOKUP(A170,Registry!$A$4:$AA$241,7,FALSE)=0,"",VLOOKUP(A170,Registry!$A$4:$AA$241,7,FALSE))</f>
        <v>1965</v>
      </c>
      <c r="F170" s="80" t="str">
        <f>IF(VLOOKUP(A170,Registry!$A$4:$AA$241,20,FALSE)=0,"",VLOOKUP(A170,Registry!$A$4:$AA$241,20,FALSE))</f>
        <v>For profit</v>
      </c>
      <c r="G170" s="25">
        <v>1988</v>
      </c>
      <c r="H170" s="24">
        <f>VLOOKUP(A170,Registry!$A$4:$AA$241,21,FALSE)</f>
        <v>5</v>
      </c>
      <c r="I170" s="24">
        <f>VLOOKUP(A170,Registry!$A$4:$AA$241,24,FALSE)</f>
        <v>0</v>
      </c>
      <c r="J170" s="24">
        <f>VLOOKUP(A170,Registry!$A$4:$AA$241,26,FALSE)</f>
        <v>0</v>
      </c>
      <c r="K170" s="128">
        <v>0</v>
      </c>
      <c r="L170" s="128">
        <v>0</v>
      </c>
      <c r="M170" s="128">
        <v>0</v>
      </c>
      <c r="N170" s="128">
        <v>0</v>
      </c>
      <c r="O170" s="128">
        <v>0</v>
      </c>
      <c r="P170" s="128">
        <v>0</v>
      </c>
      <c r="Q170" s="28">
        <f>I170-Table4[[#This Row],[Park Owned6]]</f>
        <v>0</v>
      </c>
      <c r="R170" s="28">
        <f>J170-Table4[[#This Row],[Other Owned7]]</f>
        <v>0</v>
      </c>
      <c r="S170" s="24">
        <f>VLOOKUP($A170,Registry!$A$4:$AA$241,23,FALSE)</f>
        <v>0</v>
      </c>
      <c r="T170" s="61">
        <f t="shared" si="12"/>
        <v>0</v>
      </c>
      <c r="U170" s="35">
        <v>0</v>
      </c>
      <c r="V170" s="90">
        <v>0</v>
      </c>
      <c r="W170" s="86">
        <v>0</v>
      </c>
      <c r="X170" s="90">
        <v>0</v>
      </c>
      <c r="Y170" s="86">
        <v>0</v>
      </c>
      <c r="Z170" s="90">
        <v>0</v>
      </c>
      <c r="AA170" s="35">
        <f>Table4[[#This Row],['# Lots]]-Table4[[#This Row],['# Lots10]]</f>
        <v>0</v>
      </c>
      <c r="AB170" s="61">
        <f t="shared" si="16"/>
        <v>0</v>
      </c>
      <c r="AC170" s="35">
        <f>Table4[[#This Row],['# Lots]]-Table4[[#This Row],['# Lots14]]</f>
        <v>0</v>
      </c>
      <c r="AD170" s="61">
        <f t="shared" si="17"/>
        <v>0</v>
      </c>
      <c r="AE170" s="138">
        <v>5</v>
      </c>
      <c r="AF170" s="35">
        <v>5</v>
      </c>
      <c r="AG170" s="58">
        <v>5</v>
      </c>
      <c r="AH170" s="58">
        <v>5</v>
      </c>
      <c r="AI170" s="128">
        <f>Table4[[#This Row],[2022 Leased Lots20]]-Table4[[#This Row],[2019 Leased Lots23]]</f>
        <v>0</v>
      </c>
      <c r="AJ170" s="61">
        <f t="shared" si="15"/>
        <v>1</v>
      </c>
      <c r="AK170" s="139">
        <f>VLOOKUP($A170,Registry!$A$4:$AA$241,27,FALSE)</f>
        <v>494</v>
      </c>
      <c r="AL170" s="65">
        <v>473</v>
      </c>
      <c r="AM170" s="65">
        <v>460</v>
      </c>
      <c r="AN170" s="65">
        <v>443</v>
      </c>
      <c r="AO170" s="120">
        <f>IFERROR((AK170-Table4[[#This Row],[2019 Total Rent29]])/Table4[[#This Row],[2019 Total Rent29]], "-")</f>
        <v>0.11512415349887133</v>
      </c>
    </row>
    <row r="171" spans="1:41" x14ac:dyDescent="0.25">
      <c r="A171" s="25">
        <v>158</v>
      </c>
      <c r="B171" s="54" t="str">
        <f>VLOOKUP(A171,Registry!$A$4:$AA$241,2,FALSE)</f>
        <v>Eastwood Manor Mobile Home Park</v>
      </c>
      <c r="C171" s="80" t="str">
        <f>VLOOKUP(A171,Registry!$A$4:$AA$241,3,FALSE)</f>
        <v>Washington</v>
      </c>
      <c r="D171" s="80" t="str">
        <f>VLOOKUP(A171,Registry!$A$4:$AA$241,4,FALSE)</f>
        <v>Berlin</v>
      </c>
      <c r="E171" s="80">
        <f>IF(VLOOKUP(A171,Registry!$A$4:$AA$241,7,FALSE)=0,"",VLOOKUP(A171,Registry!$A$4:$AA$241,7,FALSE))</f>
        <v>1965</v>
      </c>
      <c r="F171" s="80" t="str">
        <f>IF(VLOOKUP(A171,Registry!$A$4:$AA$241,20,FALSE)=0,"",VLOOKUP(A171,Registry!$A$4:$AA$241,20,FALSE))</f>
        <v>For profit</v>
      </c>
      <c r="G171" s="25">
        <v>2015</v>
      </c>
      <c r="H171" s="24">
        <f>VLOOKUP(A171,Registry!$A$4:$AA$241,21,FALSE)</f>
        <v>9</v>
      </c>
      <c r="I171" s="24">
        <f>VLOOKUP(A171,Registry!$A$4:$AA$241,24,FALSE)</f>
        <v>0</v>
      </c>
      <c r="J171" s="24">
        <f>VLOOKUP(A171,Registry!$A$4:$AA$241,26,FALSE)</f>
        <v>0</v>
      </c>
      <c r="K171" s="128">
        <v>0</v>
      </c>
      <c r="L171" s="128">
        <v>0</v>
      </c>
      <c r="M171" s="128">
        <v>0</v>
      </c>
      <c r="N171" s="128">
        <v>0</v>
      </c>
      <c r="O171" s="128">
        <v>0</v>
      </c>
      <c r="P171" s="128">
        <v>0</v>
      </c>
      <c r="Q171" s="28">
        <f>I171-Table4[[#This Row],[Park Owned6]]</f>
        <v>0</v>
      </c>
      <c r="R171" s="28">
        <f>J171-Table4[[#This Row],[Other Owned7]]</f>
        <v>0</v>
      </c>
      <c r="S171" s="24">
        <f>VLOOKUP($A171,Registry!$A$4:$AA$241,23,FALSE)</f>
        <v>0</v>
      </c>
      <c r="T171" s="61">
        <f t="shared" si="12"/>
        <v>0</v>
      </c>
      <c r="U171" s="35">
        <v>0</v>
      </c>
      <c r="V171" s="90">
        <v>0</v>
      </c>
      <c r="W171" s="86">
        <v>0</v>
      </c>
      <c r="X171" s="90">
        <v>0</v>
      </c>
      <c r="Y171" s="86">
        <v>0</v>
      </c>
      <c r="Z171" s="90">
        <v>0</v>
      </c>
      <c r="AA171" s="35">
        <f>Table4[[#This Row],['# Lots]]-Table4[[#This Row],['# Lots10]]</f>
        <v>0</v>
      </c>
      <c r="AB171" s="61">
        <f t="shared" si="16"/>
        <v>0</v>
      </c>
      <c r="AC171" s="35">
        <f>Table4[[#This Row],['# Lots]]-Table4[[#This Row],['# Lots14]]</f>
        <v>0</v>
      </c>
      <c r="AD171" s="61">
        <f t="shared" si="17"/>
        <v>0</v>
      </c>
      <c r="AE171" s="138">
        <v>9</v>
      </c>
      <c r="AF171" s="35">
        <v>9</v>
      </c>
      <c r="AG171" s="58">
        <v>9</v>
      </c>
      <c r="AH171" s="58">
        <v>9</v>
      </c>
      <c r="AI171" s="128">
        <f>Table4[[#This Row],[2022 Leased Lots20]]-Table4[[#This Row],[2019 Leased Lots23]]</f>
        <v>0</v>
      </c>
      <c r="AJ171" s="61">
        <f t="shared" si="15"/>
        <v>1</v>
      </c>
      <c r="AK171" s="139">
        <f>VLOOKUP($A171,Registry!$A$4:$AA$241,27,FALSE)</f>
        <v>453</v>
      </c>
      <c r="AL171" s="65">
        <v>434</v>
      </c>
      <c r="AM171" s="65">
        <v>422</v>
      </c>
      <c r="AN171" s="65">
        <v>406</v>
      </c>
      <c r="AO171" s="120">
        <f>IFERROR((AK171-Table4[[#This Row],[2019 Total Rent29]])/Table4[[#This Row],[2019 Total Rent29]], "-")</f>
        <v>0.11576354679802955</v>
      </c>
    </row>
    <row r="172" spans="1:41" x14ac:dyDescent="0.25">
      <c r="A172" s="25">
        <v>132</v>
      </c>
      <c r="B172" s="54" t="str">
        <f>VLOOKUP(A172,Registry!$A$4:$AA$241,2,FALSE)</f>
        <v>LaGue Inc.</v>
      </c>
      <c r="C172" s="80" t="str">
        <f>VLOOKUP(A172,Registry!$A$4:$AA$241,3,FALSE)</f>
        <v>Washington</v>
      </c>
      <c r="D172" s="80" t="str">
        <f>VLOOKUP(A172,Registry!$A$4:$AA$241,4,FALSE)</f>
        <v>Berlin</v>
      </c>
      <c r="E172" s="80">
        <f>IF(VLOOKUP(A172,Registry!$A$4:$AA$241,7,FALSE)=0,"",VLOOKUP(A172,Registry!$A$4:$AA$241,7,FALSE))</f>
        <v>1967</v>
      </c>
      <c r="F172" s="80" t="str">
        <f>IF(VLOOKUP(A172,Registry!$A$4:$AA$241,20,FALSE)=0,"",VLOOKUP(A172,Registry!$A$4:$AA$241,20,FALSE))</f>
        <v>For profit</v>
      </c>
      <c r="G172" s="25">
        <v>1967</v>
      </c>
      <c r="H172" s="24">
        <f>VLOOKUP(A172,Registry!$A$4:$AA$241,21,FALSE)</f>
        <v>28</v>
      </c>
      <c r="I172" s="24">
        <f>VLOOKUP(A172,Registry!$A$4:$AA$241,24,FALSE)</f>
        <v>0</v>
      </c>
      <c r="J172" s="24">
        <f>VLOOKUP(A172,Registry!$A$4:$AA$241,26,FALSE)</f>
        <v>0</v>
      </c>
      <c r="K172" s="128">
        <v>0</v>
      </c>
      <c r="L172" s="128">
        <v>1</v>
      </c>
      <c r="M172" s="128">
        <v>0</v>
      </c>
      <c r="N172" s="128">
        <v>1</v>
      </c>
      <c r="O172" s="128">
        <v>0</v>
      </c>
      <c r="P172" s="128">
        <v>0</v>
      </c>
      <c r="Q172" s="28">
        <f>I172-Table4[[#This Row],[Park Owned6]]</f>
        <v>0</v>
      </c>
      <c r="R172" s="28">
        <f>J172-Table4[[#This Row],[Other Owned7]]</f>
        <v>0</v>
      </c>
      <c r="S172" s="24">
        <f>VLOOKUP($A172,Registry!$A$4:$AA$241,23,FALSE)</f>
        <v>0</v>
      </c>
      <c r="T172" s="61">
        <f t="shared" si="12"/>
        <v>0</v>
      </c>
      <c r="U172" s="35">
        <v>0</v>
      </c>
      <c r="V172" s="90">
        <v>0</v>
      </c>
      <c r="W172" s="86">
        <v>0</v>
      </c>
      <c r="X172" s="90">
        <v>0</v>
      </c>
      <c r="Y172" s="86">
        <v>0</v>
      </c>
      <c r="Z172" s="90">
        <v>0</v>
      </c>
      <c r="AA172" s="35">
        <f>Table4[[#This Row],['# Lots]]-Table4[[#This Row],['# Lots10]]</f>
        <v>0</v>
      </c>
      <c r="AB172" s="61">
        <f t="shared" si="16"/>
        <v>0</v>
      </c>
      <c r="AC172" s="35">
        <f>Table4[[#This Row],['# Lots]]-Table4[[#This Row],['# Lots14]]</f>
        <v>0</v>
      </c>
      <c r="AD172" s="61">
        <f t="shared" si="17"/>
        <v>0</v>
      </c>
      <c r="AE172" s="138">
        <v>28</v>
      </c>
      <c r="AF172" s="35">
        <v>28</v>
      </c>
      <c r="AG172" s="58">
        <v>29</v>
      </c>
      <c r="AH172" s="58">
        <v>32</v>
      </c>
      <c r="AI172" s="128">
        <f>Table4[[#This Row],[2022 Leased Lots20]]-Table4[[#This Row],[2019 Leased Lots23]]</f>
        <v>-4</v>
      </c>
      <c r="AJ172" s="61">
        <f t="shared" si="15"/>
        <v>1</v>
      </c>
      <c r="AK172" s="139">
        <f>VLOOKUP($A172,Registry!$A$4:$AA$241,27,FALSE)</f>
        <v>541.5</v>
      </c>
      <c r="AL172" s="65">
        <v>541.5</v>
      </c>
      <c r="AM172" s="65">
        <v>492</v>
      </c>
      <c r="AN172" s="65">
        <v>485</v>
      </c>
      <c r="AO172" s="120">
        <f>IFERROR((AK172-Table4[[#This Row],[2019 Total Rent29]])/Table4[[#This Row],[2019 Total Rent29]], "-")</f>
        <v>0.11649484536082474</v>
      </c>
    </row>
    <row r="173" spans="1:41" x14ac:dyDescent="0.25">
      <c r="A173" s="25">
        <v>155</v>
      </c>
      <c r="B173" s="54" t="str">
        <f>VLOOKUP(A173,Registry!$A$4:$AA$241,2,FALSE)</f>
        <v>River Run Mobile Home Park</v>
      </c>
      <c r="C173" s="80" t="str">
        <f>VLOOKUP(A173,Registry!$A$4:$AA$241,3,FALSE)</f>
        <v>Washington</v>
      </c>
      <c r="D173" s="80" t="str">
        <f>VLOOKUP(A173,Registry!$A$4:$AA$241,4,FALSE)</f>
        <v>Berlin</v>
      </c>
      <c r="E173" s="80">
        <f>IF(VLOOKUP(A173,Registry!$A$4:$AA$241,7,FALSE)=0,"",VLOOKUP(A173,Registry!$A$4:$AA$241,7,FALSE))</f>
        <v>1965</v>
      </c>
      <c r="F173" s="80" t="str">
        <f>IF(VLOOKUP(A173,Registry!$A$4:$AA$241,20,FALSE)=0,"",VLOOKUP(A173,Registry!$A$4:$AA$241,20,FALSE))</f>
        <v>For profit</v>
      </c>
      <c r="G173" s="25">
        <v>2015</v>
      </c>
      <c r="H173" s="24">
        <f>VLOOKUP(A173,Registry!$A$4:$AA$241,21,FALSE)</f>
        <v>35</v>
      </c>
      <c r="I173" s="24">
        <f>VLOOKUP(A173,Registry!$A$4:$AA$241,24,FALSE)</f>
        <v>0</v>
      </c>
      <c r="J173" s="24">
        <f>VLOOKUP(A173,Registry!$A$4:$AA$241,26,FALSE)</f>
        <v>0</v>
      </c>
      <c r="K173" s="128">
        <v>0</v>
      </c>
      <c r="L173" s="128">
        <v>0</v>
      </c>
      <c r="M173" s="128">
        <v>0</v>
      </c>
      <c r="N173" s="128">
        <v>0</v>
      </c>
      <c r="O173" s="128">
        <v>0</v>
      </c>
      <c r="P173" s="128">
        <v>0</v>
      </c>
      <c r="Q173" s="28">
        <f>I173-Table4[[#This Row],[Park Owned6]]</f>
        <v>0</v>
      </c>
      <c r="R173" s="28">
        <f>J173-Table4[[#This Row],[Other Owned7]]</f>
        <v>0</v>
      </c>
      <c r="S173" s="24">
        <f>VLOOKUP($A173,Registry!$A$4:$AA$241,23,FALSE)</f>
        <v>27</v>
      </c>
      <c r="T173" s="61">
        <f t="shared" si="12"/>
        <v>0.77142857142857146</v>
      </c>
      <c r="U173" s="35">
        <v>27</v>
      </c>
      <c r="V173" s="90">
        <v>0.77142857142857146</v>
      </c>
      <c r="W173" s="86">
        <v>26</v>
      </c>
      <c r="X173" s="90">
        <v>0.74299999999999999</v>
      </c>
      <c r="Y173" s="86">
        <v>26</v>
      </c>
      <c r="Z173" s="90">
        <v>0.74299999999999999</v>
      </c>
      <c r="AA173" s="35">
        <f>Table4[[#This Row],['# Lots]]-Table4[[#This Row],['# Lots10]]</f>
        <v>0</v>
      </c>
      <c r="AB173" s="61">
        <f t="shared" si="16"/>
        <v>0</v>
      </c>
      <c r="AC173" s="35">
        <f>Table4[[#This Row],['# Lots]]-Table4[[#This Row],['# Lots14]]</f>
        <v>1</v>
      </c>
      <c r="AD173" s="61">
        <f t="shared" si="17"/>
        <v>2.8571428571428571E-2</v>
      </c>
      <c r="AE173" s="138">
        <v>8</v>
      </c>
      <c r="AF173" s="35">
        <v>9</v>
      </c>
      <c r="AG173" s="58">
        <v>9</v>
      </c>
      <c r="AH173" s="58">
        <v>9</v>
      </c>
      <c r="AI173" s="128">
        <f>Table4[[#This Row],[2022 Leased Lots20]]-Table4[[#This Row],[2019 Leased Lots23]]</f>
        <v>-1</v>
      </c>
      <c r="AJ173" s="61">
        <f t="shared" si="15"/>
        <v>0.22857142857142856</v>
      </c>
      <c r="AK173" s="139">
        <f>VLOOKUP($A173,Registry!$A$4:$AA$241,27,FALSE)</f>
        <v>453</v>
      </c>
      <c r="AL173" s="65">
        <v>434</v>
      </c>
      <c r="AM173" s="65">
        <v>422</v>
      </c>
      <c r="AN173" s="65">
        <v>406</v>
      </c>
      <c r="AO173" s="120">
        <f>IFERROR((AK173-Table4[[#This Row],[2019 Total Rent29]])/Table4[[#This Row],[2019 Total Rent29]], "-")</f>
        <v>0.11576354679802955</v>
      </c>
    </row>
    <row r="174" spans="1:41" x14ac:dyDescent="0.25">
      <c r="A174" s="25">
        <v>156</v>
      </c>
      <c r="B174" s="54" t="str">
        <f>VLOOKUP(A174,Registry!$A$4:$AA$241,2,FALSE)</f>
        <v>RMC Mobile Home Park</v>
      </c>
      <c r="C174" s="80" t="str">
        <f>VLOOKUP(A174,Registry!$A$4:$AA$241,3,FALSE)</f>
        <v>Washington</v>
      </c>
      <c r="D174" s="80" t="str">
        <f>VLOOKUP(A174,Registry!$A$4:$AA$241,4,FALSE)</f>
        <v>Berlin</v>
      </c>
      <c r="E174" s="80">
        <f>IF(VLOOKUP(A174,Registry!$A$4:$AA$241,7,FALSE)=0,"",VLOOKUP(A174,Registry!$A$4:$AA$241,7,FALSE))</f>
        <v>1965</v>
      </c>
      <c r="F174" s="80" t="str">
        <f>IF(VLOOKUP(A174,Registry!$A$4:$AA$241,20,FALSE)=0,"",VLOOKUP(A174,Registry!$A$4:$AA$241,20,FALSE))</f>
        <v>For profit</v>
      </c>
      <c r="G174" s="25">
        <v>2015</v>
      </c>
      <c r="H174" s="24">
        <f>VLOOKUP(A174,Registry!$A$4:$AA$241,21,FALSE)</f>
        <v>23</v>
      </c>
      <c r="I174" s="24">
        <f>VLOOKUP(A174,Registry!$A$4:$AA$241,24,FALSE)</f>
        <v>0</v>
      </c>
      <c r="J174" s="24">
        <f>VLOOKUP(A174,Registry!$A$4:$AA$241,26,FALSE)</f>
        <v>0</v>
      </c>
      <c r="K174" s="128">
        <v>0</v>
      </c>
      <c r="L174" s="128">
        <v>0</v>
      </c>
      <c r="M174" s="128">
        <v>0</v>
      </c>
      <c r="N174" s="128">
        <v>0</v>
      </c>
      <c r="O174" s="128">
        <v>0</v>
      </c>
      <c r="P174" s="128">
        <v>0</v>
      </c>
      <c r="Q174" s="28">
        <f>I174-Table4[[#This Row],[Park Owned6]]</f>
        <v>0</v>
      </c>
      <c r="R174" s="28">
        <f>J174-Table4[[#This Row],[Other Owned7]]</f>
        <v>0</v>
      </c>
      <c r="S174" s="24">
        <f>VLOOKUP($A174,Registry!$A$4:$AA$241,23,FALSE)</f>
        <v>1</v>
      </c>
      <c r="T174" s="61">
        <f t="shared" si="12"/>
        <v>4.3478260869565216E-2</v>
      </c>
      <c r="U174" s="35">
        <v>1</v>
      </c>
      <c r="V174" s="90">
        <v>4.3478260869565216E-2</v>
      </c>
      <c r="W174" s="86">
        <v>1</v>
      </c>
      <c r="X174" s="90">
        <v>4.2999999999999997E-2</v>
      </c>
      <c r="Y174" s="86">
        <v>1</v>
      </c>
      <c r="Z174" s="90">
        <v>4.2999999999999997E-2</v>
      </c>
      <c r="AA174" s="35">
        <f>Table4[[#This Row],['# Lots]]-Table4[[#This Row],['# Lots10]]</f>
        <v>0</v>
      </c>
      <c r="AB174" s="61">
        <f t="shared" si="16"/>
        <v>0</v>
      </c>
      <c r="AC174" s="35">
        <f>Table4[[#This Row],['# Lots]]-Table4[[#This Row],['# Lots14]]</f>
        <v>0</v>
      </c>
      <c r="AD174" s="61">
        <f t="shared" si="17"/>
        <v>0</v>
      </c>
      <c r="AE174" s="138">
        <v>22</v>
      </c>
      <c r="AF174" s="35">
        <v>22</v>
      </c>
      <c r="AG174" s="58">
        <v>22</v>
      </c>
      <c r="AH174" s="58">
        <v>22</v>
      </c>
      <c r="AI174" s="128">
        <f>Table4[[#This Row],[2022 Leased Lots20]]-Table4[[#This Row],[2019 Leased Lots23]]</f>
        <v>0</v>
      </c>
      <c r="AJ174" s="61">
        <f t="shared" si="15"/>
        <v>0.95652173913043481</v>
      </c>
      <c r="AK174" s="139">
        <f>VLOOKUP($A174,Registry!$A$4:$AA$241,27,FALSE)</f>
        <v>453</v>
      </c>
      <c r="AL174" s="65">
        <v>434</v>
      </c>
      <c r="AM174" s="65">
        <v>422</v>
      </c>
      <c r="AN174" s="65">
        <v>406</v>
      </c>
      <c r="AO174" s="120">
        <f>IFERROR((AK174-Table4[[#This Row],[2019 Total Rent29]])/Table4[[#This Row],[2019 Total Rent29]], "-")</f>
        <v>0.11576354679802955</v>
      </c>
    </row>
    <row r="175" spans="1:41" x14ac:dyDescent="0.25">
      <c r="A175" s="25">
        <v>134</v>
      </c>
      <c r="B175" s="54" t="str">
        <f>VLOOKUP(A175,Registry!$A$4:$AA$241,2,FALSE)</f>
        <v>Weston Mobile Home Park</v>
      </c>
      <c r="C175" s="80" t="str">
        <f>VLOOKUP(A175,Registry!$A$4:$AA$241,3,FALSE)</f>
        <v>Washington</v>
      </c>
      <c r="D175" s="80" t="str">
        <f>VLOOKUP(A175,Registry!$A$4:$AA$241,4,FALSE)</f>
        <v>Berlin</v>
      </c>
      <c r="E175" s="80">
        <f>IF(VLOOKUP(A175,Registry!$A$4:$AA$241,7,FALSE)=0,"",VLOOKUP(A175,Registry!$A$4:$AA$241,7,FALSE))</f>
        <v>1960</v>
      </c>
      <c r="F175" s="80" t="str">
        <f>IF(VLOOKUP(A175,Registry!$A$4:$AA$241,20,FALSE)=0,"",VLOOKUP(A175,Registry!$A$4:$AA$241,20,FALSE))</f>
        <v>Cooperative</v>
      </c>
      <c r="G175" s="25">
        <v>2017</v>
      </c>
      <c r="H175" s="24">
        <f>VLOOKUP(A175,Registry!$A$4:$AA$241,21,FALSE)</f>
        <v>83</v>
      </c>
      <c r="I175" s="24">
        <f>VLOOKUP(A175,Registry!$A$4:$AA$241,24,FALSE)</f>
        <v>0</v>
      </c>
      <c r="J175" s="24">
        <f>VLOOKUP(A175,Registry!$A$4:$AA$241,26,FALSE)</f>
        <v>0</v>
      </c>
      <c r="K175" s="128">
        <v>0</v>
      </c>
      <c r="L175" s="128">
        <v>0</v>
      </c>
      <c r="M175" s="128">
        <v>1</v>
      </c>
      <c r="N175" s="128">
        <v>0</v>
      </c>
      <c r="O175" s="128">
        <v>1</v>
      </c>
      <c r="P175" s="128">
        <v>0</v>
      </c>
      <c r="Q175" s="28">
        <f>I175-Table4[[#This Row],[Park Owned6]]</f>
        <v>-1</v>
      </c>
      <c r="R175" s="28">
        <f>J175-Table4[[#This Row],[Other Owned7]]</f>
        <v>0</v>
      </c>
      <c r="S175" s="24">
        <f>VLOOKUP($A175,Registry!$A$4:$AA$241,23,FALSE)</f>
        <v>0</v>
      </c>
      <c r="T175" s="61">
        <f t="shared" si="12"/>
        <v>0</v>
      </c>
      <c r="U175" s="35">
        <v>0</v>
      </c>
      <c r="V175" s="90">
        <v>0</v>
      </c>
      <c r="W175" s="86">
        <v>1</v>
      </c>
      <c r="X175" s="90">
        <v>1.2E-2</v>
      </c>
      <c r="Y175" s="86">
        <v>1</v>
      </c>
      <c r="Z175" s="90">
        <v>1.2E-2</v>
      </c>
      <c r="AA175" s="35">
        <f>Table4[[#This Row],['# Lots]]-Table4[[#This Row],['# Lots10]]</f>
        <v>0</v>
      </c>
      <c r="AB175" s="61">
        <f t="shared" si="16"/>
        <v>0</v>
      </c>
      <c r="AC175" s="35">
        <f>Table4[[#This Row],['# Lots]]-Table4[[#This Row],['# Lots14]]</f>
        <v>-1</v>
      </c>
      <c r="AD175" s="61">
        <f t="shared" si="17"/>
        <v>-1.2048192771084338E-2</v>
      </c>
      <c r="AE175" s="138">
        <v>83</v>
      </c>
      <c r="AF175" s="35">
        <v>82</v>
      </c>
      <c r="AG175" s="58">
        <v>82</v>
      </c>
      <c r="AH175" s="58">
        <v>82</v>
      </c>
      <c r="AI175" s="128">
        <f>Table4[[#This Row],[2022 Leased Lots20]]-Table4[[#This Row],[2019 Leased Lots23]]</f>
        <v>1</v>
      </c>
      <c r="AJ175" s="61">
        <f t="shared" si="15"/>
        <v>1</v>
      </c>
      <c r="AK175" s="139">
        <f>VLOOKUP($A175,Registry!$A$4:$AA$241,27,FALSE)</f>
        <v>360</v>
      </c>
      <c r="AL175" s="65">
        <v>360</v>
      </c>
      <c r="AM175" s="65">
        <v>360</v>
      </c>
      <c r="AN175" s="65">
        <v>355</v>
      </c>
      <c r="AO175" s="120">
        <f>IFERROR((AK175-Table4[[#This Row],[2019 Total Rent29]])/Table4[[#This Row],[2019 Total Rent29]], "-")</f>
        <v>1.4084507042253521E-2</v>
      </c>
    </row>
    <row r="176" spans="1:41" x14ac:dyDescent="0.25">
      <c r="A176" s="25">
        <v>176</v>
      </c>
      <c r="B176" s="54" t="str">
        <f>VLOOKUP(A176,Registry!$A$4:$AA$241,2,FALSE)</f>
        <v>Patterson MHP</v>
      </c>
      <c r="C176" s="80" t="str">
        <f>VLOOKUP(A176,Registry!$A$4:$AA$241,3,FALSE)</f>
        <v>Washington</v>
      </c>
      <c r="D176" s="80" t="str">
        <f>VLOOKUP(A176,Registry!$A$4:$AA$241,4,FALSE)</f>
        <v>Duxbury</v>
      </c>
      <c r="E176" s="80">
        <f>IF(VLOOKUP(A176,Registry!$A$4:$AA$241,7,FALSE)=0,"",VLOOKUP(A176,Registry!$A$4:$AA$241,7,FALSE))</f>
        <v>1959</v>
      </c>
      <c r="F176" s="80" t="str">
        <f>IF(VLOOKUP(A176,Registry!$A$4:$AA$241,20,FALSE)=0,"",VLOOKUP(A176,Registry!$A$4:$AA$241,20,FALSE))</f>
        <v>For profit</v>
      </c>
      <c r="G176" s="25">
        <v>2020</v>
      </c>
      <c r="H176" s="24">
        <f>VLOOKUP(A176,Registry!$A$4:$AA$241,21,FALSE)</f>
        <v>24</v>
      </c>
      <c r="I176" s="24">
        <f>VLOOKUP(A176,Registry!$A$4:$AA$241,24,FALSE)</f>
        <v>0</v>
      </c>
      <c r="J176" s="24">
        <f>VLOOKUP(A176,Registry!$A$4:$AA$241,26,FALSE)</f>
        <v>0</v>
      </c>
      <c r="K176" s="128">
        <v>0</v>
      </c>
      <c r="L176" s="128">
        <v>0</v>
      </c>
      <c r="M176" s="128">
        <v>0</v>
      </c>
      <c r="N176" s="128">
        <v>0</v>
      </c>
      <c r="O176" s="128">
        <v>0</v>
      </c>
      <c r="P176" s="128">
        <v>0</v>
      </c>
      <c r="Q176" s="28">
        <f>I176-Table4[[#This Row],[Park Owned6]]</f>
        <v>0</v>
      </c>
      <c r="R176" s="28">
        <f>J176-Table4[[#This Row],[Other Owned7]]</f>
        <v>0</v>
      </c>
      <c r="S176" s="24">
        <f>VLOOKUP($A176,Registry!$A$4:$AA$241,23,FALSE)</f>
        <v>2</v>
      </c>
      <c r="T176" s="61">
        <f t="shared" si="12"/>
        <v>8.3333333333333329E-2</v>
      </c>
      <c r="U176" s="35">
        <v>2</v>
      </c>
      <c r="V176" s="90">
        <v>0.22222222222222221</v>
      </c>
      <c r="W176" s="86">
        <v>2</v>
      </c>
      <c r="X176" s="90">
        <v>0.222</v>
      </c>
      <c r="Y176" s="86">
        <v>2</v>
      </c>
      <c r="Z176" s="90">
        <v>0.105</v>
      </c>
      <c r="AA176" s="35">
        <f>Table4[[#This Row],['# Lots]]-Table4[[#This Row],['# Lots10]]</f>
        <v>0</v>
      </c>
      <c r="AB176" s="61">
        <f t="shared" si="16"/>
        <v>0</v>
      </c>
      <c r="AC176" s="35">
        <f>Table4[[#This Row],['# Lots]]-Table4[[#This Row],['# Lots14]]</f>
        <v>0</v>
      </c>
      <c r="AD176" s="61">
        <f t="shared" si="17"/>
        <v>0</v>
      </c>
      <c r="AE176" s="138">
        <v>7</v>
      </c>
      <c r="AF176" s="35">
        <v>7</v>
      </c>
      <c r="AG176" s="58">
        <v>7</v>
      </c>
      <c r="AH176" s="58">
        <v>7</v>
      </c>
      <c r="AI176" s="128">
        <f>Table4[[#This Row],[2022 Leased Lots20]]-Table4[[#This Row],[2019 Leased Lots23]]</f>
        <v>0</v>
      </c>
      <c r="AJ176" s="61">
        <f t="shared" si="15"/>
        <v>0.29166666666666669</v>
      </c>
      <c r="AK176" s="139">
        <f>VLOOKUP($A176,Registry!$A$4:$AA$241,27,FALSE)</f>
        <v>0</v>
      </c>
      <c r="AL176" s="65">
        <v>0</v>
      </c>
      <c r="AM176" s="65">
        <v>295</v>
      </c>
      <c r="AN176" s="65">
        <v>285</v>
      </c>
      <c r="AO176" s="120"/>
    </row>
    <row r="177" spans="1:41" x14ac:dyDescent="0.25">
      <c r="A177" s="25">
        <v>142</v>
      </c>
      <c r="B177" s="54" t="str">
        <f>VLOOKUP(A177,Registry!$A$4:$AA$241,2,FALSE)</f>
        <v>Sandy Pines Mobile Home Park</v>
      </c>
      <c r="C177" s="80" t="str">
        <f>VLOOKUP(A177,Registry!$A$4:$AA$241,3,FALSE)</f>
        <v>Washington</v>
      </c>
      <c r="D177" s="80" t="str">
        <f>VLOOKUP(A177,Registry!$A$4:$AA$241,4,FALSE)</f>
        <v>East Montpelier</v>
      </c>
      <c r="E177" s="80">
        <f>IF(VLOOKUP(A177,Registry!$A$4:$AA$241,7,FALSE)=0,"",VLOOKUP(A177,Registry!$A$4:$AA$241,7,FALSE))</f>
        <v>1970</v>
      </c>
      <c r="F177" s="80" t="str">
        <f>IF(VLOOKUP(A177,Registry!$A$4:$AA$241,20,FALSE)=0,"",VLOOKUP(A177,Registry!$A$4:$AA$241,20,FALSE))</f>
        <v>Non-profit</v>
      </c>
      <c r="G177" s="25">
        <v>1990</v>
      </c>
      <c r="H177" s="24">
        <f>VLOOKUP(A177,Registry!$A$4:$AA$241,21,FALSE)</f>
        <v>56</v>
      </c>
      <c r="I177" s="24">
        <f>VLOOKUP(A177,Registry!$A$4:$AA$241,24,FALSE)</f>
        <v>0</v>
      </c>
      <c r="J177" s="24">
        <f>VLOOKUP(A177,Registry!$A$4:$AA$241,26,FALSE)</f>
        <v>0</v>
      </c>
      <c r="K177" s="128">
        <v>0</v>
      </c>
      <c r="L177" s="128">
        <v>0</v>
      </c>
      <c r="M177" s="128">
        <v>0</v>
      </c>
      <c r="N177" s="128">
        <v>0</v>
      </c>
      <c r="O177" s="128">
        <v>1</v>
      </c>
      <c r="P177" s="128">
        <v>0</v>
      </c>
      <c r="Q177" s="28">
        <f>I177-Table4[[#This Row],[Park Owned6]]</f>
        <v>-1</v>
      </c>
      <c r="R177" s="28">
        <f>J177-Table4[[#This Row],[Other Owned7]]</f>
        <v>0</v>
      </c>
      <c r="S177" s="24">
        <f>VLOOKUP($A177,Registry!$A$4:$AA$241,23,FALSE)</f>
        <v>1</v>
      </c>
      <c r="T177" s="61">
        <f t="shared" si="12"/>
        <v>1.7857142857142856E-2</v>
      </c>
      <c r="U177" s="35">
        <v>0</v>
      </c>
      <c r="V177" s="90">
        <v>0</v>
      </c>
      <c r="W177" s="86">
        <v>0</v>
      </c>
      <c r="X177" s="90">
        <v>0</v>
      </c>
      <c r="Y177" s="86">
        <v>0</v>
      </c>
      <c r="Z177" s="90">
        <v>0</v>
      </c>
      <c r="AA177" s="35">
        <f>Table4[[#This Row],['# Lots]]-Table4[[#This Row],['# Lots10]]</f>
        <v>1</v>
      </c>
      <c r="AB177" s="61">
        <f t="shared" si="16"/>
        <v>1.7857142857142856E-2</v>
      </c>
      <c r="AC177" s="35">
        <f>Table4[[#This Row],['# Lots]]-Table4[[#This Row],['# Lots14]]</f>
        <v>1</v>
      </c>
      <c r="AD177" s="61">
        <f t="shared" si="17"/>
        <v>1.7857142857142856E-2</v>
      </c>
      <c r="AE177" s="138">
        <v>56</v>
      </c>
      <c r="AF177" s="35">
        <v>56</v>
      </c>
      <c r="AG177" s="58">
        <v>55</v>
      </c>
      <c r="AH177" s="58">
        <v>56</v>
      </c>
      <c r="AI177" s="128">
        <f>Table4[[#This Row],[2022 Leased Lots20]]-Table4[[#This Row],[2019 Leased Lots23]]</f>
        <v>0</v>
      </c>
      <c r="AJ177" s="61">
        <f t="shared" si="15"/>
        <v>1</v>
      </c>
      <c r="AK177" s="139">
        <f>VLOOKUP($A177,Registry!$A$4:$AA$241,27,FALSE)</f>
        <v>475</v>
      </c>
      <c r="AL177" s="65">
        <v>475</v>
      </c>
      <c r="AM177" s="65">
        <v>461</v>
      </c>
      <c r="AN177" s="65">
        <v>448</v>
      </c>
      <c r="AO177" s="120">
        <f>IFERROR((AK177-Table4[[#This Row],[2019 Total Rent29]])/Table4[[#This Row],[2019 Total Rent29]], "-")</f>
        <v>6.0267857142857144E-2</v>
      </c>
    </row>
    <row r="178" spans="1:41" x14ac:dyDescent="0.25">
      <c r="A178" s="25">
        <v>120</v>
      </c>
      <c r="B178" s="54" t="str">
        <f>VLOOKUP(A178,Registry!$A$4:$AA$241,2,FALSE)</f>
        <v>Riverside Mobile Home Park</v>
      </c>
      <c r="C178" s="80" t="str">
        <f>VLOOKUP(A178,Registry!$A$4:$AA$241,3,FALSE)</f>
        <v>Washington</v>
      </c>
      <c r="D178" s="80" t="str">
        <f>VLOOKUP(A178,Registry!$A$4:$AA$241,4,FALSE)</f>
        <v>Moretown</v>
      </c>
      <c r="E178" s="80">
        <f>IF(VLOOKUP(A178,Registry!$A$4:$AA$241,7,FALSE)=0,"",VLOOKUP(A178,Registry!$A$4:$AA$241,7,FALSE))</f>
        <v>1958</v>
      </c>
      <c r="F178" s="80" t="str">
        <f>IF(VLOOKUP(A178,Registry!$A$4:$AA$241,20,FALSE)=0,"",VLOOKUP(A178,Registry!$A$4:$AA$241,20,FALSE))</f>
        <v>For profit</v>
      </c>
      <c r="G178" s="25">
        <v>2014</v>
      </c>
      <c r="H178" s="24">
        <f>VLOOKUP(A178,Registry!$A$4:$AA$241,21,FALSE)</f>
        <v>12</v>
      </c>
      <c r="I178" s="24">
        <f>VLOOKUP(A178,Registry!$A$4:$AA$241,24,FALSE)</f>
        <v>1</v>
      </c>
      <c r="J178" s="24">
        <f>VLOOKUP(A178,Registry!$A$4:$AA$241,26,FALSE)</f>
        <v>0</v>
      </c>
      <c r="K178" s="128">
        <v>1</v>
      </c>
      <c r="L178" s="128">
        <v>0</v>
      </c>
      <c r="M178" s="128">
        <v>1</v>
      </c>
      <c r="N178" s="128">
        <v>0</v>
      </c>
      <c r="O178" s="128">
        <v>1</v>
      </c>
      <c r="P178" s="128">
        <v>0</v>
      </c>
      <c r="Q178" s="28">
        <f>I178-Table4[[#This Row],[Park Owned6]]</f>
        <v>0</v>
      </c>
      <c r="R178" s="28">
        <f>J178-Table4[[#This Row],[Other Owned7]]</f>
        <v>0</v>
      </c>
      <c r="S178" s="24">
        <f>VLOOKUP($A178,Registry!$A$4:$AA$241,23,FALSE)</f>
        <v>0</v>
      </c>
      <c r="T178" s="61">
        <f t="shared" si="12"/>
        <v>0</v>
      </c>
      <c r="U178" s="35">
        <v>0</v>
      </c>
      <c r="V178" s="90">
        <v>0</v>
      </c>
      <c r="W178" s="86">
        <v>0</v>
      </c>
      <c r="X178" s="90">
        <v>0</v>
      </c>
      <c r="Y178" s="86">
        <v>0</v>
      </c>
      <c r="Z178" s="90">
        <v>0</v>
      </c>
      <c r="AA178" s="35">
        <f>Table4[[#This Row],['# Lots]]-Table4[[#This Row],['# Lots10]]</f>
        <v>0</v>
      </c>
      <c r="AB178" s="61">
        <f t="shared" si="16"/>
        <v>0</v>
      </c>
      <c r="AC178" s="35">
        <f>Table4[[#This Row],['# Lots]]-Table4[[#This Row],['# Lots14]]</f>
        <v>0</v>
      </c>
      <c r="AD178" s="61">
        <f t="shared" si="17"/>
        <v>0</v>
      </c>
      <c r="AE178" s="138">
        <v>12</v>
      </c>
      <c r="AF178" s="35">
        <v>12</v>
      </c>
      <c r="AG178" s="58">
        <v>12</v>
      </c>
      <c r="AH178" s="58">
        <v>12</v>
      </c>
      <c r="AI178" s="128">
        <f>Table4[[#This Row],[2022 Leased Lots20]]-Table4[[#This Row],[2019 Leased Lots23]]</f>
        <v>0</v>
      </c>
      <c r="AJ178" s="61">
        <f t="shared" si="15"/>
        <v>1</v>
      </c>
      <c r="AK178" s="139">
        <f>VLOOKUP($A178,Registry!$A$4:$AA$241,27,FALSE)</f>
        <v>418</v>
      </c>
      <c r="AL178" s="65">
        <v>394</v>
      </c>
      <c r="AM178" s="65">
        <v>394</v>
      </c>
      <c r="AN178" s="65">
        <v>389</v>
      </c>
      <c r="AO178" s="120">
        <f>IFERROR((AK178-Table4[[#This Row],[2019 Total Rent29]])/Table4[[#This Row],[2019 Total Rent29]], "-")</f>
        <v>7.4550128534704371E-2</v>
      </c>
    </row>
    <row r="179" spans="1:41" x14ac:dyDescent="0.25">
      <c r="A179" s="25">
        <v>171</v>
      </c>
      <c r="B179" s="54" t="str">
        <f>VLOOKUP(A179,Registry!$A$4:$AA$241,2,FALSE)</f>
        <v>94 North Main Mobile Home Park</v>
      </c>
      <c r="C179" s="80" t="str">
        <f>VLOOKUP(A179,Registry!$A$4:$AA$241,3,FALSE)</f>
        <v>Washington</v>
      </c>
      <c r="D179" s="80" t="str">
        <f>VLOOKUP(A179,Registry!$A$4:$AA$241,4,FALSE)</f>
        <v>Northfield</v>
      </c>
      <c r="E179" s="80">
        <f>IF(VLOOKUP(A179,Registry!$A$4:$AA$241,7,FALSE)=0,"",VLOOKUP(A179,Registry!$A$4:$AA$241,7,FALSE))</f>
        <v>1994</v>
      </c>
      <c r="F179" s="80" t="str">
        <f>IF(VLOOKUP(A179,Registry!$A$4:$AA$241,20,FALSE)=0,"",VLOOKUP(A179,Registry!$A$4:$AA$241,20,FALSE))</f>
        <v>For profit</v>
      </c>
      <c r="G179" s="25">
        <v>1994</v>
      </c>
      <c r="H179" s="24">
        <f>VLOOKUP(A179,Registry!$A$4:$AA$241,21,FALSE)</f>
        <v>7</v>
      </c>
      <c r="I179" s="24">
        <f>VLOOKUP(A179,Registry!$A$4:$AA$241,24,FALSE)</f>
        <v>0</v>
      </c>
      <c r="J179" s="24">
        <f>VLOOKUP(A179,Registry!$A$4:$AA$241,26,FALSE)</f>
        <v>0</v>
      </c>
      <c r="K179" s="128">
        <v>0</v>
      </c>
      <c r="L179" s="128">
        <v>0</v>
      </c>
      <c r="M179" s="128">
        <v>0</v>
      </c>
      <c r="N179" s="128">
        <v>0</v>
      </c>
      <c r="O179" s="128">
        <v>0</v>
      </c>
      <c r="P179" s="128">
        <v>0</v>
      </c>
      <c r="Q179" s="28">
        <f>I179-Table4[[#This Row],[Park Owned6]]</f>
        <v>0</v>
      </c>
      <c r="R179" s="28">
        <f>J179-Table4[[#This Row],[Other Owned7]]</f>
        <v>0</v>
      </c>
      <c r="S179" s="24">
        <f>VLOOKUP($A179,Registry!$A$4:$AA$241,23,FALSE)</f>
        <v>0</v>
      </c>
      <c r="T179" s="61">
        <f t="shared" si="12"/>
        <v>0</v>
      </c>
      <c r="U179" s="35">
        <v>0</v>
      </c>
      <c r="V179" s="90">
        <v>0</v>
      </c>
      <c r="W179" s="86">
        <v>0</v>
      </c>
      <c r="X179" s="90">
        <v>0</v>
      </c>
      <c r="Y179" s="86">
        <v>0</v>
      </c>
      <c r="Z179" s="90">
        <v>0</v>
      </c>
      <c r="AA179" s="35">
        <f>Table4[[#This Row],['# Lots]]-Table4[[#This Row],['# Lots10]]</f>
        <v>0</v>
      </c>
      <c r="AB179" s="61">
        <f t="shared" si="16"/>
        <v>0</v>
      </c>
      <c r="AC179" s="35">
        <f>Table4[[#This Row],['# Lots]]-Table4[[#This Row],['# Lots14]]</f>
        <v>0</v>
      </c>
      <c r="AD179" s="61">
        <f t="shared" si="17"/>
        <v>0</v>
      </c>
      <c r="AE179" s="138">
        <v>7</v>
      </c>
      <c r="AF179" s="35">
        <v>7</v>
      </c>
      <c r="AG179" s="58">
        <v>7</v>
      </c>
      <c r="AH179" s="58">
        <v>7</v>
      </c>
      <c r="AI179" s="128">
        <f>Table4[[#This Row],[2022 Leased Lots20]]-Table4[[#This Row],[2019 Leased Lots23]]</f>
        <v>0</v>
      </c>
      <c r="AJ179" s="61">
        <f t="shared" si="15"/>
        <v>1</v>
      </c>
      <c r="AK179" s="139">
        <f>VLOOKUP($A179,Registry!$A$4:$AA$241,27,FALSE)</f>
        <v>345</v>
      </c>
      <c r="AL179" s="65">
        <v>330</v>
      </c>
      <c r="AM179" s="65">
        <v>330</v>
      </c>
      <c r="AN179" s="65">
        <v>330</v>
      </c>
      <c r="AO179" s="120">
        <f>IFERROR((AK179-Table4[[#This Row],[2019 Total Rent29]])/Table4[[#This Row],[2019 Total Rent29]], "-")</f>
        <v>4.5454545454545456E-2</v>
      </c>
    </row>
    <row r="180" spans="1:41" x14ac:dyDescent="0.25">
      <c r="A180" s="25">
        <v>307</v>
      </c>
      <c r="B180" s="54" t="str">
        <f>VLOOKUP(A180,Registry!$A$4:$AA$241,2,FALSE)</f>
        <v>99 North Main Mobile Home Park</v>
      </c>
      <c r="C180" s="80" t="str">
        <f>VLOOKUP(A180,Registry!$A$4:$AA$241,3,FALSE)</f>
        <v>Washington</v>
      </c>
      <c r="D180" s="80" t="str">
        <f>VLOOKUP(A180,Registry!$A$4:$AA$241,4,FALSE)</f>
        <v>Northfield</v>
      </c>
      <c r="E180" s="80">
        <f>IF(VLOOKUP(A180,Registry!$A$4:$AA$241,7,FALSE)=0,"",VLOOKUP(A180,Registry!$A$4:$AA$241,7,FALSE))</f>
        <v>2000</v>
      </c>
      <c r="F180" s="80" t="str">
        <f>IF(VLOOKUP(A180,Registry!$A$4:$AA$241,20,FALSE)=0,"",VLOOKUP(A180,Registry!$A$4:$AA$241,20,FALSE))</f>
        <v>For profit</v>
      </c>
      <c r="G180" s="25">
        <v>2000</v>
      </c>
      <c r="H180" s="24">
        <f>VLOOKUP(A180,Registry!$A$4:$AA$241,21,FALSE)</f>
        <v>7</v>
      </c>
      <c r="I180" s="24">
        <f>VLOOKUP(A180,Registry!$A$4:$AA$241,24,FALSE)</f>
        <v>0</v>
      </c>
      <c r="J180" s="24">
        <f>VLOOKUP(A180,Registry!$A$4:$AA$241,26,FALSE)</f>
        <v>0</v>
      </c>
      <c r="K180" s="128">
        <v>0</v>
      </c>
      <c r="L180" s="128">
        <v>0</v>
      </c>
      <c r="M180" s="128">
        <v>0</v>
      </c>
      <c r="N180" s="128">
        <v>0</v>
      </c>
      <c r="O180" s="128">
        <v>0</v>
      </c>
      <c r="P180" s="128">
        <v>0</v>
      </c>
      <c r="Q180" s="28">
        <f>I180-Table4[[#This Row],[Park Owned6]]</f>
        <v>0</v>
      </c>
      <c r="R180" s="28">
        <f>J180-Table4[[#This Row],[Other Owned7]]</f>
        <v>0</v>
      </c>
      <c r="S180" s="24">
        <f>VLOOKUP($A180,Registry!$A$4:$AA$241,23,FALSE)</f>
        <v>0</v>
      </c>
      <c r="T180" s="61">
        <f t="shared" si="12"/>
        <v>0</v>
      </c>
      <c r="U180" s="35">
        <v>0</v>
      </c>
      <c r="V180" s="90">
        <v>0</v>
      </c>
      <c r="W180" s="86">
        <v>0</v>
      </c>
      <c r="X180" s="90">
        <v>0</v>
      </c>
      <c r="Y180" s="86">
        <v>0</v>
      </c>
      <c r="Z180" s="90">
        <v>0</v>
      </c>
      <c r="AA180" s="35">
        <f>Table4[[#This Row],['# Lots]]-Table4[[#This Row],['# Lots10]]</f>
        <v>0</v>
      </c>
      <c r="AB180" s="61">
        <f t="shared" si="16"/>
        <v>0</v>
      </c>
      <c r="AC180" s="35">
        <f>Table4[[#This Row],['# Lots]]-Table4[[#This Row],['# Lots14]]</f>
        <v>0</v>
      </c>
      <c r="AD180" s="61">
        <f t="shared" si="17"/>
        <v>0</v>
      </c>
      <c r="AE180" s="138">
        <v>7</v>
      </c>
      <c r="AF180" s="35">
        <v>7</v>
      </c>
      <c r="AG180" s="58">
        <v>7</v>
      </c>
      <c r="AH180" s="58">
        <v>7</v>
      </c>
      <c r="AI180" s="128">
        <f>Table4[[#This Row],[2022 Leased Lots20]]-Table4[[#This Row],[2019 Leased Lots23]]</f>
        <v>0</v>
      </c>
      <c r="AJ180" s="61">
        <f t="shared" si="15"/>
        <v>1</v>
      </c>
      <c r="AK180" s="139">
        <f>VLOOKUP($A180,Registry!$A$4:$AA$241,27,FALSE)</f>
        <v>345</v>
      </c>
      <c r="AL180" s="65">
        <v>330</v>
      </c>
      <c r="AM180" s="65">
        <v>330</v>
      </c>
      <c r="AN180" s="65">
        <v>330</v>
      </c>
      <c r="AO180" s="120">
        <f>IFERROR((AK180-Table4[[#This Row],[2019 Total Rent29]])/Table4[[#This Row],[2019 Total Rent29]], "-")</f>
        <v>4.5454545454545456E-2</v>
      </c>
    </row>
    <row r="181" spans="1:41" x14ac:dyDescent="0.25">
      <c r="A181" s="25">
        <v>153</v>
      </c>
      <c r="B181" s="54" t="str">
        <f>VLOOKUP(A181,Registry!$A$4:$AA$241,2,FALSE)</f>
        <v>Northfield Falls Mobile Home Park</v>
      </c>
      <c r="C181" s="80" t="str">
        <f>VLOOKUP(A181,Registry!$A$4:$AA$241,3,FALSE)</f>
        <v>Washington</v>
      </c>
      <c r="D181" s="80" t="str">
        <f>VLOOKUP(A181,Registry!$A$4:$AA$241,4,FALSE)</f>
        <v>Northfield</v>
      </c>
      <c r="E181" s="80">
        <f>IF(VLOOKUP(A181,Registry!$A$4:$AA$241,7,FALSE)=0,"",VLOOKUP(A181,Registry!$A$4:$AA$241,7,FALSE))</f>
        <v>1965</v>
      </c>
      <c r="F181" s="80" t="str">
        <f>IF(VLOOKUP(A181,Registry!$A$4:$AA$241,20,FALSE)=0,"",VLOOKUP(A181,Registry!$A$4:$AA$241,20,FALSE))</f>
        <v>For profit</v>
      </c>
      <c r="G181" s="25">
        <v>2015</v>
      </c>
      <c r="H181" s="24">
        <f>VLOOKUP(A181,Registry!$A$4:$AA$241,21,FALSE)</f>
        <v>51</v>
      </c>
      <c r="I181" s="24">
        <f>VLOOKUP(A181,Registry!$A$4:$AA$241,24,FALSE)</f>
        <v>0</v>
      </c>
      <c r="J181" s="24">
        <f>VLOOKUP(A181,Registry!$A$4:$AA$241,26,FALSE)</f>
        <v>0</v>
      </c>
      <c r="K181" s="128">
        <v>0</v>
      </c>
      <c r="L181" s="128">
        <v>0</v>
      </c>
      <c r="M181" s="128">
        <v>0</v>
      </c>
      <c r="N181" s="128">
        <v>0</v>
      </c>
      <c r="O181" s="128">
        <v>0</v>
      </c>
      <c r="P181" s="128">
        <v>0</v>
      </c>
      <c r="Q181" s="28">
        <f>I181-Table4[[#This Row],[Park Owned6]]</f>
        <v>0</v>
      </c>
      <c r="R181" s="28">
        <f>J181-Table4[[#This Row],[Other Owned7]]</f>
        <v>0</v>
      </c>
      <c r="S181" s="24">
        <f>VLOOKUP($A181,Registry!$A$4:$AA$241,23,FALSE)</f>
        <v>12</v>
      </c>
      <c r="T181" s="61">
        <f t="shared" si="12"/>
        <v>0.23529411764705882</v>
      </c>
      <c r="U181" s="35">
        <v>14</v>
      </c>
      <c r="V181" s="90">
        <v>0.27450980392156865</v>
      </c>
      <c r="W181" s="86">
        <v>17</v>
      </c>
      <c r="X181" s="90">
        <v>0.33299999999999996</v>
      </c>
      <c r="Y181" s="86">
        <v>18</v>
      </c>
      <c r="Z181" s="90">
        <v>0.35299999999999998</v>
      </c>
      <c r="AA181" s="35">
        <f>Table4[[#This Row],['# Lots]]-Table4[[#This Row],['# Lots10]]</f>
        <v>-2</v>
      </c>
      <c r="AB181" s="61">
        <f t="shared" si="16"/>
        <v>-3.9215686274509803E-2</v>
      </c>
      <c r="AC181" s="35">
        <f>Table4[[#This Row],['# Lots]]-Table4[[#This Row],['# Lots14]]</f>
        <v>-6</v>
      </c>
      <c r="AD181" s="61">
        <f t="shared" si="17"/>
        <v>-0.11764705882352941</v>
      </c>
      <c r="AE181" s="138">
        <v>37</v>
      </c>
      <c r="AF181" s="35">
        <v>34</v>
      </c>
      <c r="AG181" s="58">
        <v>33</v>
      </c>
      <c r="AH181" s="58">
        <v>33</v>
      </c>
      <c r="AI181" s="128">
        <f>Table4[[#This Row],[2022 Leased Lots20]]-Table4[[#This Row],[2019 Leased Lots23]]</f>
        <v>4</v>
      </c>
      <c r="AJ181" s="61">
        <f t="shared" si="15"/>
        <v>0.72549019607843135</v>
      </c>
      <c r="AK181" s="139">
        <f>VLOOKUP($A181,Registry!$A$4:$AA$241,27,FALSE)</f>
        <v>409</v>
      </c>
      <c r="AL181" s="65">
        <v>393</v>
      </c>
      <c r="AM181" s="65">
        <v>383</v>
      </c>
      <c r="AN181" s="65">
        <v>368</v>
      </c>
      <c r="AO181" s="120">
        <f>IFERROR((AK181-Table4[[#This Row],[2019 Total Rent29]])/Table4[[#This Row],[2019 Total Rent29]], "-")</f>
        <v>0.11141304347826086</v>
      </c>
    </row>
    <row r="182" spans="1:41" x14ac:dyDescent="0.25">
      <c r="A182" s="25">
        <v>166</v>
      </c>
      <c r="B182" s="54" t="str">
        <f>VLOOKUP(A182,Registry!$A$4:$AA$241,2,FALSE)</f>
        <v>Smith Mobile Home Park</v>
      </c>
      <c r="C182" s="80" t="str">
        <f>VLOOKUP(A182,Registry!$A$4:$AA$241,3,FALSE)</f>
        <v>Washington</v>
      </c>
      <c r="D182" s="80" t="str">
        <f>VLOOKUP(A182,Registry!$A$4:$AA$241,4,FALSE)</f>
        <v>Northfield</v>
      </c>
      <c r="E182" s="80">
        <f>IF(VLOOKUP(A182,Registry!$A$4:$AA$241,7,FALSE)=0,"",VLOOKUP(A182,Registry!$A$4:$AA$241,7,FALSE))</f>
        <v>1970</v>
      </c>
      <c r="F182" s="80" t="str">
        <f>IF(VLOOKUP(A182,Registry!$A$4:$AA$241,20,FALSE)=0,"",VLOOKUP(A182,Registry!$A$4:$AA$241,20,FALSE))</f>
        <v>For profit</v>
      </c>
      <c r="G182" s="25">
        <v>2008</v>
      </c>
      <c r="H182" s="24">
        <f>VLOOKUP(A182,Registry!$A$4:$AA$241,21,FALSE)</f>
        <v>6</v>
      </c>
      <c r="I182" s="24">
        <f>VLOOKUP(A182,Registry!$A$4:$AA$241,24,FALSE)</f>
        <v>2</v>
      </c>
      <c r="J182" s="24">
        <f>VLOOKUP(A182,Registry!$A$4:$AA$241,26,FALSE)</f>
        <v>0</v>
      </c>
      <c r="K182" s="128">
        <v>2</v>
      </c>
      <c r="L182" s="128">
        <v>0</v>
      </c>
      <c r="M182" s="128">
        <v>2</v>
      </c>
      <c r="N182" s="128">
        <v>0</v>
      </c>
      <c r="O182" s="128">
        <v>2</v>
      </c>
      <c r="P182" s="128">
        <v>0</v>
      </c>
      <c r="Q182" s="28">
        <f>I182-Table4[[#This Row],[Park Owned6]]</f>
        <v>0</v>
      </c>
      <c r="R182" s="28">
        <f>J182-Table4[[#This Row],[Other Owned7]]</f>
        <v>0</v>
      </c>
      <c r="S182" s="24">
        <f>VLOOKUP($A182,Registry!$A$4:$AA$241,23,FALSE)</f>
        <v>0</v>
      </c>
      <c r="T182" s="61">
        <f t="shared" si="12"/>
        <v>0</v>
      </c>
      <c r="U182" s="35">
        <v>0</v>
      </c>
      <c r="V182" s="90">
        <v>0</v>
      </c>
      <c r="W182" s="86">
        <v>0</v>
      </c>
      <c r="X182" s="90">
        <v>0</v>
      </c>
      <c r="Y182" s="86">
        <v>0</v>
      </c>
      <c r="Z182" s="90">
        <v>0</v>
      </c>
      <c r="AA182" s="35">
        <f>Table4[[#This Row],['# Lots]]-Table4[[#This Row],['# Lots10]]</f>
        <v>0</v>
      </c>
      <c r="AB182" s="61">
        <f t="shared" si="16"/>
        <v>0</v>
      </c>
      <c r="AC182" s="35">
        <f>Table4[[#This Row],['# Lots]]-Table4[[#This Row],['# Lots14]]</f>
        <v>0</v>
      </c>
      <c r="AD182" s="61">
        <f t="shared" si="17"/>
        <v>0</v>
      </c>
      <c r="AE182" s="138">
        <v>6</v>
      </c>
      <c r="AF182" s="35">
        <v>6</v>
      </c>
      <c r="AG182" s="58">
        <v>6</v>
      </c>
      <c r="AH182" s="58">
        <v>6</v>
      </c>
      <c r="AI182" s="128">
        <f>Table4[[#This Row],[2022 Leased Lots20]]-Table4[[#This Row],[2019 Leased Lots23]]</f>
        <v>0</v>
      </c>
      <c r="AJ182" s="61">
        <f t="shared" si="15"/>
        <v>1</v>
      </c>
      <c r="AK182" s="139">
        <f>VLOOKUP($A182,Registry!$A$4:$AA$241,27,FALSE)</f>
        <v>230</v>
      </c>
      <c r="AL182" s="65">
        <v>220</v>
      </c>
      <c r="AM182" s="65">
        <v>220</v>
      </c>
      <c r="AN182" s="65">
        <v>210</v>
      </c>
      <c r="AO182" s="120">
        <f>IFERROR((AK182-Table4[[#This Row],[2019 Total Rent29]])/Table4[[#This Row],[2019 Total Rent29]], "-")</f>
        <v>9.5238095238095233E-2</v>
      </c>
    </row>
    <row r="183" spans="1:41" x14ac:dyDescent="0.25">
      <c r="A183" s="25">
        <v>258</v>
      </c>
      <c r="B183" s="54" t="str">
        <f>VLOOKUP(A183,Registry!$A$4:$AA$241,2,FALSE)</f>
        <v>Trombly's Trailer Park</v>
      </c>
      <c r="C183" s="80" t="str">
        <f>VLOOKUP(A183,Registry!$A$4:$AA$241,3,FALSE)</f>
        <v>Washington</v>
      </c>
      <c r="D183" s="80" t="str">
        <f>VLOOKUP(A183,Registry!$A$4:$AA$241,4,FALSE)</f>
        <v>Northfield</v>
      </c>
      <c r="E183" s="80">
        <f>IF(VLOOKUP(A183,Registry!$A$4:$AA$241,7,FALSE)=0,"",VLOOKUP(A183,Registry!$A$4:$AA$241,7,FALSE))</f>
        <v>1973</v>
      </c>
      <c r="F183" s="80" t="str">
        <f>IF(VLOOKUP(A183,Registry!$A$4:$AA$241,20,FALSE)=0,"",VLOOKUP(A183,Registry!$A$4:$AA$241,20,FALSE))</f>
        <v>For profit</v>
      </c>
      <c r="G183" s="25">
        <v>2001</v>
      </c>
      <c r="H183" s="24">
        <f>VLOOKUP(A183,Registry!$A$4:$AA$241,21,FALSE)</f>
        <v>15</v>
      </c>
      <c r="I183" s="24">
        <f>VLOOKUP(A183,Registry!$A$4:$AA$241,24,FALSE)</f>
        <v>11</v>
      </c>
      <c r="J183" s="24">
        <f>VLOOKUP(A183,Registry!$A$4:$AA$241,26,FALSE)</f>
        <v>0</v>
      </c>
      <c r="K183" s="128">
        <v>11</v>
      </c>
      <c r="L183" s="128">
        <v>0</v>
      </c>
      <c r="M183" s="128">
        <v>11</v>
      </c>
      <c r="N183" s="128">
        <v>0</v>
      </c>
      <c r="O183" s="128">
        <v>11</v>
      </c>
      <c r="P183" s="128">
        <v>0</v>
      </c>
      <c r="Q183" s="28">
        <f>I183-Table4[[#This Row],[Park Owned6]]</f>
        <v>0</v>
      </c>
      <c r="R183" s="28">
        <f>J183-Table4[[#This Row],[Other Owned7]]</f>
        <v>0</v>
      </c>
      <c r="S183" s="24">
        <f>VLOOKUP($A183,Registry!$A$4:$AA$241,23,FALSE)</f>
        <v>0</v>
      </c>
      <c r="T183" s="61">
        <f t="shared" si="12"/>
        <v>0</v>
      </c>
      <c r="U183" s="35">
        <v>0</v>
      </c>
      <c r="V183" s="90">
        <v>0</v>
      </c>
      <c r="W183" s="86">
        <v>0</v>
      </c>
      <c r="X183" s="90">
        <v>0</v>
      </c>
      <c r="Y183" s="86">
        <v>0</v>
      </c>
      <c r="Z183" s="90">
        <v>0</v>
      </c>
      <c r="AA183" s="35">
        <f>Table4[[#This Row],['# Lots]]-Table4[[#This Row],['# Lots10]]</f>
        <v>0</v>
      </c>
      <c r="AB183" s="61">
        <f t="shared" si="16"/>
        <v>0</v>
      </c>
      <c r="AC183" s="35">
        <f>Table4[[#This Row],['# Lots]]-Table4[[#This Row],['# Lots14]]</f>
        <v>0</v>
      </c>
      <c r="AD183" s="61">
        <f t="shared" si="17"/>
        <v>0</v>
      </c>
      <c r="AE183" s="138">
        <v>15</v>
      </c>
      <c r="AF183" s="35">
        <v>15</v>
      </c>
      <c r="AG183" s="58">
        <v>15</v>
      </c>
      <c r="AH183" s="58">
        <v>15</v>
      </c>
      <c r="AI183" s="128">
        <f>Table4[[#This Row],[2022 Leased Lots20]]-Table4[[#This Row],[2019 Leased Lots23]]</f>
        <v>0</v>
      </c>
      <c r="AJ183" s="61">
        <f t="shared" si="15"/>
        <v>1</v>
      </c>
      <c r="AK183" s="139">
        <f>VLOOKUP($A183,Registry!$A$4:$AA$241,27,FALSE)</f>
        <v>360</v>
      </c>
      <c r="AL183" s="65">
        <v>345</v>
      </c>
      <c r="AM183" s="65">
        <v>345</v>
      </c>
      <c r="AN183" s="65">
        <v>345</v>
      </c>
      <c r="AO183" s="120">
        <f>IFERROR((AK183-Table4[[#This Row],[2019 Total Rent29]])/Table4[[#This Row],[2019 Total Rent29]], "-")</f>
        <v>4.3478260869565216E-2</v>
      </c>
    </row>
    <row r="184" spans="1:41" x14ac:dyDescent="0.25">
      <c r="A184" s="25">
        <v>172</v>
      </c>
      <c r="B184" s="54" t="str">
        <f>VLOOKUP(A184,Registry!$A$4:$AA$241,2,FALSE)</f>
        <v>Tucker Mobile Home Park</v>
      </c>
      <c r="C184" s="80" t="str">
        <f>VLOOKUP(A184,Registry!$A$4:$AA$241,3,FALSE)</f>
        <v>Washington</v>
      </c>
      <c r="D184" s="80" t="str">
        <f>VLOOKUP(A184,Registry!$A$4:$AA$241,4,FALSE)</f>
        <v>Northfield</v>
      </c>
      <c r="E184" s="80">
        <f>IF(VLOOKUP(A184,Registry!$A$4:$AA$241,7,FALSE)=0,"",VLOOKUP(A184,Registry!$A$4:$AA$241,7,FALSE))</f>
        <v>1975</v>
      </c>
      <c r="F184" s="80" t="str">
        <f>IF(VLOOKUP(A184,Registry!$A$4:$AA$241,20,FALSE)=0,"",VLOOKUP(A184,Registry!$A$4:$AA$241,20,FALSE))</f>
        <v>For profit</v>
      </c>
      <c r="G184" s="25">
        <v>1982</v>
      </c>
      <c r="H184" s="24">
        <f>VLOOKUP(A184,Registry!$A$4:$AA$241,21,FALSE)</f>
        <v>32</v>
      </c>
      <c r="I184" s="24">
        <f>VLOOKUP(A184,Registry!$A$4:$AA$241,24,FALSE)</f>
        <v>6</v>
      </c>
      <c r="J184" s="24">
        <f>VLOOKUP(A184,Registry!$A$4:$AA$241,26,FALSE)</f>
        <v>0</v>
      </c>
      <c r="K184" s="128">
        <v>5</v>
      </c>
      <c r="L184" s="128">
        <v>0</v>
      </c>
      <c r="M184" s="128">
        <v>5</v>
      </c>
      <c r="N184" s="128">
        <v>0</v>
      </c>
      <c r="O184" s="128">
        <v>5</v>
      </c>
      <c r="P184" s="128">
        <v>0</v>
      </c>
      <c r="Q184" s="28">
        <f>I184-Table4[[#This Row],[Park Owned6]]</f>
        <v>1</v>
      </c>
      <c r="R184" s="28">
        <f>J184-Table4[[#This Row],[Other Owned7]]</f>
        <v>0</v>
      </c>
      <c r="S184" s="24">
        <f>VLOOKUP($A184,Registry!$A$4:$AA$241,23,FALSE)</f>
        <v>0</v>
      </c>
      <c r="T184" s="61">
        <f t="shared" si="12"/>
        <v>0</v>
      </c>
      <c r="U184" s="35">
        <v>1</v>
      </c>
      <c r="V184" s="90">
        <v>3.125E-2</v>
      </c>
      <c r="W184" s="86">
        <v>2</v>
      </c>
      <c r="X184" s="90">
        <v>6.2E-2</v>
      </c>
      <c r="Y184" s="86">
        <v>2</v>
      </c>
      <c r="Z184" s="90">
        <v>6.2E-2</v>
      </c>
      <c r="AA184" s="35">
        <f>Table4[[#This Row],['# Lots]]-Table4[[#This Row],['# Lots10]]</f>
        <v>-1</v>
      </c>
      <c r="AB184" s="61">
        <f t="shared" si="16"/>
        <v>-3.125E-2</v>
      </c>
      <c r="AC184" s="35">
        <f>Table4[[#This Row],['# Lots]]-Table4[[#This Row],['# Lots14]]</f>
        <v>-2</v>
      </c>
      <c r="AD184" s="61">
        <f t="shared" si="17"/>
        <v>-6.25E-2</v>
      </c>
      <c r="AE184" s="138">
        <v>31</v>
      </c>
      <c r="AF184" s="35">
        <v>30</v>
      </c>
      <c r="AG184" s="58">
        <v>30</v>
      </c>
      <c r="AH184" s="58">
        <v>30</v>
      </c>
      <c r="AI184" s="128">
        <f>Table4[[#This Row],[2022 Leased Lots20]]-Table4[[#This Row],[2019 Leased Lots23]]</f>
        <v>1</v>
      </c>
      <c r="AJ184" s="61">
        <f t="shared" si="15"/>
        <v>0.96875</v>
      </c>
      <c r="AK184" s="139">
        <f>VLOOKUP($A184,Registry!$A$4:$AA$241,27,FALSE)</f>
        <v>329</v>
      </c>
      <c r="AL184" s="65">
        <v>329</v>
      </c>
      <c r="AM184" s="65">
        <v>324</v>
      </c>
      <c r="AN184" s="65">
        <v>319</v>
      </c>
      <c r="AO184" s="120">
        <f>IFERROR((AK184-Table4[[#This Row],[2019 Total Rent29]])/Table4[[#This Row],[2019 Total Rent29]], "-")</f>
        <v>3.1347962382445138E-2</v>
      </c>
    </row>
    <row r="185" spans="1:41" x14ac:dyDescent="0.25">
      <c r="A185" s="25">
        <v>170</v>
      </c>
      <c r="B185" s="54" t="str">
        <f>VLOOKUP(A185,Registry!$A$4:$AA$241,2,FALSE)</f>
        <v>Winch Hill Park</v>
      </c>
      <c r="C185" s="80" t="str">
        <f>VLOOKUP(A185,Registry!$A$4:$AA$241,3,FALSE)</f>
        <v>Washington</v>
      </c>
      <c r="D185" s="80" t="str">
        <f>VLOOKUP(A185,Registry!$A$4:$AA$241,4,FALSE)</f>
        <v>Northfield</v>
      </c>
      <c r="E185" s="80">
        <f>IF(VLOOKUP(A185,Registry!$A$4:$AA$241,7,FALSE)=0,"",VLOOKUP(A185,Registry!$A$4:$AA$241,7,FALSE))</f>
        <v>1966</v>
      </c>
      <c r="F185" s="80" t="str">
        <f>IF(VLOOKUP(A185,Registry!$A$4:$AA$241,20,FALSE)=0,"",VLOOKUP(A185,Registry!$A$4:$AA$241,20,FALSE))</f>
        <v>For profit</v>
      </c>
      <c r="G185" s="25">
        <v>1999</v>
      </c>
      <c r="H185" s="24">
        <f>VLOOKUP(A185,Registry!$A$4:$AA$241,21,FALSE)</f>
        <v>13</v>
      </c>
      <c r="I185" s="24">
        <f>VLOOKUP(A185,Registry!$A$4:$AA$241,24,FALSE)</f>
        <v>1</v>
      </c>
      <c r="J185" s="24">
        <f>VLOOKUP(A185,Registry!$A$4:$AA$241,26,FALSE)</f>
        <v>0</v>
      </c>
      <c r="K185" s="128">
        <v>1</v>
      </c>
      <c r="L185" s="128">
        <v>0</v>
      </c>
      <c r="M185" s="128">
        <v>1</v>
      </c>
      <c r="N185" s="128">
        <v>0</v>
      </c>
      <c r="O185" s="128">
        <v>1</v>
      </c>
      <c r="P185" s="128">
        <v>0</v>
      </c>
      <c r="Q185" s="28">
        <f>I185-Table4[[#This Row],[Park Owned6]]</f>
        <v>0</v>
      </c>
      <c r="R185" s="28">
        <f>J185-Table4[[#This Row],[Other Owned7]]</f>
        <v>0</v>
      </c>
      <c r="S185" s="24">
        <f>VLOOKUP($A185,Registry!$A$4:$AA$241,23,FALSE)</f>
        <v>0</v>
      </c>
      <c r="T185" s="61">
        <f t="shared" si="12"/>
        <v>0</v>
      </c>
      <c r="U185" s="35">
        <v>0</v>
      </c>
      <c r="V185" s="90">
        <v>0</v>
      </c>
      <c r="W185" s="86">
        <v>1</v>
      </c>
      <c r="X185" s="90">
        <v>7.6999999999999999E-2</v>
      </c>
      <c r="Y185" s="86">
        <v>0</v>
      </c>
      <c r="Z185" s="90">
        <v>0</v>
      </c>
      <c r="AA185" s="35">
        <f>Table4[[#This Row],['# Lots]]-Table4[[#This Row],['# Lots10]]</f>
        <v>0</v>
      </c>
      <c r="AB185" s="61">
        <f t="shared" si="16"/>
        <v>0</v>
      </c>
      <c r="AC185" s="35">
        <f>Table4[[#This Row],['# Lots]]-Table4[[#This Row],['# Lots14]]</f>
        <v>0</v>
      </c>
      <c r="AD185" s="61">
        <f t="shared" si="17"/>
        <v>0</v>
      </c>
      <c r="AE185" s="138">
        <v>13</v>
      </c>
      <c r="AF185" s="35">
        <v>12</v>
      </c>
      <c r="AG185" s="58">
        <v>13</v>
      </c>
      <c r="AH185" s="58">
        <v>11</v>
      </c>
      <c r="AI185" s="128">
        <f>Table4[[#This Row],[2022 Leased Lots20]]-Table4[[#This Row],[2019 Leased Lots23]]</f>
        <v>2</v>
      </c>
      <c r="AJ185" s="61">
        <f t="shared" si="15"/>
        <v>1</v>
      </c>
      <c r="AK185" s="139">
        <f>VLOOKUP($A185,Registry!$A$4:$AA$241,27,FALSE)</f>
        <v>270</v>
      </c>
      <c r="AL185" s="65">
        <v>260</v>
      </c>
      <c r="AM185" s="65">
        <v>260</v>
      </c>
      <c r="AN185" s="65">
        <v>260</v>
      </c>
      <c r="AO185" s="120">
        <f>IFERROR((AK185-Table4[[#This Row],[2019 Total Rent29]])/Table4[[#This Row],[2019 Total Rent29]], "-")</f>
        <v>3.8461538461538464E-2</v>
      </c>
    </row>
    <row r="186" spans="1:41" x14ac:dyDescent="0.25">
      <c r="A186" s="25">
        <v>72</v>
      </c>
      <c r="B186" s="54" t="str">
        <f>VLOOKUP(A186,Registry!$A$4:$AA$241,2,FALSE)</f>
        <v>Verd-Mont</v>
      </c>
      <c r="C186" s="80" t="str">
        <f>VLOOKUP(A186,Registry!$A$4:$AA$241,3,FALSE)</f>
        <v>Washington</v>
      </c>
      <c r="D186" s="80" t="str">
        <f>VLOOKUP(A186,Registry!$A$4:$AA$241,4,FALSE)</f>
        <v>Waitsfield</v>
      </c>
      <c r="E186" s="80">
        <f>IF(VLOOKUP(A186,Registry!$A$4:$AA$241,7,FALSE)=0,"",VLOOKUP(A186,Registry!$A$4:$AA$241,7,FALSE))</f>
        <v>1968</v>
      </c>
      <c r="F186" s="80" t="str">
        <f>IF(VLOOKUP(A186,Registry!$A$4:$AA$241,20,FALSE)=0,"",VLOOKUP(A186,Registry!$A$4:$AA$241,20,FALSE))</f>
        <v>Non-profit</v>
      </c>
      <c r="G186" s="25">
        <v>1999</v>
      </c>
      <c r="H186" s="24">
        <f>VLOOKUP(A186,Registry!$A$4:$AA$241,21,FALSE)</f>
        <v>29</v>
      </c>
      <c r="I186" s="24">
        <f>VLOOKUP(A186,Registry!$A$4:$AA$241,24,FALSE)</f>
        <v>0</v>
      </c>
      <c r="J186" s="24">
        <f>VLOOKUP(A186,Registry!$A$4:$AA$241,26,FALSE)</f>
        <v>0</v>
      </c>
      <c r="K186" s="128">
        <v>0</v>
      </c>
      <c r="L186" s="128">
        <v>0</v>
      </c>
      <c r="M186" s="128">
        <v>0</v>
      </c>
      <c r="N186" s="128">
        <v>0</v>
      </c>
      <c r="O186" s="128">
        <v>0</v>
      </c>
      <c r="P186" s="128">
        <v>0</v>
      </c>
      <c r="Q186" s="28">
        <f>I186-Table4[[#This Row],[Park Owned6]]</f>
        <v>0</v>
      </c>
      <c r="R186" s="28">
        <f>J186-Table4[[#This Row],[Other Owned7]]</f>
        <v>0</v>
      </c>
      <c r="S186" s="24">
        <f>VLOOKUP($A186,Registry!$A$4:$AA$241,23,FALSE)</f>
        <v>0</v>
      </c>
      <c r="T186" s="61">
        <f t="shared" si="12"/>
        <v>0</v>
      </c>
      <c r="U186" s="35">
        <v>1</v>
      </c>
      <c r="V186" s="90">
        <v>3.4482758620689655E-2</v>
      </c>
      <c r="W186" s="86">
        <v>1</v>
      </c>
      <c r="X186" s="90">
        <v>3.4000000000000002E-2</v>
      </c>
      <c r="Y186" s="86">
        <v>2</v>
      </c>
      <c r="Z186" s="90">
        <v>6.9000000000000006E-2</v>
      </c>
      <c r="AA186" s="35">
        <f>Table4[[#This Row],['# Lots]]-Table4[[#This Row],['# Lots10]]</f>
        <v>-1</v>
      </c>
      <c r="AB186" s="61">
        <f t="shared" si="16"/>
        <v>-3.4482758620689655E-2</v>
      </c>
      <c r="AC186" s="35">
        <f>Table4[[#This Row],['# Lots]]-Table4[[#This Row],['# Lots14]]</f>
        <v>-2</v>
      </c>
      <c r="AD186" s="61">
        <f t="shared" si="17"/>
        <v>-6.8965517241379309E-2</v>
      </c>
      <c r="AE186" s="138">
        <v>28</v>
      </c>
      <c r="AF186" s="35">
        <v>28</v>
      </c>
      <c r="AG186" s="58">
        <v>27</v>
      </c>
      <c r="AH186" s="58">
        <v>26</v>
      </c>
      <c r="AI186" s="128">
        <f>Table4[[#This Row],[2022 Leased Lots20]]-Table4[[#This Row],[2019 Leased Lots23]]</f>
        <v>2</v>
      </c>
      <c r="AJ186" s="61">
        <f t="shared" si="15"/>
        <v>0.96551724137931039</v>
      </c>
      <c r="AK186" s="139">
        <f>VLOOKUP($A186,Registry!$A$4:$AA$241,27,FALSE)</f>
        <v>303</v>
      </c>
      <c r="AL186" s="65">
        <v>294</v>
      </c>
      <c r="AM186" s="65">
        <v>286</v>
      </c>
      <c r="AN186" s="65">
        <v>276</v>
      </c>
      <c r="AO186" s="120">
        <f>IFERROR((AK186-Table4[[#This Row],[2019 Total Rent29]])/Table4[[#This Row],[2019 Total Rent29]], "-")</f>
        <v>9.7826086956521743E-2</v>
      </c>
    </row>
    <row r="187" spans="1:41" x14ac:dyDescent="0.25">
      <c r="A187" s="25">
        <v>119</v>
      </c>
      <c r="B187" s="54" t="str">
        <f>VLOOKUP(A187,Registry!$A$4:$AA$241,2,FALSE)</f>
        <v>East Wind Mobile Home Park</v>
      </c>
      <c r="C187" s="80" t="str">
        <f>VLOOKUP(A187,Registry!$A$4:$AA$241,3,FALSE)</f>
        <v>Washington</v>
      </c>
      <c r="D187" s="80" t="str">
        <f>VLOOKUP(A187,Registry!$A$4:$AA$241,4,FALSE)</f>
        <v>Waterbury</v>
      </c>
      <c r="E187" s="80">
        <f>IF(VLOOKUP(A187,Registry!$A$4:$AA$241,7,FALSE)=0,"",VLOOKUP(A187,Registry!$A$4:$AA$241,7,FALSE))</f>
        <v>1958</v>
      </c>
      <c r="F187" s="80" t="str">
        <f>IF(VLOOKUP(A187,Registry!$A$4:$AA$241,20,FALSE)=0,"",VLOOKUP(A187,Registry!$A$4:$AA$241,20,FALSE))</f>
        <v>For profit</v>
      </c>
      <c r="G187" s="25">
        <v>2014</v>
      </c>
      <c r="H187" s="24">
        <f>VLOOKUP(A187,Registry!$A$4:$AA$241,21,FALSE)</f>
        <v>28</v>
      </c>
      <c r="I187" s="24">
        <f>VLOOKUP(A187,Registry!$A$4:$AA$241,24,FALSE)</f>
        <v>0</v>
      </c>
      <c r="J187" s="24">
        <f>VLOOKUP(A187,Registry!$A$4:$AA$241,26,FALSE)</f>
        <v>0</v>
      </c>
      <c r="K187" s="128">
        <v>1</v>
      </c>
      <c r="L187" s="128">
        <v>0</v>
      </c>
      <c r="M187" s="128">
        <v>0</v>
      </c>
      <c r="N187" s="128">
        <v>0</v>
      </c>
      <c r="O187" s="128">
        <v>0</v>
      </c>
      <c r="P187" s="128">
        <v>0</v>
      </c>
      <c r="Q187" s="28">
        <f>I187-Table4[[#This Row],[Park Owned6]]</f>
        <v>0</v>
      </c>
      <c r="R187" s="28">
        <f>J187-Table4[[#This Row],[Other Owned7]]</f>
        <v>0</v>
      </c>
      <c r="S187" s="24">
        <f>VLOOKUP($A187,Registry!$A$4:$AA$241,23,FALSE)</f>
        <v>1</v>
      </c>
      <c r="T187" s="61">
        <f t="shared" si="12"/>
        <v>3.5714285714285712E-2</v>
      </c>
      <c r="U187" s="35">
        <v>0</v>
      </c>
      <c r="V187" s="90">
        <v>0</v>
      </c>
      <c r="W187" s="86">
        <v>0</v>
      </c>
      <c r="X187" s="90">
        <v>0</v>
      </c>
      <c r="Y187" s="86">
        <v>0</v>
      </c>
      <c r="Z187" s="90">
        <v>0</v>
      </c>
      <c r="AA187" s="35">
        <f>Table4[[#This Row],['# Lots]]-Table4[[#This Row],['# Lots10]]</f>
        <v>1</v>
      </c>
      <c r="AB187" s="61">
        <f t="shared" si="16"/>
        <v>3.5714285714285712E-2</v>
      </c>
      <c r="AC187" s="35">
        <f>Table4[[#This Row],['# Lots]]-Table4[[#This Row],['# Lots14]]</f>
        <v>1</v>
      </c>
      <c r="AD187" s="61">
        <f t="shared" si="17"/>
        <v>3.5714285714285712E-2</v>
      </c>
      <c r="AE187" s="138">
        <v>28</v>
      </c>
      <c r="AF187" s="35">
        <v>28</v>
      </c>
      <c r="AG187" s="58">
        <v>28</v>
      </c>
      <c r="AH187" s="58">
        <v>28</v>
      </c>
      <c r="AI187" s="128">
        <f>Table4[[#This Row],[2022 Leased Lots20]]-Table4[[#This Row],[2019 Leased Lots23]]</f>
        <v>0</v>
      </c>
      <c r="AJ187" s="61">
        <f t="shared" si="15"/>
        <v>1</v>
      </c>
      <c r="AK187" s="139">
        <f>VLOOKUP($A187,Registry!$A$4:$AA$241,27,FALSE)</f>
        <v>420</v>
      </c>
      <c r="AL187" s="65">
        <v>396</v>
      </c>
      <c r="AM187" s="65">
        <v>396</v>
      </c>
      <c r="AN187" s="65">
        <v>388</v>
      </c>
      <c r="AO187" s="120">
        <f>IFERROR((AK187-Table4[[#This Row],[2019 Total Rent29]])/Table4[[#This Row],[2019 Total Rent29]], "-")</f>
        <v>8.247422680412371E-2</v>
      </c>
    </row>
    <row r="188" spans="1:41" x14ac:dyDescent="0.25">
      <c r="A188" s="25">
        <v>272</v>
      </c>
      <c r="B188" s="54" t="str">
        <f>VLOOKUP(A188,Registry!$A$4:$AA$241,2,FALSE)</f>
        <v>Kneeland Flats Mobile Home Park</v>
      </c>
      <c r="C188" s="80" t="str">
        <f>VLOOKUP(A188,Registry!$A$4:$AA$241,3,FALSE)</f>
        <v>Washington</v>
      </c>
      <c r="D188" s="80" t="str">
        <f>VLOOKUP(A188,Registry!$A$4:$AA$241,4,FALSE)</f>
        <v>Waterbury</v>
      </c>
      <c r="E188" s="80">
        <f>IF(VLOOKUP(A188,Registry!$A$4:$AA$241,7,FALSE)=0,"",VLOOKUP(A188,Registry!$A$4:$AA$241,7,FALSE))</f>
        <v>1967</v>
      </c>
      <c r="F188" s="80" t="str">
        <f>IF(VLOOKUP(A188,Registry!$A$4:$AA$241,20,FALSE)=0,"",VLOOKUP(A188,Registry!$A$4:$AA$241,20,FALSE))</f>
        <v>For profit</v>
      </c>
      <c r="G188" s="25">
        <v>1976</v>
      </c>
      <c r="H188" s="24">
        <f>VLOOKUP(A188,Registry!$A$4:$AA$241,21,FALSE)</f>
        <v>67</v>
      </c>
      <c r="I188" s="24">
        <f>VLOOKUP(A188,Registry!$A$4:$AA$241,24,FALSE)</f>
        <v>0</v>
      </c>
      <c r="J188" s="24">
        <f>VLOOKUP(A188,Registry!$A$4:$AA$241,26,FALSE)</f>
        <v>0</v>
      </c>
      <c r="K188" s="128">
        <v>0</v>
      </c>
      <c r="L188" s="128">
        <v>0</v>
      </c>
      <c r="M188" s="128">
        <v>0</v>
      </c>
      <c r="N188" s="128">
        <v>3</v>
      </c>
      <c r="O188" s="128">
        <v>0</v>
      </c>
      <c r="P188" s="128">
        <v>3</v>
      </c>
      <c r="Q188" s="28">
        <f>I188-Table4[[#This Row],[Park Owned6]]</f>
        <v>0</v>
      </c>
      <c r="R188" s="28">
        <f>J188-Table4[[#This Row],[Other Owned7]]</f>
        <v>-3</v>
      </c>
      <c r="S188" s="24">
        <f>VLOOKUP($A188,Registry!$A$4:$AA$241,23,FALSE)</f>
        <v>0</v>
      </c>
      <c r="T188" s="61">
        <f t="shared" si="12"/>
        <v>0</v>
      </c>
      <c r="U188" s="35">
        <v>1</v>
      </c>
      <c r="V188" s="90">
        <v>1.4925373134328358E-2</v>
      </c>
      <c r="W188" s="86">
        <v>1</v>
      </c>
      <c r="X188" s="90">
        <v>1.4999999999999999E-2</v>
      </c>
      <c r="Y188" s="86">
        <v>1</v>
      </c>
      <c r="Z188" s="90">
        <v>1.4999999999999999E-2</v>
      </c>
      <c r="AA188" s="35">
        <f>Table4[[#This Row],['# Lots]]-Table4[[#This Row],['# Lots10]]</f>
        <v>-1</v>
      </c>
      <c r="AB188" s="61">
        <f t="shared" si="16"/>
        <v>-1.4925373134328358E-2</v>
      </c>
      <c r="AC188" s="35">
        <f>Table4[[#This Row],['# Lots]]-Table4[[#This Row],['# Lots14]]</f>
        <v>-1</v>
      </c>
      <c r="AD188" s="61">
        <f t="shared" si="17"/>
        <v>-1.4925373134328358E-2</v>
      </c>
      <c r="AE188" s="138">
        <v>66</v>
      </c>
      <c r="AF188" s="35">
        <v>63</v>
      </c>
      <c r="AG188" s="58">
        <v>63</v>
      </c>
      <c r="AH188" s="58">
        <v>64</v>
      </c>
      <c r="AI188" s="128">
        <f>Table4[[#This Row],[2022 Leased Lots20]]-Table4[[#This Row],[2019 Leased Lots23]]</f>
        <v>2</v>
      </c>
      <c r="AJ188" s="61">
        <f t="shared" si="15"/>
        <v>0.9850746268656716</v>
      </c>
      <c r="AK188" s="139">
        <f>VLOOKUP($A188,Registry!$A$4:$AA$241,27,FALSE)</f>
        <v>384</v>
      </c>
      <c r="AL188" s="65">
        <v>368</v>
      </c>
      <c r="AM188" s="65">
        <v>368</v>
      </c>
      <c r="AN188" s="65">
        <v>355</v>
      </c>
      <c r="AO188" s="120">
        <f>IFERROR((AK188-Table4[[#This Row],[2019 Total Rent29]])/Table4[[#This Row],[2019 Total Rent29]], "-")</f>
        <v>8.1690140845070425E-2</v>
      </c>
    </row>
    <row r="189" spans="1:41" x14ac:dyDescent="0.25">
      <c r="A189" s="25">
        <v>319</v>
      </c>
      <c r="B189" s="54" t="str">
        <f>VLOOKUP(A189,Registry!$A$4:$AA$241,2,FALSE)</f>
        <v>156 Brookline Road</v>
      </c>
      <c r="C189" s="80" t="str">
        <f>VLOOKUP(A189,Registry!$A$4:$AA$241,3,FALSE)</f>
        <v>Windham</v>
      </c>
      <c r="D189" s="80" t="str">
        <f>VLOOKUP(A189,Registry!$A$4:$AA$241,4,FALSE)</f>
        <v>Athens</v>
      </c>
      <c r="E189" s="80" t="str">
        <f>IF(VLOOKUP(A189,Registry!$A$4:$AA$241,7,FALSE)=0,"",VLOOKUP(A189,Registry!$A$4:$AA$241,7,FALSE))</f>
        <v/>
      </c>
      <c r="F189" s="80" t="str">
        <f>IF(VLOOKUP(A189,Registry!$A$4:$AA$241,20,FALSE)=0,"",VLOOKUP(A189,Registry!$A$4:$AA$241,20,FALSE))</f>
        <v>For profit</v>
      </c>
      <c r="G189" s="25">
        <v>0</v>
      </c>
      <c r="H189" s="24">
        <f>VLOOKUP(A189,Registry!$A$4:$AA$241,21,FALSE)</f>
        <v>4</v>
      </c>
      <c r="I189" s="24">
        <f>VLOOKUP(A189,Registry!$A$4:$AA$241,24,FALSE)</f>
        <v>4</v>
      </c>
      <c r="J189" s="24">
        <f>VLOOKUP(A189,Registry!$A$4:$AA$241,26,FALSE)</f>
        <v>0</v>
      </c>
      <c r="K189" s="128">
        <v>4</v>
      </c>
      <c r="L189" s="128">
        <v>0</v>
      </c>
      <c r="M189" s="128">
        <v>4</v>
      </c>
      <c r="N189" s="128">
        <v>0</v>
      </c>
      <c r="O189" s="128">
        <v>4</v>
      </c>
      <c r="P189" s="128">
        <v>0</v>
      </c>
      <c r="Q189" s="28">
        <f>I189-Table4[[#This Row],[Park Owned6]]</f>
        <v>0</v>
      </c>
      <c r="R189" s="28">
        <f>J189-Table4[[#This Row],[Other Owned7]]</f>
        <v>0</v>
      </c>
      <c r="S189" s="24">
        <f>VLOOKUP($A189,Registry!$A$4:$AA$241,23,FALSE)</f>
        <v>0</v>
      </c>
      <c r="T189" s="61">
        <f t="shared" si="12"/>
        <v>0</v>
      </c>
      <c r="U189" s="35">
        <v>0</v>
      </c>
      <c r="V189" s="90">
        <v>0</v>
      </c>
      <c r="W189" s="86"/>
      <c r="X189" s="90">
        <v>0</v>
      </c>
      <c r="Y189" s="86">
        <v>0</v>
      </c>
      <c r="Z189" s="90">
        <v>0</v>
      </c>
      <c r="AA189" s="35">
        <f>Table4[[#This Row],['# Lots]]-Table4[[#This Row],['# Lots10]]</f>
        <v>0</v>
      </c>
      <c r="AB189" s="61">
        <f t="shared" si="16"/>
        <v>0</v>
      </c>
      <c r="AC189" s="35">
        <f>Table4[[#This Row],['# Lots]]-Table4[[#This Row],['# Lots14]]</f>
        <v>0</v>
      </c>
      <c r="AD189" s="61">
        <f t="shared" si="17"/>
        <v>0</v>
      </c>
      <c r="AE189" s="138">
        <v>4</v>
      </c>
      <c r="AF189" s="35">
        <v>4</v>
      </c>
      <c r="AG189" s="58">
        <v>4</v>
      </c>
      <c r="AH189" s="58">
        <v>4</v>
      </c>
      <c r="AI189" s="128">
        <f>Table4[[#This Row],[2022 Leased Lots20]]-Table4[[#This Row],[2019 Leased Lots23]]</f>
        <v>0</v>
      </c>
      <c r="AJ189" s="61">
        <f t="shared" si="15"/>
        <v>1</v>
      </c>
      <c r="AK189" s="139">
        <f>VLOOKUP($A189,Registry!$A$4:$AA$241,27,FALSE)</f>
        <v>0</v>
      </c>
      <c r="AL189" s="65">
        <v>0</v>
      </c>
      <c r="AM189" s="65"/>
      <c r="AN189" s="65"/>
      <c r="AO189" s="120" t="str">
        <f>IFERROR((AK189-Table4[[#This Row],[2019 Total Rent29]])/Table4[[#This Row],[2019 Total Rent29]], "-")</f>
        <v>-</v>
      </c>
    </row>
    <row r="190" spans="1:41" x14ac:dyDescent="0.25">
      <c r="A190" s="25">
        <v>35</v>
      </c>
      <c r="B190" s="54" t="str">
        <f>VLOOKUP(A190,Registry!$A$4:$AA$241,2,FALSE)</f>
        <v>Tenney's Trailer Park</v>
      </c>
      <c r="C190" s="80" t="str">
        <f>VLOOKUP(A190,Registry!$A$4:$AA$241,3,FALSE)</f>
        <v>Windham</v>
      </c>
      <c r="D190" s="80" t="str">
        <f>VLOOKUP(A190,Registry!$A$4:$AA$241,4,FALSE)</f>
        <v>Athens</v>
      </c>
      <c r="E190" s="80">
        <f>IF(VLOOKUP(A190,Registry!$A$4:$AA$241,7,FALSE)=0,"",VLOOKUP(A190,Registry!$A$4:$AA$241,7,FALSE))</f>
        <v>1960</v>
      </c>
      <c r="F190" s="80" t="str">
        <f>IF(VLOOKUP(A190,Registry!$A$4:$AA$241,20,FALSE)=0,"",VLOOKUP(A190,Registry!$A$4:$AA$241,20,FALSE))</f>
        <v>For profit</v>
      </c>
      <c r="G190" s="25">
        <v>1968</v>
      </c>
      <c r="H190" s="24">
        <f>VLOOKUP(A190,Registry!$A$4:$AA$241,21,FALSE)</f>
        <v>5</v>
      </c>
      <c r="I190" s="24">
        <f>VLOOKUP(A190,Registry!$A$4:$AA$241,24,FALSE)</f>
        <v>5</v>
      </c>
      <c r="J190" s="24">
        <f>VLOOKUP(A190,Registry!$A$4:$AA$241,26,FALSE)</f>
        <v>0</v>
      </c>
      <c r="K190" s="128">
        <v>5</v>
      </c>
      <c r="L190" s="128">
        <v>0</v>
      </c>
      <c r="M190" s="128">
        <v>4</v>
      </c>
      <c r="N190" s="128">
        <v>0</v>
      </c>
      <c r="O190" s="128">
        <v>4</v>
      </c>
      <c r="P190" s="128">
        <v>0</v>
      </c>
      <c r="Q190" s="28">
        <f>I190-Table4[[#This Row],[Park Owned6]]</f>
        <v>1</v>
      </c>
      <c r="R190" s="28">
        <f>J190-Table4[[#This Row],[Other Owned7]]</f>
        <v>0</v>
      </c>
      <c r="S190" s="24">
        <f>VLOOKUP($A190,Registry!$A$4:$AA$241,23,FALSE)</f>
        <v>0</v>
      </c>
      <c r="T190" s="61">
        <f t="shared" si="12"/>
        <v>0</v>
      </c>
      <c r="U190" s="35">
        <v>0</v>
      </c>
      <c r="V190" s="90">
        <v>0</v>
      </c>
      <c r="W190" s="86">
        <v>0</v>
      </c>
      <c r="X190" s="90">
        <v>0</v>
      </c>
      <c r="Y190" s="86">
        <v>0</v>
      </c>
      <c r="Z190" s="90">
        <v>0</v>
      </c>
      <c r="AA190" s="35">
        <f>Table4[[#This Row],['# Lots]]-Table4[[#This Row],['# Lots10]]</f>
        <v>0</v>
      </c>
      <c r="AB190" s="61">
        <f t="shared" si="16"/>
        <v>0</v>
      </c>
      <c r="AC190" s="35">
        <f>Table4[[#This Row],['# Lots]]-Table4[[#This Row],['# Lots14]]</f>
        <v>0</v>
      </c>
      <c r="AD190" s="61">
        <f t="shared" si="17"/>
        <v>0</v>
      </c>
      <c r="AE190" s="138">
        <v>5</v>
      </c>
      <c r="AF190" s="35">
        <v>5</v>
      </c>
      <c r="AG190" s="58">
        <v>5</v>
      </c>
      <c r="AH190" s="58">
        <v>5</v>
      </c>
      <c r="AI190" s="128">
        <f>Table4[[#This Row],[2022 Leased Lots20]]-Table4[[#This Row],[2019 Leased Lots23]]</f>
        <v>0</v>
      </c>
      <c r="AJ190" s="61">
        <f t="shared" si="15"/>
        <v>1</v>
      </c>
      <c r="AK190" s="139">
        <f>VLOOKUP($A190,Registry!$A$4:$AA$241,27,FALSE)</f>
        <v>0</v>
      </c>
      <c r="AL190" s="65">
        <v>250</v>
      </c>
      <c r="AM190" s="65">
        <v>250</v>
      </c>
      <c r="AN190" s="65">
        <v>250</v>
      </c>
      <c r="AO190" s="120">
        <f>IFERROR((AK190-Table4[[#This Row],[2019 Total Rent29]])/Table4[[#This Row],[2019 Total Rent29]], "-")</f>
        <v>-1</v>
      </c>
    </row>
    <row r="191" spans="1:41" x14ac:dyDescent="0.25">
      <c r="A191" s="25">
        <v>60</v>
      </c>
      <c r="B191" s="54" t="str">
        <f>VLOOKUP(A191,Registry!$A$4:$AA$241,2,FALSE)</f>
        <v>Black Mountain Park</v>
      </c>
      <c r="C191" s="80" t="str">
        <f>VLOOKUP(A191,Registry!$A$4:$AA$241,3,FALSE)</f>
        <v>Windham</v>
      </c>
      <c r="D191" s="80" t="str">
        <f>VLOOKUP(A191,Registry!$A$4:$AA$241,4,FALSE)</f>
        <v>Brattleboro</v>
      </c>
      <c r="E191" s="80">
        <f>IF(VLOOKUP(A191,Registry!$A$4:$AA$241,7,FALSE)=0,"",VLOOKUP(A191,Registry!$A$4:$AA$241,7,FALSE))</f>
        <v>1956</v>
      </c>
      <c r="F191" s="80" t="str">
        <f>IF(VLOOKUP(A191,Registry!$A$4:$AA$241,20,FALSE)=0,"",VLOOKUP(A191,Registry!$A$4:$AA$241,20,FALSE))</f>
        <v>Cooperative</v>
      </c>
      <c r="G191" s="25">
        <v>1989</v>
      </c>
      <c r="H191" s="24">
        <f>VLOOKUP(A191,Registry!$A$4:$AA$241,21,FALSE)</f>
        <v>29</v>
      </c>
      <c r="I191" s="24">
        <f>VLOOKUP(A191,Registry!$A$4:$AA$241,24,FALSE)</f>
        <v>0</v>
      </c>
      <c r="J191" s="24">
        <f>VLOOKUP(A191,Registry!$A$4:$AA$241,26,FALSE)</f>
        <v>0</v>
      </c>
      <c r="K191" s="128">
        <v>1</v>
      </c>
      <c r="L191" s="128">
        <v>0</v>
      </c>
      <c r="M191" s="128">
        <v>0</v>
      </c>
      <c r="N191" s="128">
        <v>0</v>
      </c>
      <c r="O191" s="128">
        <v>2</v>
      </c>
      <c r="P191" s="128">
        <v>0</v>
      </c>
      <c r="Q191" s="28">
        <f>I191-Table4[[#This Row],[Park Owned6]]</f>
        <v>-2</v>
      </c>
      <c r="R191" s="28">
        <f>J191-Table4[[#This Row],[Other Owned7]]</f>
        <v>0</v>
      </c>
      <c r="S191" s="24">
        <f>VLOOKUP($A191,Registry!$A$4:$AA$241,23,FALSE)</f>
        <v>6</v>
      </c>
      <c r="T191" s="61">
        <f t="shared" si="12"/>
        <v>0.20689655172413793</v>
      </c>
      <c r="U191" s="35">
        <v>5</v>
      </c>
      <c r="V191" s="90">
        <v>0.17241379310344829</v>
      </c>
      <c r="W191" s="86">
        <v>5</v>
      </c>
      <c r="X191" s="90">
        <v>0.17899999999999999</v>
      </c>
      <c r="Y191" s="86">
        <v>4</v>
      </c>
      <c r="Z191" s="90">
        <v>0.14300000000000002</v>
      </c>
      <c r="AA191" s="35">
        <f>Table4[[#This Row],['# Lots]]-Table4[[#This Row],['# Lots10]]</f>
        <v>1</v>
      </c>
      <c r="AB191" s="61">
        <f t="shared" si="16"/>
        <v>3.4482758620689655E-2</v>
      </c>
      <c r="AC191" s="35">
        <f>Table4[[#This Row],['# Lots]]-Table4[[#This Row],['# Lots14]]</f>
        <v>2</v>
      </c>
      <c r="AD191" s="61">
        <f t="shared" si="17"/>
        <v>6.8965517241379309E-2</v>
      </c>
      <c r="AE191" s="138">
        <v>22</v>
      </c>
      <c r="AF191" s="35">
        <v>23</v>
      </c>
      <c r="AG191" s="58">
        <v>22</v>
      </c>
      <c r="AH191" s="58">
        <v>24</v>
      </c>
      <c r="AI191" s="128">
        <f>Table4[[#This Row],[2022 Leased Lots20]]-Table4[[#This Row],[2019 Leased Lots23]]</f>
        <v>-2</v>
      </c>
      <c r="AJ191" s="61">
        <f t="shared" si="15"/>
        <v>0.75862068965517238</v>
      </c>
      <c r="AK191" s="139">
        <f>VLOOKUP($A191,Registry!$A$4:$AA$241,27,FALSE)</f>
        <v>333</v>
      </c>
      <c r="AL191" s="65">
        <v>320</v>
      </c>
      <c r="AM191" s="65">
        <v>314</v>
      </c>
      <c r="AN191" s="65">
        <v>305</v>
      </c>
      <c r="AO191" s="120">
        <f>IFERROR((AK191-Table4[[#This Row],[2019 Total Rent29]])/Table4[[#This Row],[2019 Total Rent29]], "-")</f>
        <v>9.1803278688524587E-2</v>
      </c>
    </row>
    <row r="192" spans="1:41" x14ac:dyDescent="0.25">
      <c r="A192" s="25">
        <v>137</v>
      </c>
      <c r="B192" s="54" t="str">
        <f>VLOOKUP(A192,Registry!$A$4:$AA$241,2,FALSE)</f>
        <v>Deepwood Mobile Home Park</v>
      </c>
      <c r="C192" s="80" t="str">
        <f>VLOOKUP(A192,Registry!$A$4:$AA$241,3,FALSE)</f>
        <v>Windham</v>
      </c>
      <c r="D192" s="80" t="str">
        <f>VLOOKUP(A192,Registry!$A$4:$AA$241,4,FALSE)</f>
        <v>Brattleboro</v>
      </c>
      <c r="E192" s="80">
        <f>IF(VLOOKUP(A192,Registry!$A$4:$AA$241,7,FALSE)=0,"",VLOOKUP(A192,Registry!$A$4:$AA$241,7,FALSE))</f>
        <v>1991</v>
      </c>
      <c r="F192" s="80" t="str">
        <f>IF(VLOOKUP(A192,Registry!$A$4:$AA$241,20,FALSE)=0,"",VLOOKUP(A192,Registry!$A$4:$AA$241,20,FALSE))</f>
        <v>Non-profit</v>
      </c>
      <c r="G192" s="25">
        <v>1991</v>
      </c>
      <c r="H192" s="24">
        <f>VLOOKUP(A192,Registry!$A$4:$AA$241,21,FALSE)</f>
        <v>44</v>
      </c>
      <c r="I192" s="24">
        <f>VLOOKUP(A192,Registry!$A$4:$AA$241,24,FALSE)</f>
        <v>0</v>
      </c>
      <c r="J192" s="24">
        <f>VLOOKUP(A192,Registry!$A$4:$AA$241,26,FALSE)</f>
        <v>0</v>
      </c>
      <c r="K192" s="128">
        <v>1</v>
      </c>
      <c r="L192" s="128">
        <v>0</v>
      </c>
      <c r="M192" s="128">
        <v>1</v>
      </c>
      <c r="N192" s="128">
        <v>0</v>
      </c>
      <c r="O192" s="128">
        <v>0</v>
      </c>
      <c r="P192" s="128">
        <v>1</v>
      </c>
      <c r="Q192" s="28">
        <f>I192-Table4[[#This Row],[Park Owned6]]</f>
        <v>0</v>
      </c>
      <c r="R192" s="28">
        <f>J192-Table4[[#This Row],[Other Owned7]]</f>
        <v>-1</v>
      </c>
      <c r="S192" s="24">
        <f>VLOOKUP($A192,Registry!$A$4:$AA$241,23,FALSE)</f>
        <v>2</v>
      </c>
      <c r="T192" s="61">
        <f t="shared" si="12"/>
        <v>4.5454545454545456E-2</v>
      </c>
      <c r="U192" s="35">
        <v>1</v>
      </c>
      <c r="V192" s="90">
        <v>2.2727272727272728E-2</v>
      </c>
      <c r="W192" s="86">
        <v>1</v>
      </c>
      <c r="X192" s="90">
        <v>2.3E-2</v>
      </c>
      <c r="Y192" s="86">
        <v>1</v>
      </c>
      <c r="Z192" s="90">
        <v>2.3E-2</v>
      </c>
      <c r="AA192" s="35">
        <f>Table4[[#This Row],['# Lots]]-Table4[[#This Row],['# Lots10]]</f>
        <v>1</v>
      </c>
      <c r="AB192" s="61">
        <f t="shared" si="16"/>
        <v>2.2727272727272728E-2</v>
      </c>
      <c r="AC192" s="35">
        <f>Table4[[#This Row],['# Lots]]-Table4[[#This Row],['# Lots14]]</f>
        <v>1</v>
      </c>
      <c r="AD192" s="61">
        <f t="shared" si="17"/>
        <v>2.2727272727272728E-2</v>
      </c>
      <c r="AE192" s="138">
        <v>42</v>
      </c>
      <c r="AF192" s="35">
        <v>42</v>
      </c>
      <c r="AG192" s="58">
        <v>42</v>
      </c>
      <c r="AH192" s="58">
        <v>42</v>
      </c>
      <c r="AI192" s="128">
        <f>Table4[[#This Row],[2022 Leased Lots20]]-Table4[[#This Row],[2019 Leased Lots23]]</f>
        <v>0</v>
      </c>
      <c r="AJ192" s="61">
        <f t="shared" si="15"/>
        <v>0.95454545454545459</v>
      </c>
      <c r="AK192" s="139">
        <f>VLOOKUP($A192,Registry!$A$4:$AA$241,27,FALSE)</f>
        <v>417</v>
      </c>
      <c r="AL192" s="65">
        <v>417</v>
      </c>
      <c r="AM192" s="65">
        <v>405</v>
      </c>
      <c r="AN192" s="65">
        <v>391</v>
      </c>
      <c r="AO192" s="120">
        <f>IFERROR((AK192-Table4[[#This Row],[2019 Total Rent29]])/Table4[[#This Row],[2019 Total Rent29]], "-")</f>
        <v>6.6496163682864456E-2</v>
      </c>
    </row>
    <row r="193" spans="1:41" x14ac:dyDescent="0.25">
      <c r="A193" s="25">
        <v>61</v>
      </c>
      <c r="B193" s="54" t="str">
        <f>VLOOKUP(A193,Registry!$A$4:$AA$241,2,FALSE)</f>
        <v>Glen Park</v>
      </c>
      <c r="C193" s="80" t="str">
        <f>VLOOKUP(A193,Registry!$A$4:$AA$241,3,FALSE)</f>
        <v>Windham</v>
      </c>
      <c r="D193" s="80" t="str">
        <f>VLOOKUP(A193,Registry!$A$4:$AA$241,4,FALSE)</f>
        <v>Brattleboro</v>
      </c>
      <c r="E193" s="80">
        <f>IF(VLOOKUP(A193,Registry!$A$4:$AA$241,7,FALSE)=0,"",VLOOKUP(A193,Registry!$A$4:$AA$241,7,FALSE))</f>
        <v>1953</v>
      </c>
      <c r="F193" s="80" t="str">
        <f>IF(VLOOKUP(A193,Registry!$A$4:$AA$241,20,FALSE)=0,"",VLOOKUP(A193,Registry!$A$4:$AA$241,20,FALSE))</f>
        <v>Cooperative</v>
      </c>
      <c r="G193" s="25">
        <v>1989</v>
      </c>
      <c r="H193" s="24">
        <f>VLOOKUP(A193,Registry!$A$4:$AA$241,21,FALSE)</f>
        <v>21</v>
      </c>
      <c r="I193" s="24">
        <f>VLOOKUP(A193,Registry!$A$4:$AA$241,24,FALSE)</f>
        <v>0</v>
      </c>
      <c r="J193" s="24">
        <f>VLOOKUP(A193,Registry!$A$4:$AA$241,26,FALSE)</f>
        <v>2</v>
      </c>
      <c r="K193" s="128">
        <v>0</v>
      </c>
      <c r="L193" s="128">
        <v>1</v>
      </c>
      <c r="M193" s="128">
        <v>0</v>
      </c>
      <c r="N193" s="128">
        <v>1</v>
      </c>
      <c r="O193" s="128">
        <v>0</v>
      </c>
      <c r="P193" s="128">
        <v>2</v>
      </c>
      <c r="Q193" s="28">
        <f>I193-Table4[[#This Row],[Park Owned6]]</f>
        <v>0</v>
      </c>
      <c r="R193" s="28">
        <f>J193-Table4[[#This Row],[Other Owned7]]</f>
        <v>0</v>
      </c>
      <c r="S193" s="24">
        <f>VLOOKUP($A193,Registry!$A$4:$AA$241,23,FALSE)</f>
        <v>2</v>
      </c>
      <c r="T193" s="61">
        <f t="shared" si="12"/>
        <v>9.5238095238095233E-2</v>
      </c>
      <c r="U193" s="35">
        <v>1</v>
      </c>
      <c r="V193" s="90">
        <v>4.3478260869565216E-2</v>
      </c>
      <c r="W193" s="86">
        <v>1</v>
      </c>
      <c r="X193" s="90">
        <v>4.2999999999999997E-2</v>
      </c>
      <c r="Y193" s="86">
        <v>1</v>
      </c>
      <c r="Z193" s="90">
        <v>4.2999999999999997E-2</v>
      </c>
      <c r="AA193" s="35">
        <f>Table4[[#This Row],['# Lots]]-Table4[[#This Row],['# Lots10]]</f>
        <v>1</v>
      </c>
      <c r="AB193" s="61">
        <f t="shared" si="16"/>
        <v>4.7619047619047616E-2</v>
      </c>
      <c r="AC193" s="35">
        <f>Table4[[#This Row],['# Lots]]-Table4[[#This Row],['# Lots14]]</f>
        <v>1</v>
      </c>
      <c r="AD193" s="61">
        <f t="shared" si="17"/>
        <v>4.7619047619047616E-2</v>
      </c>
      <c r="AE193" s="138">
        <v>22</v>
      </c>
      <c r="AF193" s="35">
        <v>22</v>
      </c>
      <c r="AG193" s="58">
        <v>20</v>
      </c>
      <c r="AH193" s="58">
        <v>21</v>
      </c>
      <c r="AI193" s="128">
        <f>Table4[[#This Row],[2022 Leased Lots20]]-Table4[[#This Row],[2019 Leased Lots23]]</f>
        <v>1</v>
      </c>
      <c r="AJ193" s="61">
        <f t="shared" si="15"/>
        <v>1.0476190476190477</v>
      </c>
      <c r="AK193" s="139">
        <f>VLOOKUP($A193,Registry!$A$4:$AA$241,27,FALSE)</f>
        <v>333</v>
      </c>
      <c r="AL193" s="65">
        <v>320</v>
      </c>
      <c r="AM193" s="65">
        <v>314</v>
      </c>
      <c r="AN193" s="65">
        <v>305</v>
      </c>
      <c r="AO193" s="120">
        <f>IFERROR((AK193-Table4[[#This Row],[2019 Total Rent29]])/Table4[[#This Row],[2019 Total Rent29]], "-")</f>
        <v>9.1803278688524587E-2</v>
      </c>
    </row>
    <row r="194" spans="1:41" x14ac:dyDescent="0.25">
      <c r="A194" s="25">
        <v>59</v>
      </c>
      <c r="B194" s="54" t="str">
        <f>VLOOKUP(A194,Registry!$A$4:$AA$241,2,FALSE)</f>
        <v>Mountain Home Park</v>
      </c>
      <c r="C194" s="80" t="str">
        <f>VLOOKUP(A194,Registry!$A$4:$AA$241,3,FALSE)</f>
        <v>Windham</v>
      </c>
      <c r="D194" s="80" t="str">
        <f>VLOOKUP(A194,Registry!$A$4:$AA$241,4,FALSE)</f>
        <v>Brattleboro</v>
      </c>
      <c r="E194" s="80">
        <f>IF(VLOOKUP(A194,Registry!$A$4:$AA$241,7,FALSE)=0,"",VLOOKUP(A194,Registry!$A$4:$AA$241,7,FALSE))</f>
        <v>1958</v>
      </c>
      <c r="F194" s="80" t="str">
        <f>IF(VLOOKUP(A194,Registry!$A$4:$AA$241,20,FALSE)=0,"",VLOOKUP(A194,Registry!$A$4:$AA$241,20,FALSE))</f>
        <v>Cooperative</v>
      </c>
      <c r="G194" s="25">
        <v>1989</v>
      </c>
      <c r="H194" s="24">
        <f>VLOOKUP(A194,Registry!$A$4:$AA$241,21,FALSE)</f>
        <v>262</v>
      </c>
      <c r="I194" s="24">
        <f>VLOOKUP(A194,Registry!$A$4:$AA$241,24,FALSE)</f>
        <v>1</v>
      </c>
      <c r="J194" s="24">
        <f>VLOOKUP(A194,Registry!$A$4:$AA$241,26,FALSE)</f>
        <v>3</v>
      </c>
      <c r="K194" s="128">
        <v>1</v>
      </c>
      <c r="L194" s="128">
        <v>2</v>
      </c>
      <c r="M194" s="128">
        <v>0</v>
      </c>
      <c r="N194" s="128">
        <v>2</v>
      </c>
      <c r="O194" s="128">
        <v>0</v>
      </c>
      <c r="P194" s="128">
        <v>0</v>
      </c>
      <c r="Q194" s="28">
        <f>I194-Table4[[#This Row],[Park Owned6]]</f>
        <v>1</v>
      </c>
      <c r="R194" s="28">
        <f>J194-Table4[[#This Row],[Other Owned7]]</f>
        <v>3</v>
      </c>
      <c r="S194" s="24">
        <f>VLOOKUP($A194,Registry!$A$4:$AA$241,23,FALSE)</f>
        <v>5</v>
      </c>
      <c r="T194" s="61">
        <f t="shared" si="12"/>
        <v>1.9083969465648856E-2</v>
      </c>
      <c r="U194" s="35">
        <v>6</v>
      </c>
      <c r="V194" s="90">
        <v>2.2813688212927757E-2</v>
      </c>
      <c r="W194" s="86">
        <v>6</v>
      </c>
      <c r="X194" s="90">
        <v>2.3E-2</v>
      </c>
      <c r="Y194" s="86">
        <v>5</v>
      </c>
      <c r="Z194" s="90">
        <v>1.9E-2</v>
      </c>
      <c r="AA194" s="35">
        <f>Table4[[#This Row],['# Lots]]-Table4[[#This Row],['# Lots10]]</f>
        <v>-1</v>
      </c>
      <c r="AB194" s="61">
        <f t="shared" si="16"/>
        <v>-3.8167938931297708E-3</v>
      </c>
      <c r="AC194" s="35">
        <f>Table4[[#This Row],['# Lots]]-Table4[[#This Row],['# Lots14]]</f>
        <v>0</v>
      </c>
      <c r="AD194" s="61">
        <f t="shared" si="17"/>
        <v>0</v>
      </c>
      <c r="AE194" s="138">
        <v>257</v>
      </c>
      <c r="AF194" s="35">
        <v>258</v>
      </c>
      <c r="AG194" s="58">
        <v>256</v>
      </c>
      <c r="AH194" s="58">
        <v>258</v>
      </c>
      <c r="AI194" s="128">
        <f>Table4[[#This Row],[2022 Leased Lots20]]-Table4[[#This Row],[2019 Leased Lots23]]</f>
        <v>-1</v>
      </c>
      <c r="AJ194" s="61">
        <f t="shared" si="15"/>
        <v>0.98091603053435117</v>
      </c>
      <c r="AK194" s="139">
        <f>VLOOKUP($A194,Registry!$A$4:$AA$241,27,FALSE)</f>
        <v>290</v>
      </c>
      <c r="AL194" s="65">
        <v>278</v>
      </c>
      <c r="AM194" s="65">
        <v>272</v>
      </c>
      <c r="AN194" s="65">
        <v>265</v>
      </c>
      <c r="AO194" s="120">
        <f>IFERROR((AK194-Table4[[#This Row],[2019 Total Rent29]])/Table4[[#This Row],[2019 Total Rent29]], "-")</f>
        <v>9.4339622641509441E-2</v>
      </c>
    </row>
    <row r="195" spans="1:41" x14ac:dyDescent="0.25">
      <c r="A195" s="25">
        <v>246</v>
      </c>
      <c r="B195" s="54" t="str">
        <f>VLOOKUP(A195,Registry!$A$4:$AA$241,2,FALSE)</f>
        <v>Charette's Trailer Park</v>
      </c>
      <c r="C195" s="80" t="str">
        <f>VLOOKUP(A195,Registry!$A$4:$AA$241,3,FALSE)</f>
        <v>Windham</v>
      </c>
      <c r="D195" s="80" t="str">
        <f>VLOOKUP(A195,Registry!$A$4:$AA$241,4,FALSE)</f>
        <v>Dummerston</v>
      </c>
      <c r="E195" s="80">
        <f>IF(VLOOKUP(A195,Registry!$A$4:$AA$241,7,FALSE)=0,"",VLOOKUP(A195,Registry!$A$4:$AA$241,7,FALSE))</f>
        <v>1954</v>
      </c>
      <c r="F195" s="80" t="str">
        <f>IF(VLOOKUP(A195,Registry!$A$4:$AA$241,20,FALSE)=0,"",VLOOKUP(A195,Registry!$A$4:$AA$241,20,FALSE))</f>
        <v>Non-profit</v>
      </c>
      <c r="G195" s="25">
        <v>1999</v>
      </c>
      <c r="H195" s="24">
        <f>VLOOKUP(A195,Registry!$A$4:$AA$241,21,FALSE)</f>
        <v>14</v>
      </c>
      <c r="I195" s="24">
        <f>VLOOKUP(A195,Registry!$A$4:$AA$241,24,FALSE)</f>
        <v>0</v>
      </c>
      <c r="J195" s="24">
        <f>VLOOKUP(A195,Registry!$A$4:$AA$241,26,FALSE)</f>
        <v>0</v>
      </c>
      <c r="K195" s="128">
        <v>0</v>
      </c>
      <c r="L195" s="128">
        <v>0</v>
      </c>
      <c r="M195" s="128">
        <v>0</v>
      </c>
      <c r="N195" s="128">
        <v>0</v>
      </c>
      <c r="O195" s="128">
        <v>0</v>
      </c>
      <c r="P195" s="128">
        <v>0</v>
      </c>
      <c r="Q195" s="28">
        <f>I195-Table4[[#This Row],[Park Owned6]]</f>
        <v>0</v>
      </c>
      <c r="R195" s="28">
        <f>J195-Table4[[#This Row],[Other Owned7]]</f>
        <v>0</v>
      </c>
      <c r="S195" s="24">
        <f>VLOOKUP($A195,Registry!$A$4:$AA$241,23,FALSE)</f>
        <v>0</v>
      </c>
      <c r="T195" s="61">
        <f t="shared" si="12"/>
        <v>0</v>
      </c>
      <c r="U195" s="35">
        <v>0</v>
      </c>
      <c r="V195" s="90">
        <v>0</v>
      </c>
      <c r="W195" s="86">
        <v>0</v>
      </c>
      <c r="X195" s="90">
        <v>0</v>
      </c>
      <c r="Y195" s="86">
        <v>0</v>
      </c>
      <c r="Z195" s="90">
        <v>0</v>
      </c>
      <c r="AA195" s="35">
        <f>Table4[[#This Row],['# Lots]]-Table4[[#This Row],['# Lots10]]</f>
        <v>0</v>
      </c>
      <c r="AB195" s="61">
        <f t="shared" si="16"/>
        <v>0</v>
      </c>
      <c r="AC195" s="35">
        <f>Table4[[#This Row],['# Lots]]-Table4[[#This Row],['# Lots14]]</f>
        <v>0</v>
      </c>
      <c r="AD195" s="61">
        <f t="shared" si="17"/>
        <v>0</v>
      </c>
      <c r="AE195" s="138">
        <v>14</v>
      </c>
      <c r="AF195" s="35">
        <v>14</v>
      </c>
      <c r="AG195" s="58">
        <v>14</v>
      </c>
      <c r="AH195" s="58">
        <v>14</v>
      </c>
      <c r="AI195" s="128">
        <f>Table4[[#This Row],[2022 Leased Lots20]]-Table4[[#This Row],[2019 Leased Lots23]]</f>
        <v>0</v>
      </c>
      <c r="AJ195" s="61">
        <f t="shared" si="15"/>
        <v>1</v>
      </c>
      <c r="AK195" s="139">
        <f>VLOOKUP($A195,Registry!$A$4:$AA$241,27,FALSE)</f>
        <v>374</v>
      </c>
      <c r="AL195" s="65">
        <v>374</v>
      </c>
      <c r="AM195" s="65">
        <v>363</v>
      </c>
      <c r="AN195" s="65">
        <v>350</v>
      </c>
      <c r="AO195" s="120">
        <f>IFERROR((AK195-Table4[[#This Row],[2019 Total Rent29]])/Table4[[#This Row],[2019 Total Rent29]], "-")</f>
        <v>6.8571428571428575E-2</v>
      </c>
    </row>
    <row r="196" spans="1:41" x14ac:dyDescent="0.25">
      <c r="A196" s="25">
        <v>62</v>
      </c>
      <c r="B196" s="54" t="str">
        <f>VLOOKUP(A196,Registry!$A$4:$AA$241,2,FALSE)</f>
        <v>Northstar MHP</v>
      </c>
      <c r="C196" s="80" t="str">
        <f>VLOOKUP(A196,Registry!$A$4:$AA$241,3,FALSE)</f>
        <v>Windham</v>
      </c>
      <c r="D196" s="80" t="str">
        <f>VLOOKUP(A196,Registry!$A$4:$AA$241,4,FALSE)</f>
        <v>Guilford</v>
      </c>
      <c r="E196" s="80">
        <f>IF(VLOOKUP(A196,Registry!$A$4:$AA$241,7,FALSE)=0,"",VLOOKUP(A196,Registry!$A$4:$AA$241,7,FALSE))</f>
        <v>1960</v>
      </c>
      <c r="F196" s="80" t="str">
        <f>IF(VLOOKUP(A196,Registry!$A$4:$AA$241,20,FALSE)=0,"",VLOOKUP(A196,Registry!$A$4:$AA$241,20,FALSE))</f>
        <v>For profit</v>
      </c>
      <c r="G196" s="25">
        <v>1986</v>
      </c>
      <c r="H196" s="24">
        <f>VLOOKUP(A196,Registry!$A$4:$AA$241,21,FALSE)</f>
        <v>5</v>
      </c>
      <c r="I196" s="24">
        <f>VLOOKUP(A196,Registry!$A$4:$AA$241,24,FALSE)</f>
        <v>4</v>
      </c>
      <c r="J196" s="24">
        <f>VLOOKUP(A196,Registry!$A$4:$AA$241,26,FALSE)</f>
        <v>0</v>
      </c>
      <c r="K196" s="128">
        <v>3</v>
      </c>
      <c r="L196" s="128">
        <v>0</v>
      </c>
      <c r="M196" s="128">
        <v>3</v>
      </c>
      <c r="N196" s="128">
        <v>0</v>
      </c>
      <c r="O196" s="128">
        <v>3</v>
      </c>
      <c r="P196" s="128">
        <v>0</v>
      </c>
      <c r="Q196" s="28">
        <f>I196-Table4[[#This Row],[Park Owned6]]</f>
        <v>1</v>
      </c>
      <c r="R196" s="28">
        <f>J196-Table4[[#This Row],[Other Owned7]]</f>
        <v>0</v>
      </c>
      <c r="S196" s="24">
        <f>VLOOKUP($A196,Registry!$A$4:$AA$241,23,FALSE)</f>
        <v>0</v>
      </c>
      <c r="T196" s="61">
        <f t="shared" ref="T196:T241" si="18">S196/$H196</f>
        <v>0</v>
      </c>
      <c r="U196" s="35">
        <v>0</v>
      </c>
      <c r="V196" s="90">
        <v>0</v>
      </c>
      <c r="W196" s="86">
        <v>0</v>
      </c>
      <c r="X196" s="90">
        <v>0</v>
      </c>
      <c r="Y196" s="86">
        <v>0</v>
      </c>
      <c r="Z196" s="90">
        <v>0</v>
      </c>
      <c r="AA196" s="35">
        <f>Table4[[#This Row],['# Lots]]-Table4[[#This Row],['# Lots10]]</f>
        <v>0</v>
      </c>
      <c r="AB196" s="61">
        <f t="shared" ref="AB196:AB197" si="19">AA196/$H196</f>
        <v>0</v>
      </c>
      <c r="AC196" s="35">
        <f>Table4[[#This Row],['# Lots]]-Table4[[#This Row],['# Lots14]]</f>
        <v>0</v>
      </c>
      <c r="AD196" s="61">
        <f t="shared" ref="AD196:AD197" si="20">AC196/$H196</f>
        <v>0</v>
      </c>
      <c r="AE196" s="138">
        <v>5</v>
      </c>
      <c r="AF196" s="35">
        <v>5</v>
      </c>
      <c r="AG196" s="58">
        <v>5</v>
      </c>
      <c r="AH196" s="58">
        <v>5</v>
      </c>
      <c r="AI196" s="128">
        <f>Table4[[#This Row],[2022 Leased Lots20]]-Table4[[#This Row],[2019 Leased Lots23]]</f>
        <v>0</v>
      </c>
      <c r="AJ196" s="61">
        <f t="shared" si="15"/>
        <v>1</v>
      </c>
      <c r="AK196" s="139">
        <f>VLOOKUP($A196,Registry!$A$4:$AA$241,27,FALSE)</f>
        <v>0</v>
      </c>
      <c r="AL196" s="65">
        <v>0</v>
      </c>
      <c r="AM196" s="65">
        <v>190</v>
      </c>
      <c r="AN196" s="65">
        <v>190</v>
      </c>
      <c r="AO196" s="120"/>
    </row>
    <row r="197" spans="1:41" x14ac:dyDescent="0.25">
      <c r="A197" s="25">
        <v>43</v>
      </c>
      <c r="B197" s="54" t="str">
        <f>VLOOKUP(A197,Registry!$A$4:$AA$241,2,FALSE)</f>
        <v>Kings Plot, LLC</v>
      </c>
      <c r="C197" s="80" t="str">
        <f>VLOOKUP(A197,Registry!$A$4:$AA$241,3,FALSE)</f>
        <v>Windham</v>
      </c>
      <c r="D197" s="80" t="str">
        <f>VLOOKUP(A197,Registry!$A$4:$AA$241,4,FALSE)</f>
        <v>Jamaica</v>
      </c>
      <c r="E197" s="80">
        <f>IF(VLOOKUP(A197,Registry!$A$4:$AA$241,7,FALSE)=0,"",VLOOKUP(A197,Registry!$A$4:$AA$241,7,FALSE))</f>
        <v>1980</v>
      </c>
      <c r="F197" s="80" t="str">
        <f>IF(VLOOKUP(A197,Registry!$A$4:$AA$241,20,FALSE)=0,"",VLOOKUP(A197,Registry!$A$4:$AA$241,20,FALSE))</f>
        <v>For profit</v>
      </c>
      <c r="G197" s="25">
        <v>2021</v>
      </c>
      <c r="H197" s="24">
        <f>VLOOKUP(A197,Registry!$A$4:$AA$241,21,FALSE)</f>
        <v>10</v>
      </c>
      <c r="I197" s="24">
        <f>VLOOKUP(A197,Registry!$A$4:$AA$241,24,FALSE)</f>
        <v>6</v>
      </c>
      <c r="J197" s="24">
        <f>VLOOKUP(A197,Registry!$A$4:$AA$241,26,FALSE)</f>
        <v>0</v>
      </c>
      <c r="K197" s="128">
        <v>3</v>
      </c>
      <c r="L197" s="128">
        <v>0</v>
      </c>
      <c r="M197" s="128">
        <v>3</v>
      </c>
      <c r="N197" s="128">
        <v>0</v>
      </c>
      <c r="O197" s="128">
        <v>3</v>
      </c>
      <c r="P197" s="128">
        <v>0</v>
      </c>
      <c r="Q197" s="28">
        <f>I197-Table4[[#This Row],[Park Owned6]]</f>
        <v>3</v>
      </c>
      <c r="R197" s="28">
        <f>J197-Table4[[#This Row],[Other Owned7]]</f>
        <v>0</v>
      </c>
      <c r="S197" s="24">
        <f>VLOOKUP($A197,Registry!$A$4:$AA$241,23,FALSE)</f>
        <v>0</v>
      </c>
      <c r="T197" s="61">
        <f t="shared" si="18"/>
        <v>0</v>
      </c>
      <c r="U197" s="35">
        <v>0</v>
      </c>
      <c r="V197" s="90">
        <v>0</v>
      </c>
      <c r="W197" s="86">
        <v>0</v>
      </c>
      <c r="X197" s="90">
        <v>0</v>
      </c>
      <c r="Y197" s="86">
        <v>0</v>
      </c>
      <c r="Z197" s="90">
        <v>0</v>
      </c>
      <c r="AA197" s="35">
        <f>Table4[[#This Row],['# Lots]]-Table4[[#This Row],['# Lots10]]</f>
        <v>0</v>
      </c>
      <c r="AB197" s="61">
        <f t="shared" si="19"/>
        <v>0</v>
      </c>
      <c r="AC197" s="35">
        <f>Table4[[#This Row],['# Lots]]-Table4[[#This Row],['# Lots14]]</f>
        <v>0</v>
      </c>
      <c r="AD197" s="61">
        <f t="shared" si="20"/>
        <v>0</v>
      </c>
      <c r="AE197" s="138">
        <v>6</v>
      </c>
      <c r="AF197" s="35">
        <v>6</v>
      </c>
      <c r="AG197" s="58">
        <v>6</v>
      </c>
      <c r="AH197" s="58">
        <v>6</v>
      </c>
      <c r="AI197" s="128">
        <f>Table4[[#This Row],[2022 Leased Lots20]]-Table4[[#This Row],[2019 Leased Lots23]]</f>
        <v>0</v>
      </c>
      <c r="AJ197" s="61">
        <f t="shared" ref="AJ197:AJ241" si="21">AE197/H197</f>
        <v>0.6</v>
      </c>
      <c r="AK197" s="139">
        <f>VLOOKUP($A197,Registry!$A$4:$AA$241,27,FALSE)</f>
        <v>400</v>
      </c>
      <c r="AL197" s="65">
        <v>290</v>
      </c>
      <c r="AM197" s="65">
        <v>290</v>
      </c>
      <c r="AN197" s="65">
        <v>280</v>
      </c>
      <c r="AO197" s="120">
        <f>IFERROR((AK197-Table4[[#This Row],[2019 Total Rent29]])/Table4[[#This Row],[2019 Total Rent29]], "-")</f>
        <v>0.42857142857142855</v>
      </c>
    </row>
    <row r="198" spans="1:41" x14ac:dyDescent="0.25">
      <c r="A198" s="181">
        <v>63</v>
      </c>
      <c r="B198" s="182" t="str">
        <f>VLOOKUP(A198,Registry!$A$4:$AA$241,2,FALSE)</f>
        <v>West River Park</v>
      </c>
      <c r="C198" s="182" t="str">
        <f>VLOOKUP(A198,Registry!$A$4:$AA$241,3,FALSE)</f>
        <v>Windham</v>
      </c>
      <c r="D198" s="182" t="str">
        <f>VLOOKUP(A198,Registry!$A$4:$AA$241,4,FALSE)</f>
        <v>Jamaica</v>
      </c>
      <c r="E198" s="182">
        <f>IF(VLOOKUP(A198,Registry!$A$4:$AA$241,7,FALSE)=0,"",VLOOKUP(A198,Registry!$A$4:$AA$241,7,FALSE))</f>
        <v>1937</v>
      </c>
      <c r="F198" s="182" t="str">
        <f>IF(VLOOKUP(A198,Registry!$A$4:$AA$241,20,FALSE)=0,"",VLOOKUP(A198,Registry!$A$4:$AA$241,20,FALSE))</f>
        <v>For profit</v>
      </c>
      <c r="G198" s="25">
        <v>2022</v>
      </c>
      <c r="H198" s="175">
        <f>VLOOKUP(A198,Registry!$A$4:$AA$241,21,FALSE)</f>
        <v>22</v>
      </c>
      <c r="I198" s="175">
        <f>VLOOKUP(A198,Registry!$A$4:$AA$241,24,FALSE)</f>
        <v>0</v>
      </c>
      <c r="J198" s="175">
        <f>VLOOKUP(A198,Registry!$A$4:$AA$241,26,FALSE)</f>
        <v>0</v>
      </c>
      <c r="K198" s="183"/>
      <c r="L198" s="183"/>
      <c r="M198" s="183"/>
      <c r="N198" s="183"/>
      <c r="O198" s="183"/>
      <c r="P198" s="183"/>
      <c r="Q198" s="193"/>
      <c r="R198" s="193"/>
      <c r="S198" s="175">
        <f>VLOOKUP($A198,Registry!$A$4:$AA$241,23,FALSE)</f>
        <v>2</v>
      </c>
      <c r="T198" s="61">
        <f t="shared" si="18"/>
        <v>9.0909090909090912E-2</v>
      </c>
      <c r="U198" s="163"/>
      <c r="V198" s="195"/>
      <c r="W198" s="196"/>
      <c r="X198" s="197"/>
      <c r="Y198" s="196"/>
      <c r="Z198" s="197"/>
      <c r="AA198" s="35">
        <f>Table4[[#This Row],['# Lots]]-Table4[[#This Row],['# Lots10]]</f>
        <v>2</v>
      </c>
      <c r="AB198" s="33"/>
      <c r="AC198" s="35">
        <f>Table4[[#This Row],['# Lots]]-Table4[[#This Row],['# Lots14]]</f>
        <v>2</v>
      </c>
      <c r="AD198" s="33"/>
      <c r="AE198" s="198"/>
      <c r="AF198" s="196"/>
      <c r="AG198" s="196"/>
      <c r="AH198" s="196"/>
      <c r="AI198" s="183">
        <f>Table4[[#This Row],[2022 Leased Lots20]]-Table4[[#This Row],[2019 Leased Lots23]]</f>
        <v>0</v>
      </c>
      <c r="AJ198" s="61">
        <f t="shared" si="21"/>
        <v>0</v>
      </c>
      <c r="AK198" s="200">
        <f>VLOOKUP($A198,Registry!$A$4:$AA$241,27,FALSE)</f>
        <v>250</v>
      </c>
      <c r="AL198" s="202"/>
      <c r="AM198" s="202"/>
      <c r="AN198" s="202"/>
      <c r="AO198" s="185" t="str">
        <f>IFERROR((AK198-Table4[[#This Row],[2019 Total Rent29]])/Table4[[#This Row],[2019 Total Rent29]], "-")</f>
        <v>-</v>
      </c>
    </row>
    <row r="199" spans="1:41" x14ac:dyDescent="0.25">
      <c r="A199" s="25">
        <v>248</v>
      </c>
      <c r="B199" s="54" t="str">
        <f>VLOOKUP(A199,Registry!$A$4:$AA$241,2,FALSE)</f>
        <v>Wilkins Trailer Park</v>
      </c>
      <c r="C199" s="80" t="str">
        <f>VLOOKUP(A199,Registry!$A$4:$AA$241,3,FALSE)</f>
        <v>Windham</v>
      </c>
      <c r="D199" s="80" t="str">
        <f>VLOOKUP(A199,Registry!$A$4:$AA$241,4,FALSE)</f>
        <v>Jamaica</v>
      </c>
      <c r="E199" s="80">
        <f>IF(VLOOKUP(A199,Registry!$A$4:$AA$241,7,FALSE)=0,"",VLOOKUP(A199,Registry!$A$4:$AA$241,7,FALSE))</f>
        <v>1957</v>
      </c>
      <c r="F199" s="80" t="str">
        <f>IF(VLOOKUP(A199,Registry!$A$4:$AA$241,20,FALSE)=0,"",VLOOKUP(A199,Registry!$A$4:$AA$241,20,FALSE))</f>
        <v>For profit</v>
      </c>
      <c r="G199" s="25">
        <v>1920</v>
      </c>
      <c r="H199" s="24">
        <f>VLOOKUP(A199,Registry!$A$4:$AA$241,21,FALSE)</f>
        <v>7</v>
      </c>
      <c r="I199" s="24">
        <f>VLOOKUP(A199,Registry!$A$4:$AA$241,24,FALSE)</f>
        <v>0</v>
      </c>
      <c r="J199" s="24">
        <f>VLOOKUP(A199,Registry!$A$4:$AA$241,26,FALSE)</f>
        <v>0</v>
      </c>
      <c r="K199" s="128">
        <v>0</v>
      </c>
      <c r="L199" s="128">
        <v>0</v>
      </c>
      <c r="M199" s="128">
        <v>0</v>
      </c>
      <c r="N199" s="128">
        <v>0</v>
      </c>
      <c r="O199" s="128">
        <v>0</v>
      </c>
      <c r="P199" s="128">
        <v>0</v>
      </c>
      <c r="Q199" s="28">
        <f>I199-Table4[[#This Row],[Park Owned6]]</f>
        <v>0</v>
      </c>
      <c r="R199" s="28">
        <f>J199-Table4[[#This Row],[Other Owned7]]</f>
        <v>0</v>
      </c>
      <c r="S199" s="24">
        <f>VLOOKUP($A199,Registry!$A$4:$AA$241,23,FALSE)</f>
        <v>0</v>
      </c>
      <c r="T199" s="61">
        <f t="shared" si="18"/>
        <v>0</v>
      </c>
      <c r="U199" s="35">
        <v>0</v>
      </c>
      <c r="V199" s="90">
        <v>0</v>
      </c>
      <c r="W199" s="86">
        <v>0</v>
      </c>
      <c r="X199" s="90">
        <v>0</v>
      </c>
      <c r="Y199" s="86">
        <v>0</v>
      </c>
      <c r="Z199" s="90">
        <v>0</v>
      </c>
      <c r="AA199" s="35">
        <f>Table4[[#This Row],['# Lots]]-Table4[[#This Row],['# Lots10]]</f>
        <v>0</v>
      </c>
      <c r="AB199" s="61">
        <f t="shared" ref="AB199:AB241" si="22">AA199/$H199</f>
        <v>0</v>
      </c>
      <c r="AC199" s="35">
        <f>Table4[[#This Row],['# Lots]]-Table4[[#This Row],['# Lots14]]</f>
        <v>0</v>
      </c>
      <c r="AD199" s="61">
        <f t="shared" ref="AD199:AD241" si="23">AC199/$H199</f>
        <v>0</v>
      </c>
      <c r="AE199" s="138">
        <v>7</v>
      </c>
      <c r="AF199" s="35">
        <v>7</v>
      </c>
      <c r="AG199" s="58">
        <v>7</v>
      </c>
      <c r="AH199" s="58">
        <v>7</v>
      </c>
      <c r="AI199" s="128">
        <f>Table4[[#This Row],[2022 Leased Lots20]]-Table4[[#This Row],[2019 Leased Lots23]]</f>
        <v>0</v>
      </c>
      <c r="AJ199" s="61">
        <f t="shared" si="21"/>
        <v>1</v>
      </c>
      <c r="AK199" s="139">
        <f>VLOOKUP($A199,Registry!$A$4:$AA$241,27,FALSE)</f>
        <v>250</v>
      </c>
      <c r="AL199" s="65">
        <v>250</v>
      </c>
      <c r="AM199" s="65">
        <v>250</v>
      </c>
      <c r="AN199" s="65">
        <v>250</v>
      </c>
      <c r="AO199" s="120">
        <f>IFERROR((AK199-Table4[[#This Row],[2019 Total Rent29]])/Table4[[#This Row],[2019 Total Rent29]], "-")</f>
        <v>0</v>
      </c>
    </row>
    <row r="200" spans="1:41" x14ac:dyDescent="0.25">
      <c r="A200" s="25">
        <v>65</v>
      </c>
      <c r="B200" s="54" t="str">
        <f>VLOOKUP(A200,Registry!$A$4:$AA$241,2,FALSE)</f>
        <v>Locust Hill MHP</v>
      </c>
      <c r="C200" s="80" t="str">
        <f>VLOOKUP(A200,Registry!$A$4:$AA$241,3,FALSE)</f>
        <v>Windham</v>
      </c>
      <c r="D200" s="80" t="str">
        <f>VLOOKUP(A200,Registry!$A$4:$AA$241,4,FALSE)</f>
        <v>Putney</v>
      </c>
      <c r="E200" s="80">
        <f>IF(VLOOKUP(A200,Registry!$A$4:$AA$241,7,FALSE)=0,"",VLOOKUP(A200,Registry!$A$4:$AA$241,7,FALSE))</f>
        <v>1969</v>
      </c>
      <c r="F200" s="80" t="str">
        <f>IF(VLOOKUP(A200,Registry!$A$4:$AA$241,20,FALSE)=0,"",VLOOKUP(A200,Registry!$A$4:$AA$241,20,FALSE))</f>
        <v>Non-profit</v>
      </c>
      <c r="G200" s="25">
        <v>1996</v>
      </c>
      <c r="H200" s="24">
        <f>VLOOKUP(A200,Registry!$A$4:$AA$241,21,FALSE)</f>
        <v>22</v>
      </c>
      <c r="I200" s="24">
        <f>VLOOKUP(A200,Registry!$A$4:$AA$241,24,FALSE)</f>
        <v>2</v>
      </c>
      <c r="J200" s="24">
        <f>VLOOKUP(A200,Registry!$A$4:$AA$241,26,FALSE)</f>
        <v>1</v>
      </c>
      <c r="K200" s="128">
        <v>1</v>
      </c>
      <c r="L200" s="128">
        <v>1</v>
      </c>
      <c r="M200" s="128">
        <v>0</v>
      </c>
      <c r="N200" s="128">
        <v>2</v>
      </c>
      <c r="O200" s="128">
        <v>0</v>
      </c>
      <c r="P200" s="128">
        <v>0</v>
      </c>
      <c r="Q200" s="28">
        <f>I200-Table4[[#This Row],[Park Owned6]]</f>
        <v>2</v>
      </c>
      <c r="R200" s="28">
        <f>J200-Table4[[#This Row],[Other Owned7]]</f>
        <v>1</v>
      </c>
      <c r="S200" s="24">
        <f>VLOOKUP($A200,Registry!$A$4:$AA$241,23,FALSE)</f>
        <v>2</v>
      </c>
      <c r="T200" s="61">
        <f t="shared" si="18"/>
        <v>9.0909090909090912E-2</v>
      </c>
      <c r="U200" s="35">
        <v>2</v>
      </c>
      <c r="V200" s="90">
        <v>9.0909090909090912E-2</v>
      </c>
      <c r="W200" s="86">
        <v>1</v>
      </c>
      <c r="X200" s="90">
        <v>4.4999999999999998E-2</v>
      </c>
      <c r="Y200" s="86">
        <v>1</v>
      </c>
      <c r="Z200" s="90">
        <v>4.4999999999999998E-2</v>
      </c>
      <c r="AA200" s="35">
        <f>Table4[[#This Row],['# Lots]]-Table4[[#This Row],['# Lots10]]</f>
        <v>0</v>
      </c>
      <c r="AB200" s="61">
        <f t="shared" si="22"/>
        <v>0</v>
      </c>
      <c r="AC200" s="35">
        <f>Table4[[#This Row],['# Lots]]-Table4[[#This Row],['# Lots14]]</f>
        <v>1</v>
      </c>
      <c r="AD200" s="61">
        <f t="shared" si="23"/>
        <v>4.5454545454545456E-2</v>
      </c>
      <c r="AE200" s="138">
        <v>18</v>
      </c>
      <c r="AF200" s="35">
        <v>20</v>
      </c>
      <c r="AG200" s="58">
        <v>20</v>
      </c>
      <c r="AH200" s="58">
        <v>20</v>
      </c>
      <c r="AI200" s="128">
        <f>Table4[[#This Row],[2022 Leased Lots20]]-Table4[[#This Row],[2019 Leased Lots23]]</f>
        <v>-2</v>
      </c>
      <c r="AJ200" s="61">
        <f t="shared" si="21"/>
        <v>0.81818181818181823</v>
      </c>
      <c r="AK200" s="139">
        <f>VLOOKUP($A200,Registry!$A$4:$AA$241,27,FALSE)</f>
        <v>310</v>
      </c>
      <c r="AL200" s="65">
        <v>302</v>
      </c>
      <c r="AM200" s="65">
        <v>302</v>
      </c>
      <c r="AN200" s="65">
        <v>296</v>
      </c>
      <c r="AO200" s="120">
        <f>IFERROR((AK200-Table4[[#This Row],[2019 Total Rent29]])/Table4[[#This Row],[2019 Total Rent29]], "-")</f>
        <v>4.72972972972973E-2</v>
      </c>
    </row>
    <row r="201" spans="1:41" x14ac:dyDescent="0.25">
      <c r="A201" s="25">
        <v>42</v>
      </c>
      <c r="B201" s="54" t="str">
        <f>VLOOKUP(A201,Registry!$A$4:$AA$241,2,FALSE)</f>
        <v>Benson's Park</v>
      </c>
      <c r="C201" s="80" t="str">
        <f>VLOOKUP(A201,Registry!$A$4:$AA$241,3,FALSE)</f>
        <v>Windham</v>
      </c>
      <c r="D201" s="80" t="str">
        <f>VLOOKUP(A201,Registry!$A$4:$AA$241,4,FALSE)</f>
        <v>Rockingham</v>
      </c>
      <c r="E201" s="80">
        <f>IF(VLOOKUP(A201,Registry!$A$4:$AA$241,7,FALSE)=0,"",VLOOKUP(A201,Registry!$A$4:$AA$241,7,FALSE))</f>
        <v>1960</v>
      </c>
      <c r="F201" s="80" t="str">
        <f>IF(VLOOKUP(A201,Registry!$A$4:$AA$241,20,FALSE)=0,"",VLOOKUP(A201,Registry!$A$4:$AA$241,20,FALSE))</f>
        <v>For profit</v>
      </c>
      <c r="G201" s="25">
        <v>1986</v>
      </c>
      <c r="H201" s="24">
        <f>VLOOKUP(A201,Registry!$A$4:$AA$241,21,FALSE)</f>
        <v>7</v>
      </c>
      <c r="I201" s="24">
        <f>VLOOKUP(A201,Registry!$A$4:$AA$241,24,FALSE)</f>
        <v>1</v>
      </c>
      <c r="J201" s="24">
        <f>VLOOKUP(A201,Registry!$A$4:$AA$241,26,FALSE)</f>
        <v>0</v>
      </c>
      <c r="K201" s="128">
        <v>1</v>
      </c>
      <c r="L201" s="128">
        <v>0</v>
      </c>
      <c r="M201" s="128">
        <v>1</v>
      </c>
      <c r="N201" s="128">
        <v>0</v>
      </c>
      <c r="O201" s="128">
        <v>1</v>
      </c>
      <c r="P201" s="128">
        <v>0</v>
      </c>
      <c r="Q201" s="28">
        <f>I201-Table4[[#This Row],[Park Owned6]]</f>
        <v>0</v>
      </c>
      <c r="R201" s="28">
        <f>J201-Table4[[#This Row],[Other Owned7]]</f>
        <v>0</v>
      </c>
      <c r="S201" s="24">
        <f>VLOOKUP($A201,Registry!$A$4:$AA$241,23,FALSE)</f>
        <v>0</v>
      </c>
      <c r="T201" s="61">
        <f t="shared" si="18"/>
        <v>0</v>
      </c>
      <c r="U201" s="35">
        <v>0</v>
      </c>
      <c r="V201" s="90">
        <v>0</v>
      </c>
      <c r="W201" s="86">
        <v>0</v>
      </c>
      <c r="X201" s="90">
        <v>0</v>
      </c>
      <c r="Y201" s="86">
        <v>0</v>
      </c>
      <c r="Z201" s="90">
        <v>0</v>
      </c>
      <c r="AA201" s="35">
        <f>Table4[[#This Row],['# Lots]]-Table4[[#This Row],['# Lots10]]</f>
        <v>0</v>
      </c>
      <c r="AB201" s="61">
        <f t="shared" si="22"/>
        <v>0</v>
      </c>
      <c r="AC201" s="35">
        <f>Table4[[#This Row],['# Lots]]-Table4[[#This Row],['# Lots14]]</f>
        <v>0</v>
      </c>
      <c r="AD201" s="61">
        <f t="shared" si="23"/>
        <v>0</v>
      </c>
      <c r="AE201" s="138">
        <v>7</v>
      </c>
      <c r="AF201" s="35">
        <v>7</v>
      </c>
      <c r="AG201" s="58">
        <v>7</v>
      </c>
      <c r="AH201" s="58">
        <v>7</v>
      </c>
      <c r="AI201" s="128">
        <f>Table4[[#This Row],[2022 Leased Lots20]]-Table4[[#This Row],[2019 Leased Lots23]]</f>
        <v>0</v>
      </c>
      <c r="AJ201" s="61">
        <f t="shared" si="21"/>
        <v>1</v>
      </c>
      <c r="AK201" s="139">
        <f>VLOOKUP($A201,Registry!$A$4:$AA$241,27,FALSE)</f>
        <v>290</v>
      </c>
      <c r="AL201" s="65">
        <v>284</v>
      </c>
      <c r="AM201" s="65">
        <v>279</v>
      </c>
      <c r="AN201" s="65">
        <v>277</v>
      </c>
      <c r="AO201" s="120">
        <f>IFERROR((AK201-Table4[[#This Row],[2019 Total Rent29]])/Table4[[#This Row],[2019 Total Rent29]], "-")</f>
        <v>4.6931407942238268E-2</v>
      </c>
    </row>
    <row r="202" spans="1:41" x14ac:dyDescent="0.25">
      <c r="A202" s="25">
        <v>252</v>
      </c>
      <c r="B202" s="54" t="str">
        <f>VLOOKUP(A202,Registry!$A$4:$AA$241,2,FALSE)</f>
        <v>Evergreen Mobile Home Park</v>
      </c>
      <c r="C202" s="80" t="str">
        <f>VLOOKUP(A202,Registry!$A$4:$AA$241,3,FALSE)</f>
        <v>Windham</v>
      </c>
      <c r="D202" s="80" t="str">
        <f>VLOOKUP(A202,Registry!$A$4:$AA$241,4,FALSE)</f>
        <v>Rockingham</v>
      </c>
      <c r="E202" s="80">
        <f>IF(VLOOKUP(A202,Registry!$A$4:$AA$241,7,FALSE)=0,"",VLOOKUP(A202,Registry!$A$4:$AA$241,7,FALSE))</f>
        <v>1970</v>
      </c>
      <c r="F202" s="80" t="str">
        <f>IF(VLOOKUP(A202,Registry!$A$4:$AA$241,20,FALSE)=0,"",VLOOKUP(A202,Registry!$A$4:$AA$241,20,FALSE))</f>
        <v>Non-profit</v>
      </c>
      <c r="G202" s="25">
        <v>2012</v>
      </c>
      <c r="H202" s="24">
        <f>VLOOKUP(A202,Registry!$A$4:$AA$241,21,FALSE)</f>
        <v>11</v>
      </c>
      <c r="I202" s="24">
        <f>VLOOKUP(A202,Registry!$A$4:$AA$241,24,FALSE)</f>
        <v>1</v>
      </c>
      <c r="J202" s="24">
        <f>VLOOKUP(A202,Registry!$A$4:$AA$241,26,FALSE)</f>
        <v>0</v>
      </c>
      <c r="K202" s="128">
        <v>1</v>
      </c>
      <c r="L202" s="128">
        <v>0</v>
      </c>
      <c r="M202" s="128">
        <v>0</v>
      </c>
      <c r="N202" s="128">
        <v>1</v>
      </c>
      <c r="O202" s="128">
        <v>0</v>
      </c>
      <c r="P202" s="128">
        <v>1</v>
      </c>
      <c r="Q202" s="28">
        <f>I202-Table4[[#This Row],[Park Owned6]]</f>
        <v>1</v>
      </c>
      <c r="R202" s="28">
        <f>J202-Table4[[#This Row],[Other Owned7]]</f>
        <v>-1</v>
      </c>
      <c r="S202" s="24">
        <f>VLOOKUP($A202,Registry!$A$4:$AA$241,23,FALSE)</f>
        <v>0</v>
      </c>
      <c r="T202" s="61">
        <f t="shared" si="18"/>
        <v>0</v>
      </c>
      <c r="U202" s="35">
        <v>0</v>
      </c>
      <c r="V202" s="90">
        <v>0</v>
      </c>
      <c r="W202" s="86">
        <v>0</v>
      </c>
      <c r="X202" s="90">
        <v>0</v>
      </c>
      <c r="Y202" s="86">
        <v>0</v>
      </c>
      <c r="Z202" s="90">
        <v>0</v>
      </c>
      <c r="AA202" s="35">
        <f>Table4[[#This Row],['# Lots]]-Table4[[#This Row],['# Lots10]]</f>
        <v>0</v>
      </c>
      <c r="AB202" s="61">
        <f t="shared" si="22"/>
        <v>0</v>
      </c>
      <c r="AC202" s="35">
        <f>Table4[[#This Row],['# Lots]]-Table4[[#This Row],['# Lots14]]</f>
        <v>0</v>
      </c>
      <c r="AD202" s="61">
        <f t="shared" si="23"/>
        <v>0</v>
      </c>
      <c r="AE202" s="138">
        <v>10</v>
      </c>
      <c r="AF202" s="35">
        <v>10</v>
      </c>
      <c r="AG202" s="58">
        <v>10</v>
      </c>
      <c r="AH202" s="58">
        <v>10</v>
      </c>
      <c r="AI202" s="128">
        <f>Table4[[#This Row],[2022 Leased Lots20]]-Table4[[#This Row],[2019 Leased Lots23]]</f>
        <v>0</v>
      </c>
      <c r="AJ202" s="61">
        <f t="shared" si="21"/>
        <v>0.90909090909090906</v>
      </c>
      <c r="AK202" s="139">
        <f>VLOOKUP($A202,Registry!$A$4:$AA$241,27,FALSE)</f>
        <v>275</v>
      </c>
      <c r="AL202" s="65">
        <v>267</v>
      </c>
      <c r="AM202" s="65">
        <v>267</v>
      </c>
      <c r="AN202" s="65">
        <v>261</v>
      </c>
      <c r="AO202" s="120">
        <f>IFERROR((AK202-Table4[[#This Row],[2019 Total Rent29]])/Table4[[#This Row],[2019 Total Rent29]], "-")</f>
        <v>5.3639846743295021E-2</v>
      </c>
    </row>
    <row r="203" spans="1:41" x14ac:dyDescent="0.25">
      <c r="A203" s="25">
        <v>127</v>
      </c>
      <c r="B203" s="54" t="str">
        <f>VLOOKUP(A203,Registry!$A$4:$AA$241,2,FALSE)</f>
        <v>North Shore Trailer Park</v>
      </c>
      <c r="C203" s="80" t="str">
        <f>VLOOKUP(A203,Registry!$A$4:$AA$241,3,FALSE)</f>
        <v>Windham</v>
      </c>
      <c r="D203" s="80" t="str">
        <f>VLOOKUP(A203,Registry!$A$4:$AA$241,4,FALSE)</f>
        <v>Rockingham</v>
      </c>
      <c r="E203" s="80">
        <f>IF(VLOOKUP(A203,Registry!$A$4:$AA$241,7,FALSE)=0,"",VLOOKUP(A203,Registry!$A$4:$AA$241,7,FALSE))</f>
        <v>1947</v>
      </c>
      <c r="F203" s="80" t="str">
        <f>IF(VLOOKUP(A203,Registry!$A$4:$AA$241,20,FALSE)=0,"",VLOOKUP(A203,Registry!$A$4:$AA$241,20,FALSE))</f>
        <v>For profit</v>
      </c>
      <c r="G203" s="25">
        <v>1987</v>
      </c>
      <c r="H203" s="24">
        <f>VLOOKUP(A203,Registry!$A$4:$AA$241,21,FALSE)</f>
        <v>21</v>
      </c>
      <c r="I203" s="24">
        <f>VLOOKUP(A203,Registry!$A$4:$AA$241,24,FALSE)</f>
        <v>1</v>
      </c>
      <c r="J203" s="24">
        <f>VLOOKUP(A203,Registry!$A$4:$AA$241,26,FALSE)</f>
        <v>0</v>
      </c>
      <c r="K203" s="128">
        <v>1</v>
      </c>
      <c r="L203" s="128">
        <v>0</v>
      </c>
      <c r="M203" s="128">
        <v>1</v>
      </c>
      <c r="N203" s="128">
        <v>0</v>
      </c>
      <c r="O203" s="128">
        <v>1</v>
      </c>
      <c r="P203" s="128">
        <v>0</v>
      </c>
      <c r="Q203" s="28">
        <f>I203-Table4[[#This Row],[Park Owned6]]</f>
        <v>0</v>
      </c>
      <c r="R203" s="28">
        <f>J203-Table4[[#This Row],[Other Owned7]]</f>
        <v>0</v>
      </c>
      <c r="S203" s="24">
        <f>VLOOKUP($A203,Registry!$A$4:$AA$241,23,FALSE)</f>
        <v>0</v>
      </c>
      <c r="T203" s="61">
        <f t="shared" si="18"/>
        <v>0</v>
      </c>
      <c r="U203" s="35">
        <v>0</v>
      </c>
      <c r="V203" s="90">
        <v>0</v>
      </c>
      <c r="W203" s="86">
        <v>0</v>
      </c>
      <c r="X203" s="90">
        <v>0</v>
      </c>
      <c r="Y203" s="86">
        <v>0</v>
      </c>
      <c r="Z203" s="90">
        <v>0</v>
      </c>
      <c r="AA203" s="35">
        <f>Table4[[#This Row],['# Lots]]-Table4[[#This Row],['# Lots10]]</f>
        <v>0</v>
      </c>
      <c r="AB203" s="61">
        <f t="shared" si="22"/>
        <v>0</v>
      </c>
      <c r="AC203" s="35">
        <f>Table4[[#This Row],['# Lots]]-Table4[[#This Row],['# Lots14]]</f>
        <v>0</v>
      </c>
      <c r="AD203" s="61">
        <f t="shared" si="23"/>
        <v>0</v>
      </c>
      <c r="AE203" s="138">
        <v>21</v>
      </c>
      <c r="AF203" s="35">
        <v>21</v>
      </c>
      <c r="AG203" s="58">
        <v>21</v>
      </c>
      <c r="AH203" s="58">
        <v>21</v>
      </c>
      <c r="AI203" s="128">
        <f>Table4[[#This Row],[2022 Leased Lots20]]-Table4[[#This Row],[2019 Leased Lots23]]</f>
        <v>0</v>
      </c>
      <c r="AJ203" s="61">
        <f t="shared" si="21"/>
        <v>1</v>
      </c>
      <c r="AK203" s="139">
        <f>VLOOKUP($A203,Registry!$A$4:$AA$241,27,FALSE)</f>
        <v>350</v>
      </c>
      <c r="AL203" s="65">
        <v>350</v>
      </c>
      <c r="AM203" s="65">
        <v>350</v>
      </c>
      <c r="AN203" s="65">
        <v>340</v>
      </c>
      <c r="AO203" s="120">
        <f>IFERROR((AK203-Table4[[#This Row],[2019 Total Rent29]])/Table4[[#This Row],[2019 Total Rent29]], "-")</f>
        <v>2.9411764705882353E-2</v>
      </c>
    </row>
    <row r="204" spans="1:41" x14ac:dyDescent="0.25">
      <c r="A204" s="25">
        <v>56</v>
      </c>
      <c r="B204" s="54" t="str">
        <f>VLOOKUP(A204,Registry!$A$4:$AA$241,2,FALSE)</f>
        <v>Vernon Estates Inc.</v>
      </c>
      <c r="C204" s="80" t="str">
        <f>VLOOKUP(A204,Registry!$A$4:$AA$241,3,FALSE)</f>
        <v>Windham</v>
      </c>
      <c r="D204" s="80" t="str">
        <f>VLOOKUP(A204,Registry!$A$4:$AA$241,4,FALSE)</f>
        <v>Vernon</v>
      </c>
      <c r="E204" s="80">
        <f>IF(VLOOKUP(A204,Registry!$A$4:$AA$241,7,FALSE)=0,"",VLOOKUP(A204,Registry!$A$4:$AA$241,7,FALSE))</f>
        <v>1991</v>
      </c>
      <c r="F204" s="80" t="str">
        <f>IF(VLOOKUP(A204,Registry!$A$4:$AA$241,20,FALSE)=0,"",VLOOKUP(A204,Registry!$A$4:$AA$241,20,FALSE))</f>
        <v>For profit</v>
      </c>
      <c r="G204" s="25">
        <v>1991</v>
      </c>
      <c r="H204" s="24">
        <f>VLOOKUP(A204,Registry!$A$4:$AA$241,21,FALSE)</f>
        <v>10</v>
      </c>
      <c r="I204" s="24">
        <f>VLOOKUP(A204,Registry!$A$4:$AA$241,24,FALSE)</f>
        <v>0</v>
      </c>
      <c r="J204" s="24">
        <f>VLOOKUP(A204,Registry!$A$4:$AA$241,26,FALSE)</f>
        <v>0</v>
      </c>
      <c r="K204" s="128">
        <v>0</v>
      </c>
      <c r="L204" s="128">
        <v>0</v>
      </c>
      <c r="M204" s="128">
        <v>0</v>
      </c>
      <c r="N204" s="128">
        <v>0</v>
      </c>
      <c r="O204" s="128">
        <v>0</v>
      </c>
      <c r="P204" s="128">
        <v>0</v>
      </c>
      <c r="Q204" s="28">
        <f>I204-Table4[[#This Row],[Park Owned6]]</f>
        <v>0</v>
      </c>
      <c r="R204" s="28">
        <f>J204-Table4[[#This Row],[Other Owned7]]</f>
        <v>0</v>
      </c>
      <c r="S204" s="24">
        <f>VLOOKUP($A204,Registry!$A$4:$AA$241,23,FALSE)</f>
        <v>0</v>
      </c>
      <c r="T204" s="61">
        <f t="shared" si="18"/>
        <v>0</v>
      </c>
      <c r="U204" s="35">
        <v>0</v>
      </c>
      <c r="V204" s="90">
        <v>0</v>
      </c>
      <c r="W204" s="86">
        <v>0</v>
      </c>
      <c r="X204" s="90">
        <v>0</v>
      </c>
      <c r="Y204" s="86">
        <v>0</v>
      </c>
      <c r="Z204" s="90">
        <v>0</v>
      </c>
      <c r="AA204" s="35">
        <f>Table4[[#This Row],['# Lots]]-Table4[[#This Row],['# Lots10]]</f>
        <v>0</v>
      </c>
      <c r="AB204" s="61">
        <f t="shared" si="22"/>
        <v>0</v>
      </c>
      <c r="AC204" s="35">
        <f>Table4[[#This Row],['# Lots]]-Table4[[#This Row],['# Lots14]]</f>
        <v>0</v>
      </c>
      <c r="AD204" s="61">
        <f t="shared" si="23"/>
        <v>0</v>
      </c>
      <c r="AE204" s="138">
        <v>10</v>
      </c>
      <c r="AF204" s="35">
        <v>10</v>
      </c>
      <c r="AG204" s="58">
        <v>10</v>
      </c>
      <c r="AH204" s="58">
        <v>10</v>
      </c>
      <c r="AI204" s="128">
        <f>Table4[[#This Row],[2022 Leased Lots20]]-Table4[[#This Row],[2019 Leased Lots23]]</f>
        <v>0</v>
      </c>
      <c r="AJ204" s="61">
        <f t="shared" si="21"/>
        <v>1</v>
      </c>
      <c r="AK204" s="139">
        <f>VLOOKUP($A204,Registry!$A$4:$AA$241,27,FALSE)</f>
        <v>312.38</v>
      </c>
      <c r="AL204" s="65">
        <v>312.38</v>
      </c>
      <c r="AM204" s="65">
        <v>312.38</v>
      </c>
      <c r="AN204" s="65">
        <v>312.38</v>
      </c>
      <c r="AO204" s="120">
        <f>IFERROR((AK204-Table4[[#This Row],[2019 Total Rent29]])/Table4[[#This Row],[2019 Total Rent29]], "-")</f>
        <v>0</v>
      </c>
    </row>
    <row r="205" spans="1:41" x14ac:dyDescent="0.25">
      <c r="A205" s="25">
        <v>32</v>
      </c>
      <c r="B205" s="54" t="str">
        <f>VLOOKUP(A205,Registry!$A$4:$AA$241,2,FALSE)</f>
        <v>Shady Pines Mobile Home Park</v>
      </c>
      <c r="C205" s="80" t="str">
        <f>VLOOKUP(A205,Registry!$A$4:$AA$241,3,FALSE)</f>
        <v>Windham</v>
      </c>
      <c r="D205" s="80" t="str">
        <f>VLOOKUP(A205,Registry!$A$4:$AA$241,4,FALSE)</f>
        <v>Westminster</v>
      </c>
      <c r="E205" s="80">
        <f>IF(VLOOKUP(A205,Registry!$A$4:$AA$241,7,FALSE)=0,"",VLOOKUP(A205,Registry!$A$4:$AA$241,7,FALSE))</f>
        <v>1968</v>
      </c>
      <c r="F205" s="80" t="str">
        <f>IF(VLOOKUP(A205,Registry!$A$4:$AA$241,20,FALSE)=0,"",VLOOKUP(A205,Registry!$A$4:$AA$241,20,FALSE))</f>
        <v>Non-profit</v>
      </c>
      <c r="G205" s="25">
        <v>2003</v>
      </c>
      <c r="H205" s="24">
        <f>VLOOKUP(A205,Registry!$A$4:$AA$241,21,FALSE)</f>
        <v>28</v>
      </c>
      <c r="I205" s="24">
        <f>VLOOKUP(A205,Registry!$A$4:$AA$241,24,FALSE)</f>
        <v>0</v>
      </c>
      <c r="J205" s="24">
        <f>VLOOKUP(A205,Registry!$A$4:$AA$241,26,FALSE)</f>
        <v>0</v>
      </c>
      <c r="K205" s="128">
        <v>0</v>
      </c>
      <c r="L205" s="128">
        <v>0</v>
      </c>
      <c r="M205" s="128">
        <v>1</v>
      </c>
      <c r="N205" s="128">
        <v>0</v>
      </c>
      <c r="O205" s="128">
        <v>1</v>
      </c>
      <c r="P205" s="128">
        <v>0</v>
      </c>
      <c r="Q205" s="28">
        <f>I205-Table4[[#This Row],[Park Owned6]]</f>
        <v>-1</v>
      </c>
      <c r="R205" s="28">
        <f>J205-Table4[[#This Row],[Other Owned7]]</f>
        <v>0</v>
      </c>
      <c r="S205" s="24">
        <f>VLOOKUP($A205,Registry!$A$4:$AA$241,23,FALSE)</f>
        <v>4</v>
      </c>
      <c r="T205" s="61">
        <f t="shared" si="18"/>
        <v>0.14285714285714285</v>
      </c>
      <c r="U205" s="35">
        <v>3</v>
      </c>
      <c r="V205" s="90">
        <v>0.10714285714285714</v>
      </c>
      <c r="W205" s="86">
        <v>3</v>
      </c>
      <c r="X205" s="90">
        <v>0.107</v>
      </c>
      <c r="Y205" s="86">
        <v>3</v>
      </c>
      <c r="Z205" s="90">
        <v>0.107</v>
      </c>
      <c r="AA205" s="35">
        <f>Table4[[#This Row],['# Lots]]-Table4[[#This Row],['# Lots10]]</f>
        <v>1</v>
      </c>
      <c r="AB205" s="61">
        <f t="shared" si="22"/>
        <v>3.5714285714285712E-2</v>
      </c>
      <c r="AC205" s="35">
        <f>Table4[[#This Row],['# Lots]]-Table4[[#This Row],['# Lots14]]</f>
        <v>1</v>
      </c>
      <c r="AD205" s="61">
        <f t="shared" si="23"/>
        <v>3.5714285714285712E-2</v>
      </c>
      <c r="AE205" s="138">
        <v>25</v>
      </c>
      <c r="AF205" s="35">
        <v>24</v>
      </c>
      <c r="AG205" s="58">
        <v>24</v>
      </c>
      <c r="AH205" s="58">
        <v>25</v>
      </c>
      <c r="AI205" s="128">
        <f>Table4[[#This Row],[2022 Leased Lots20]]-Table4[[#This Row],[2019 Leased Lots23]]</f>
        <v>0</v>
      </c>
      <c r="AJ205" s="61">
        <f t="shared" si="21"/>
        <v>0.8928571428571429</v>
      </c>
      <c r="AK205" s="139">
        <f>VLOOKUP($A205,Registry!$A$4:$AA$241,27,FALSE)</f>
        <v>345</v>
      </c>
      <c r="AL205" s="65">
        <v>331</v>
      </c>
      <c r="AM205" s="65">
        <v>322</v>
      </c>
      <c r="AN205" s="65">
        <v>311</v>
      </c>
      <c r="AO205" s="120">
        <f>IFERROR((AK205-Table4[[#This Row],[2019 Total Rent29]])/Table4[[#This Row],[2019 Total Rent29]], "-")</f>
        <v>0.10932475884244373</v>
      </c>
    </row>
    <row r="206" spans="1:41" x14ac:dyDescent="0.25">
      <c r="A206" s="25">
        <v>14</v>
      </c>
      <c r="B206" s="54" t="str">
        <f>VLOOKUP(A206,Registry!$A$4:$AA$241,2,FALSE)</f>
        <v>Mountain View Estates</v>
      </c>
      <c r="C206" s="80" t="str">
        <f>VLOOKUP(A206,Registry!$A$4:$AA$241,3,FALSE)</f>
        <v>Windsor</v>
      </c>
      <c r="D206" s="80" t="str">
        <f>VLOOKUP(A206,Registry!$A$4:$AA$241,4,FALSE)</f>
        <v>Bethel</v>
      </c>
      <c r="E206" s="80">
        <f>IF(VLOOKUP(A206,Registry!$A$4:$AA$241,7,FALSE)=0,"",VLOOKUP(A206,Registry!$A$4:$AA$241,7,FALSE))</f>
        <v>1965</v>
      </c>
      <c r="F206" s="80" t="str">
        <f>IF(VLOOKUP(A206,Registry!$A$4:$AA$241,20,FALSE)=0,"",VLOOKUP(A206,Registry!$A$4:$AA$241,20,FALSE))</f>
        <v>For profit</v>
      </c>
      <c r="G206" s="25">
        <v>2022</v>
      </c>
      <c r="H206" s="24">
        <f>VLOOKUP(A206,Registry!$A$4:$AA$241,21,FALSE)</f>
        <v>10</v>
      </c>
      <c r="I206" s="24">
        <f>VLOOKUP(A206,Registry!$A$4:$AA$241,24,FALSE)</f>
        <v>9</v>
      </c>
      <c r="J206" s="24">
        <f>VLOOKUP(A206,Registry!$A$4:$AA$241,26,FALSE)</f>
        <v>0</v>
      </c>
      <c r="K206" s="128">
        <v>9</v>
      </c>
      <c r="L206" s="128">
        <v>0</v>
      </c>
      <c r="M206" s="128">
        <v>8</v>
      </c>
      <c r="N206" s="128">
        <v>0</v>
      </c>
      <c r="O206" s="128">
        <v>8</v>
      </c>
      <c r="P206" s="128">
        <v>0</v>
      </c>
      <c r="Q206" s="28">
        <f>I206-Table4[[#This Row],[Park Owned6]]</f>
        <v>1</v>
      </c>
      <c r="R206" s="28">
        <f>J206-Table4[[#This Row],[Other Owned7]]</f>
        <v>0</v>
      </c>
      <c r="S206" s="24">
        <f>VLOOKUP($A206,Registry!$A$4:$AA$241,23,FALSE)</f>
        <v>0</v>
      </c>
      <c r="T206" s="61">
        <f t="shared" si="18"/>
        <v>0</v>
      </c>
      <c r="U206" s="35">
        <v>0</v>
      </c>
      <c r="V206" s="90">
        <v>0</v>
      </c>
      <c r="W206" s="86">
        <v>2</v>
      </c>
      <c r="X206" s="90">
        <v>0.2</v>
      </c>
      <c r="Y206" s="86">
        <v>2</v>
      </c>
      <c r="Z206" s="90">
        <v>0.2</v>
      </c>
      <c r="AA206" s="35">
        <f>Table4[[#This Row],['# Lots]]-Table4[[#This Row],['# Lots10]]</f>
        <v>0</v>
      </c>
      <c r="AB206" s="61">
        <f t="shared" si="22"/>
        <v>0</v>
      </c>
      <c r="AC206" s="35">
        <f>Table4[[#This Row],['# Lots]]-Table4[[#This Row],['# Lots14]]</f>
        <v>-2</v>
      </c>
      <c r="AD206" s="61">
        <f t="shared" si="23"/>
        <v>-0.2</v>
      </c>
      <c r="AE206" s="138">
        <v>10</v>
      </c>
      <c r="AF206" s="35">
        <v>8</v>
      </c>
      <c r="AG206" s="58">
        <v>7</v>
      </c>
      <c r="AH206" s="58">
        <v>10</v>
      </c>
      <c r="AI206" s="128">
        <f>Table4[[#This Row],[2022 Leased Lots20]]-Table4[[#This Row],[2019 Leased Lots23]]</f>
        <v>0</v>
      </c>
      <c r="AJ206" s="61">
        <f t="shared" si="21"/>
        <v>1</v>
      </c>
      <c r="AK206" s="139">
        <f>VLOOKUP($A206,Registry!$A$4:$AA$241,27,FALSE)</f>
        <v>310</v>
      </c>
      <c r="AL206" s="65">
        <v>0</v>
      </c>
      <c r="AM206" s="65"/>
      <c r="AN206" s="65"/>
      <c r="AO206" s="120" t="str">
        <f>IFERROR((AK206-Table4[[#This Row],[2019 Total Rent29]])/Table4[[#This Row],[2019 Total Rent29]], "-")</f>
        <v>-</v>
      </c>
    </row>
    <row r="207" spans="1:41" x14ac:dyDescent="0.25">
      <c r="A207" s="25">
        <v>13</v>
      </c>
      <c r="B207" s="54" t="str">
        <f>VLOOKUP(A207,Registry!$A$4:$AA$241,2,FALSE)</f>
        <v>Richards Mobile Home Park</v>
      </c>
      <c r="C207" s="80" t="str">
        <f>VLOOKUP(A207,Registry!$A$4:$AA$241,3,FALSE)</f>
        <v>Windsor</v>
      </c>
      <c r="D207" s="80" t="str">
        <f>VLOOKUP(A207,Registry!$A$4:$AA$241,4,FALSE)</f>
        <v>Bethel</v>
      </c>
      <c r="E207" s="80">
        <f>IF(VLOOKUP(A207,Registry!$A$4:$AA$241,7,FALSE)=0,"",VLOOKUP(A207,Registry!$A$4:$AA$241,7,FALSE))</f>
        <v>1950</v>
      </c>
      <c r="F207" s="80" t="str">
        <f>IF(VLOOKUP(A207,Registry!$A$4:$AA$241,20,FALSE)=0,"",VLOOKUP(A207,Registry!$A$4:$AA$241,20,FALSE))</f>
        <v>For profit</v>
      </c>
      <c r="G207" s="25">
        <v>2010</v>
      </c>
      <c r="H207" s="24">
        <f>VLOOKUP(A207,Registry!$A$4:$AA$241,21,FALSE)</f>
        <v>21</v>
      </c>
      <c r="I207" s="24">
        <f>VLOOKUP(A207,Registry!$A$4:$AA$241,24,FALSE)</f>
        <v>0</v>
      </c>
      <c r="J207" s="24">
        <f>VLOOKUP(A207,Registry!$A$4:$AA$241,26,FALSE)</f>
        <v>0</v>
      </c>
      <c r="K207" s="128">
        <v>0</v>
      </c>
      <c r="L207" s="128">
        <v>0</v>
      </c>
      <c r="M207" s="128">
        <v>0</v>
      </c>
      <c r="N207" s="128">
        <v>0</v>
      </c>
      <c r="O207" s="128">
        <v>0</v>
      </c>
      <c r="P207" s="128">
        <v>0</v>
      </c>
      <c r="Q207" s="28">
        <f>I207-Table4[[#This Row],[Park Owned6]]</f>
        <v>0</v>
      </c>
      <c r="R207" s="28">
        <f>J207-Table4[[#This Row],[Other Owned7]]</f>
        <v>0</v>
      </c>
      <c r="S207" s="24">
        <f>VLOOKUP($A207,Registry!$A$4:$AA$241,23,FALSE)</f>
        <v>0</v>
      </c>
      <c r="T207" s="61">
        <f t="shared" si="18"/>
        <v>0</v>
      </c>
      <c r="U207" s="35">
        <v>0</v>
      </c>
      <c r="V207" s="90">
        <v>0</v>
      </c>
      <c r="W207" s="86">
        <v>0</v>
      </c>
      <c r="X207" s="90">
        <v>0</v>
      </c>
      <c r="Y207" s="86">
        <v>0</v>
      </c>
      <c r="Z207" s="90">
        <v>0</v>
      </c>
      <c r="AA207" s="35">
        <f>Table4[[#This Row],['# Lots]]-Table4[[#This Row],['# Lots10]]</f>
        <v>0</v>
      </c>
      <c r="AB207" s="61">
        <f t="shared" si="22"/>
        <v>0</v>
      </c>
      <c r="AC207" s="35">
        <f>Table4[[#This Row],['# Lots]]-Table4[[#This Row],['# Lots14]]</f>
        <v>0</v>
      </c>
      <c r="AD207" s="61">
        <f t="shared" si="23"/>
        <v>0</v>
      </c>
      <c r="AE207" s="138">
        <v>21</v>
      </c>
      <c r="AF207" s="35">
        <v>21</v>
      </c>
      <c r="AG207" s="58">
        <v>21</v>
      </c>
      <c r="AH207" s="58">
        <v>21</v>
      </c>
      <c r="AI207" s="128">
        <f>Table4[[#This Row],[2022 Leased Lots20]]-Table4[[#This Row],[2019 Leased Lots23]]</f>
        <v>0</v>
      </c>
      <c r="AJ207" s="61">
        <f t="shared" si="21"/>
        <v>1</v>
      </c>
      <c r="AK207" s="139">
        <f>VLOOKUP($A207,Registry!$A$4:$AA$241,27,FALSE)</f>
        <v>240</v>
      </c>
      <c r="AL207" s="65">
        <v>230</v>
      </c>
      <c r="AM207" s="65">
        <v>230</v>
      </c>
      <c r="AN207" s="65">
        <v>222</v>
      </c>
      <c r="AO207" s="120">
        <f>IFERROR((AK207-Table4[[#This Row],[2019 Total Rent29]])/Table4[[#This Row],[2019 Total Rent29]], "-")</f>
        <v>8.1081081081081086E-2</v>
      </c>
    </row>
    <row r="208" spans="1:41" x14ac:dyDescent="0.25">
      <c r="A208" s="25">
        <v>41</v>
      </c>
      <c r="B208" s="54" t="str">
        <f>VLOOKUP(A208,Registry!$A$4:$AA$241,2,FALSE)</f>
        <v>Farrugia Mobile Home Park</v>
      </c>
      <c r="C208" s="80" t="str">
        <f>VLOOKUP(A208,Registry!$A$4:$AA$241,3,FALSE)</f>
        <v>Windsor</v>
      </c>
      <c r="D208" s="80" t="str">
        <f>VLOOKUP(A208,Registry!$A$4:$AA$241,4,FALSE)</f>
        <v>Cavendish</v>
      </c>
      <c r="E208" s="80">
        <f>IF(VLOOKUP(A208,Registry!$A$4:$AA$241,7,FALSE)=0,"",VLOOKUP(A208,Registry!$A$4:$AA$241,7,FALSE))</f>
        <v>1982</v>
      </c>
      <c r="F208" s="80" t="str">
        <f>IF(VLOOKUP(A208,Registry!$A$4:$AA$241,20,FALSE)=0,"",VLOOKUP(A208,Registry!$A$4:$AA$241,20,FALSE))</f>
        <v>For profit</v>
      </c>
      <c r="G208" s="25">
        <v>2022</v>
      </c>
      <c r="H208" s="24">
        <f>VLOOKUP(A208,Registry!$A$4:$AA$241,21,FALSE)</f>
        <v>8</v>
      </c>
      <c r="I208" s="24">
        <f>VLOOKUP(A208,Registry!$A$4:$AA$241,24,FALSE)</f>
        <v>0</v>
      </c>
      <c r="J208" s="24">
        <f>VLOOKUP(A208,Registry!$A$4:$AA$241,26,FALSE)</f>
        <v>0</v>
      </c>
      <c r="K208" s="128">
        <v>0</v>
      </c>
      <c r="L208" s="128">
        <v>1</v>
      </c>
      <c r="M208" s="128">
        <v>0</v>
      </c>
      <c r="N208" s="128">
        <v>0</v>
      </c>
      <c r="O208" s="128">
        <v>0</v>
      </c>
      <c r="P208" s="128">
        <v>0</v>
      </c>
      <c r="Q208" s="28">
        <f>I208-Table4[[#This Row],[Park Owned6]]</f>
        <v>0</v>
      </c>
      <c r="R208" s="28">
        <f>J208-Table4[[#This Row],[Other Owned7]]</f>
        <v>0</v>
      </c>
      <c r="S208" s="24">
        <f>VLOOKUP($A208,Registry!$A$4:$AA$241,23,FALSE)</f>
        <v>1</v>
      </c>
      <c r="T208" s="61">
        <f t="shared" si="18"/>
        <v>0.125</v>
      </c>
      <c r="U208" s="35">
        <v>1</v>
      </c>
      <c r="V208" s="90">
        <v>0.1111111111111111</v>
      </c>
      <c r="W208" s="86">
        <v>1</v>
      </c>
      <c r="X208" s="90">
        <v>0.125</v>
      </c>
      <c r="Y208" s="86">
        <v>1</v>
      </c>
      <c r="Z208" s="90">
        <v>0.125</v>
      </c>
      <c r="AA208" s="35">
        <f>Table4[[#This Row],['# Lots]]-Table4[[#This Row],['# Lots10]]</f>
        <v>0</v>
      </c>
      <c r="AB208" s="61">
        <f t="shared" si="22"/>
        <v>0</v>
      </c>
      <c r="AC208" s="35">
        <f>Table4[[#This Row],['# Lots]]-Table4[[#This Row],['# Lots14]]</f>
        <v>0</v>
      </c>
      <c r="AD208" s="61">
        <f t="shared" si="23"/>
        <v>0</v>
      </c>
      <c r="AE208" s="138">
        <v>7</v>
      </c>
      <c r="AF208" s="35">
        <v>7</v>
      </c>
      <c r="AG208" s="58">
        <v>7</v>
      </c>
      <c r="AH208" s="58">
        <v>7</v>
      </c>
      <c r="AI208" s="128">
        <f>Table4[[#This Row],[2022 Leased Lots20]]-Table4[[#This Row],[2019 Leased Lots23]]</f>
        <v>0</v>
      </c>
      <c r="AJ208" s="61">
        <f t="shared" si="21"/>
        <v>0.875</v>
      </c>
      <c r="AK208" s="139">
        <f>VLOOKUP($A208,Registry!$A$4:$AA$241,27,FALSE)</f>
        <v>328.89</v>
      </c>
      <c r="AL208" s="65">
        <v>319</v>
      </c>
      <c r="AM208" s="65">
        <v>319</v>
      </c>
      <c r="AN208" s="65">
        <v>319</v>
      </c>
      <c r="AO208" s="120">
        <f>IFERROR((AK208-Table4[[#This Row],[2019 Total Rent29]])/Table4[[#This Row],[2019 Total Rent29]], "-")</f>
        <v>3.1003134796238202E-2</v>
      </c>
    </row>
    <row r="209" spans="1:41" x14ac:dyDescent="0.25">
      <c r="A209" s="25">
        <v>34</v>
      </c>
      <c r="B209" s="54" t="str">
        <f>VLOOKUP(A209,Registry!$A$4:$AA$241,2,FALSE)</f>
        <v>Amsden's Mobile Home Park</v>
      </c>
      <c r="C209" s="80" t="str">
        <f>VLOOKUP(A209,Registry!$A$4:$AA$241,3,FALSE)</f>
        <v>Windsor</v>
      </c>
      <c r="D209" s="80" t="str">
        <f>VLOOKUP(A209,Registry!$A$4:$AA$241,4,FALSE)</f>
        <v>Chester</v>
      </c>
      <c r="E209" s="80">
        <f>IF(VLOOKUP(A209,Registry!$A$4:$AA$241,7,FALSE)=0,"",VLOOKUP(A209,Registry!$A$4:$AA$241,7,FALSE))</f>
        <v>1960</v>
      </c>
      <c r="F209" s="80" t="str">
        <f>IF(VLOOKUP(A209,Registry!$A$4:$AA$241,20,FALSE)=0,"",VLOOKUP(A209,Registry!$A$4:$AA$241,20,FALSE))</f>
        <v>For profit</v>
      </c>
      <c r="G209" s="25">
        <v>2012</v>
      </c>
      <c r="H209" s="24">
        <f>VLOOKUP(A209,Registry!$A$4:$AA$241,21,FALSE)</f>
        <v>3</v>
      </c>
      <c r="I209" s="24">
        <f>VLOOKUP(A209,Registry!$A$4:$AA$241,24,FALSE)</f>
        <v>2</v>
      </c>
      <c r="J209" s="24">
        <f>VLOOKUP(A209,Registry!$A$4:$AA$241,26,FALSE)</f>
        <v>0</v>
      </c>
      <c r="K209" s="128">
        <v>2</v>
      </c>
      <c r="L209" s="128">
        <v>0</v>
      </c>
      <c r="M209" s="128">
        <v>2</v>
      </c>
      <c r="N209" s="128">
        <v>0</v>
      </c>
      <c r="O209" s="128">
        <v>2</v>
      </c>
      <c r="P209" s="128">
        <v>0</v>
      </c>
      <c r="Q209" s="28">
        <f>I209-Table4[[#This Row],[Park Owned6]]</f>
        <v>0</v>
      </c>
      <c r="R209" s="28">
        <f>J209-Table4[[#This Row],[Other Owned7]]</f>
        <v>0</v>
      </c>
      <c r="S209" s="24">
        <f>VLOOKUP($A209,Registry!$A$4:$AA$241,23,FALSE)</f>
        <v>0</v>
      </c>
      <c r="T209" s="61">
        <f t="shared" si="18"/>
        <v>0</v>
      </c>
      <c r="U209" s="35">
        <v>0</v>
      </c>
      <c r="V209" s="90">
        <v>0</v>
      </c>
      <c r="W209" s="86">
        <v>0</v>
      </c>
      <c r="X209" s="90">
        <v>0</v>
      </c>
      <c r="Y209" s="86">
        <v>0</v>
      </c>
      <c r="Z209" s="90">
        <v>0</v>
      </c>
      <c r="AA209" s="35">
        <f>Table4[[#This Row],['# Lots]]-Table4[[#This Row],['# Lots10]]</f>
        <v>0</v>
      </c>
      <c r="AB209" s="61">
        <f t="shared" si="22"/>
        <v>0</v>
      </c>
      <c r="AC209" s="35">
        <f>Table4[[#This Row],['# Lots]]-Table4[[#This Row],['# Lots14]]</f>
        <v>0</v>
      </c>
      <c r="AD209" s="61">
        <f t="shared" si="23"/>
        <v>0</v>
      </c>
      <c r="AE209" s="138">
        <v>3</v>
      </c>
      <c r="AF209" s="35">
        <v>3</v>
      </c>
      <c r="AG209" s="58">
        <v>3</v>
      </c>
      <c r="AH209" s="58">
        <v>4</v>
      </c>
      <c r="AI209" s="128">
        <f>Table4[[#This Row],[2022 Leased Lots20]]-Table4[[#This Row],[2019 Leased Lots23]]</f>
        <v>-1</v>
      </c>
      <c r="AJ209" s="61">
        <f t="shared" si="21"/>
        <v>1</v>
      </c>
      <c r="AK209" s="139">
        <f>VLOOKUP($A209,Registry!$A$4:$AA$241,27,FALSE)</f>
        <v>220</v>
      </c>
      <c r="AL209" s="65">
        <v>220</v>
      </c>
      <c r="AM209" s="65">
        <v>220</v>
      </c>
      <c r="AN209" s="65">
        <v>220</v>
      </c>
      <c r="AO209" s="120">
        <f>IFERROR((AK209-Table4[[#This Row],[2019 Total Rent29]])/Table4[[#This Row],[2019 Total Rent29]], "-")</f>
        <v>0</v>
      </c>
    </row>
    <row r="210" spans="1:41" x14ac:dyDescent="0.25">
      <c r="A210" s="25">
        <v>36</v>
      </c>
      <c r="B210" s="54" t="str">
        <f>VLOOKUP(A210,Registry!$A$4:$AA$241,2,FALSE)</f>
        <v>Farrar Mobile Home Park</v>
      </c>
      <c r="C210" s="80" t="str">
        <f>VLOOKUP(A210,Registry!$A$4:$AA$241,3,FALSE)</f>
        <v>Windsor</v>
      </c>
      <c r="D210" s="80" t="str">
        <f>VLOOKUP(A210,Registry!$A$4:$AA$241,4,FALSE)</f>
        <v>Chester</v>
      </c>
      <c r="E210" s="80">
        <f>IF(VLOOKUP(A210,Registry!$A$4:$AA$241,7,FALSE)=0,"",VLOOKUP(A210,Registry!$A$4:$AA$241,7,FALSE))</f>
        <v>1970</v>
      </c>
      <c r="F210" s="80" t="str">
        <f>IF(VLOOKUP(A210,Registry!$A$4:$AA$241,20,FALSE)=0,"",VLOOKUP(A210,Registry!$A$4:$AA$241,20,FALSE))</f>
        <v>For profit</v>
      </c>
      <c r="G210" s="25">
        <v>2022</v>
      </c>
      <c r="H210" s="24">
        <f>VLOOKUP(A210,Registry!$A$4:$AA$241,21,FALSE)</f>
        <v>3</v>
      </c>
      <c r="I210" s="24">
        <f>VLOOKUP(A210,Registry!$A$4:$AA$241,24,FALSE)</f>
        <v>3</v>
      </c>
      <c r="J210" s="24">
        <f>VLOOKUP(A210,Registry!$A$4:$AA$241,26,FALSE)</f>
        <v>0</v>
      </c>
      <c r="K210" s="128">
        <v>3</v>
      </c>
      <c r="L210" s="128">
        <v>0</v>
      </c>
      <c r="M210" s="128">
        <v>3</v>
      </c>
      <c r="N210" s="128">
        <v>0</v>
      </c>
      <c r="O210" s="128">
        <v>3</v>
      </c>
      <c r="P210" s="128">
        <v>0</v>
      </c>
      <c r="Q210" s="28">
        <f>I210-Table4[[#This Row],[Park Owned6]]</f>
        <v>0</v>
      </c>
      <c r="R210" s="28">
        <f>J210-Table4[[#This Row],[Other Owned7]]</f>
        <v>0</v>
      </c>
      <c r="S210" s="24">
        <f>VLOOKUP($A210,Registry!$A$4:$AA$241,23,FALSE)</f>
        <v>0</v>
      </c>
      <c r="T210" s="61">
        <f t="shared" si="18"/>
        <v>0</v>
      </c>
      <c r="U210" s="35">
        <v>0</v>
      </c>
      <c r="V210" s="90">
        <v>0</v>
      </c>
      <c r="W210" s="86">
        <v>0</v>
      </c>
      <c r="X210" s="90">
        <v>0</v>
      </c>
      <c r="Y210" s="86">
        <v>0</v>
      </c>
      <c r="Z210" s="90">
        <v>0</v>
      </c>
      <c r="AA210" s="35">
        <f>Table4[[#This Row],['# Lots]]-Table4[[#This Row],['# Lots10]]</f>
        <v>0</v>
      </c>
      <c r="AB210" s="61">
        <f t="shared" si="22"/>
        <v>0</v>
      </c>
      <c r="AC210" s="35">
        <f>Table4[[#This Row],['# Lots]]-Table4[[#This Row],['# Lots14]]</f>
        <v>0</v>
      </c>
      <c r="AD210" s="61">
        <f t="shared" si="23"/>
        <v>0</v>
      </c>
      <c r="AE210" s="138">
        <v>2</v>
      </c>
      <c r="AF210" s="35">
        <v>2</v>
      </c>
      <c r="AG210" s="58">
        <v>3</v>
      </c>
      <c r="AH210" s="58">
        <v>3</v>
      </c>
      <c r="AI210" s="128">
        <f>Table4[[#This Row],[2022 Leased Lots20]]-Table4[[#This Row],[2019 Leased Lots23]]</f>
        <v>-1</v>
      </c>
      <c r="AJ210" s="61">
        <f t="shared" si="21"/>
        <v>0.66666666666666663</v>
      </c>
      <c r="AK210" s="139">
        <f>VLOOKUP($A210,Registry!$A$4:$AA$241,27,FALSE)</f>
        <v>0</v>
      </c>
      <c r="AL210" s="65">
        <v>0</v>
      </c>
      <c r="AM210" s="65"/>
      <c r="AN210" s="65"/>
      <c r="AO210" s="120" t="str">
        <f>IFERROR((AK210-Table4[[#This Row],[2019 Total Rent29]])/Table4[[#This Row],[2019 Total Rent29]], "-")</f>
        <v>-</v>
      </c>
    </row>
    <row r="211" spans="1:41" x14ac:dyDescent="0.25">
      <c r="A211" s="25">
        <v>7</v>
      </c>
      <c r="B211" s="54" t="str">
        <f>VLOOKUP(A211,Registry!$A$4:$AA$241,2,FALSE)</f>
        <v>Chambers Mobile Home Village</v>
      </c>
      <c r="C211" s="80" t="str">
        <f>VLOOKUP(A211,Registry!$A$4:$AA$241,3,FALSE)</f>
        <v>Windsor</v>
      </c>
      <c r="D211" s="80" t="str">
        <f>VLOOKUP(A211,Registry!$A$4:$AA$241,4,FALSE)</f>
        <v>Hartford</v>
      </c>
      <c r="E211" s="80">
        <f>IF(VLOOKUP(A211,Registry!$A$4:$AA$241,7,FALSE)=0,"",VLOOKUP(A211,Registry!$A$4:$AA$241,7,FALSE))</f>
        <v>1960</v>
      </c>
      <c r="F211" s="80" t="str">
        <f>IF(VLOOKUP(A211,Registry!$A$4:$AA$241,20,FALSE)=0,"",VLOOKUP(A211,Registry!$A$4:$AA$241,20,FALSE))</f>
        <v>For profit</v>
      </c>
      <c r="G211" s="25">
        <v>1971</v>
      </c>
      <c r="H211" s="24">
        <f>VLOOKUP(A211,Registry!$A$4:$AA$241,21,FALSE)</f>
        <v>85</v>
      </c>
      <c r="I211" s="24">
        <f>VLOOKUP(A211,Registry!$A$4:$AA$241,24,FALSE)</f>
        <v>9</v>
      </c>
      <c r="J211" s="24">
        <f>VLOOKUP(A211,Registry!$A$4:$AA$241,26,FALSE)</f>
        <v>4</v>
      </c>
      <c r="K211" s="128">
        <v>12</v>
      </c>
      <c r="L211" s="128">
        <v>4</v>
      </c>
      <c r="M211" s="128">
        <v>11</v>
      </c>
      <c r="N211" s="128">
        <v>4</v>
      </c>
      <c r="O211" s="128">
        <v>8</v>
      </c>
      <c r="P211" s="128">
        <v>4</v>
      </c>
      <c r="Q211" s="28">
        <f>I211-Table4[[#This Row],[Park Owned6]]</f>
        <v>1</v>
      </c>
      <c r="R211" s="28">
        <f>J211-Table4[[#This Row],[Other Owned7]]</f>
        <v>0</v>
      </c>
      <c r="S211" s="24">
        <f>VLOOKUP($A211,Registry!$A$4:$AA$241,23,FALSE)</f>
        <v>10</v>
      </c>
      <c r="T211" s="61">
        <f t="shared" si="18"/>
        <v>0.11764705882352941</v>
      </c>
      <c r="U211" s="35">
        <v>10</v>
      </c>
      <c r="V211" s="90">
        <v>0.11904761904761904</v>
      </c>
      <c r="W211" s="86">
        <v>12</v>
      </c>
      <c r="X211" s="90">
        <v>0.14300000000000002</v>
      </c>
      <c r="Y211" s="86">
        <v>12</v>
      </c>
      <c r="Z211" s="90">
        <v>0.14300000000000002</v>
      </c>
      <c r="AA211" s="35">
        <f>Table4[[#This Row],['# Lots]]-Table4[[#This Row],['# Lots10]]</f>
        <v>0</v>
      </c>
      <c r="AB211" s="61">
        <f t="shared" si="22"/>
        <v>0</v>
      </c>
      <c r="AC211" s="35">
        <f>Table4[[#This Row],['# Lots]]-Table4[[#This Row],['# Lots14]]</f>
        <v>-2</v>
      </c>
      <c r="AD211" s="61">
        <f t="shared" si="23"/>
        <v>-2.3529411764705882E-2</v>
      </c>
      <c r="AE211" s="138">
        <v>64</v>
      </c>
      <c r="AF211" s="35">
        <v>62</v>
      </c>
      <c r="AG211" s="58">
        <v>62</v>
      </c>
      <c r="AH211" s="58">
        <v>70</v>
      </c>
      <c r="AI211" s="128">
        <f>Table4[[#This Row],[2022 Leased Lots20]]-Table4[[#This Row],[2019 Leased Lots23]]</f>
        <v>-6</v>
      </c>
      <c r="AJ211" s="61">
        <f t="shared" si="21"/>
        <v>0.75294117647058822</v>
      </c>
      <c r="AK211" s="139">
        <f>VLOOKUP($A211,Registry!$A$4:$AA$241,27,FALSE)</f>
        <v>435</v>
      </c>
      <c r="AL211" s="65">
        <v>425</v>
      </c>
      <c r="AM211" s="65">
        <v>415</v>
      </c>
      <c r="AN211" s="65">
        <v>400</v>
      </c>
      <c r="AO211" s="120">
        <f>IFERROR((AK211-Table4[[#This Row],[2019 Total Rent29]])/Table4[[#This Row],[2019 Total Rent29]], "-")</f>
        <v>8.7499999999999994E-2</v>
      </c>
    </row>
    <row r="212" spans="1:41" x14ac:dyDescent="0.25">
      <c r="A212" s="25">
        <v>234</v>
      </c>
      <c r="B212" s="54" t="str">
        <f>VLOOKUP(A212,Registry!$A$4:$AA$241,2,FALSE)</f>
        <v>Merrimac Mobile Home Park</v>
      </c>
      <c r="C212" s="80" t="str">
        <f>VLOOKUP(A212,Registry!$A$4:$AA$241,3,FALSE)</f>
        <v>Windsor</v>
      </c>
      <c r="D212" s="80" t="str">
        <f>VLOOKUP(A212,Registry!$A$4:$AA$241,4,FALSE)</f>
        <v>Hartford</v>
      </c>
      <c r="E212" s="80">
        <f>IF(VLOOKUP(A212,Registry!$A$4:$AA$241,7,FALSE)=0,"",VLOOKUP(A212,Registry!$A$4:$AA$241,7,FALSE))</f>
        <v>1968</v>
      </c>
      <c r="F212" s="80" t="str">
        <f>IF(VLOOKUP(A212,Registry!$A$4:$AA$241,20,FALSE)=0,"",VLOOKUP(A212,Registry!$A$4:$AA$241,20,FALSE))</f>
        <v>For profit</v>
      </c>
      <c r="G212" s="25">
        <v>1977</v>
      </c>
      <c r="H212" s="24">
        <f>VLOOKUP(A212,Registry!$A$4:$AA$241,21,FALSE)</f>
        <v>47</v>
      </c>
      <c r="I212" s="24">
        <f>VLOOKUP(A212,Registry!$A$4:$AA$241,24,FALSE)</f>
        <v>2</v>
      </c>
      <c r="J212" s="24">
        <f>VLOOKUP(A212,Registry!$A$4:$AA$241,26,FALSE)</f>
        <v>0</v>
      </c>
      <c r="K212" s="128">
        <v>3</v>
      </c>
      <c r="L212" s="128">
        <v>0</v>
      </c>
      <c r="M212" s="128">
        <v>3</v>
      </c>
      <c r="N212" s="128">
        <v>0</v>
      </c>
      <c r="O212" s="128">
        <v>3</v>
      </c>
      <c r="P212" s="128">
        <v>0</v>
      </c>
      <c r="Q212" s="28">
        <f>I212-Table4[[#This Row],[Park Owned6]]</f>
        <v>-1</v>
      </c>
      <c r="R212" s="28">
        <f>J212-Table4[[#This Row],[Other Owned7]]</f>
        <v>0</v>
      </c>
      <c r="S212" s="24">
        <f>VLOOKUP($A212,Registry!$A$4:$AA$241,23,FALSE)</f>
        <v>0</v>
      </c>
      <c r="T212" s="61">
        <f t="shared" si="18"/>
        <v>0</v>
      </c>
      <c r="U212" s="35">
        <v>0</v>
      </c>
      <c r="V212" s="90">
        <v>0</v>
      </c>
      <c r="W212" s="86">
        <v>0</v>
      </c>
      <c r="X212" s="90">
        <v>0</v>
      </c>
      <c r="Y212" s="86">
        <v>0</v>
      </c>
      <c r="Z212" s="90">
        <v>0</v>
      </c>
      <c r="AA212" s="35">
        <f>Table4[[#This Row],['# Lots]]-Table4[[#This Row],['# Lots10]]</f>
        <v>0</v>
      </c>
      <c r="AB212" s="61">
        <f t="shared" si="22"/>
        <v>0</v>
      </c>
      <c r="AC212" s="35">
        <f>Table4[[#This Row],['# Lots]]-Table4[[#This Row],['# Lots14]]</f>
        <v>0</v>
      </c>
      <c r="AD212" s="61">
        <f t="shared" si="23"/>
        <v>0</v>
      </c>
      <c r="AE212" s="138">
        <v>47</v>
      </c>
      <c r="AF212" s="35">
        <v>47</v>
      </c>
      <c r="AG212" s="58">
        <v>47</v>
      </c>
      <c r="AH212" s="58">
        <v>47</v>
      </c>
      <c r="AI212" s="128">
        <f>Table4[[#This Row],[2022 Leased Lots20]]-Table4[[#This Row],[2019 Leased Lots23]]</f>
        <v>0</v>
      </c>
      <c r="AJ212" s="61">
        <f t="shared" si="21"/>
        <v>1</v>
      </c>
      <c r="AK212" s="139">
        <f>VLOOKUP($A212,Registry!$A$4:$AA$241,27,FALSE)</f>
        <v>439</v>
      </c>
      <c r="AL212" s="65">
        <v>421</v>
      </c>
      <c r="AM212" s="65">
        <v>409</v>
      </c>
      <c r="AN212" s="65">
        <v>395</v>
      </c>
      <c r="AO212" s="120">
        <f>IFERROR((AK212-Table4[[#This Row],[2019 Total Rent29]])/Table4[[#This Row],[2019 Total Rent29]], "-")</f>
        <v>0.11139240506329114</v>
      </c>
    </row>
    <row r="213" spans="1:41" x14ac:dyDescent="0.25">
      <c r="A213" s="25">
        <v>141</v>
      </c>
      <c r="B213" s="54" t="str">
        <f>VLOOKUP(A213,Registry!$A$4:$AA$241,2,FALSE)</f>
        <v>Olcott Falls Mobile Home Park</v>
      </c>
      <c r="C213" s="80" t="str">
        <f>VLOOKUP(A213,Registry!$A$4:$AA$241,3,FALSE)</f>
        <v>Windsor</v>
      </c>
      <c r="D213" s="80" t="str">
        <f>VLOOKUP(A213,Registry!$A$4:$AA$241,4,FALSE)</f>
        <v>Hartford</v>
      </c>
      <c r="E213" s="80" t="str">
        <f>IF(VLOOKUP(A213,Registry!$A$4:$AA$241,7,FALSE)=0,"",VLOOKUP(A213,Registry!$A$4:$AA$241,7,FALSE))</f>
        <v/>
      </c>
      <c r="F213" s="80" t="str">
        <f>IF(VLOOKUP(A213,Registry!$A$4:$AA$241,20,FALSE)=0,"",VLOOKUP(A213,Registry!$A$4:$AA$241,20,FALSE))</f>
        <v>Non-profit</v>
      </c>
      <c r="G213" s="25">
        <v>1993</v>
      </c>
      <c r="H213" s="24">
        <f>VLOOKUP(A213,Registry!$A$4:$AA$241,21,FALSE)</f>
        <v>40</v>
      </c>
      <c r="I213" s="24">
        <f>VLOOKUP(A213,Registry!$A$4:$AA$241,24,FALSE)</f>
        <v>0</v>
      </c>
      <c r="J213" s="24">
        <f>VLOOKUP(A213,Registry!$A$4:$AA$241,26,FALSE)</f>
        <v>0</v>
      </c>
      <c r="K213" s="128">
        <v>0</v>
      </c>
      <c r="L213" s="128">
        <v>0</v>
      </c>
      <c r="M213" s="128">
        <v>0</v>
      </c>
      <c r="N213" s="128">
        <v>0</v>
      </c>
      <c r="O213" s="128">
        <v>0</v>
      </c>
      <c r="P213" s="128">
        <v>0</v>
      </c>
      <c r="Q213" s="28">
        <f>I213-Table4[[#This Row],[Park Owned6]]</f>
        <v>0</v>
      </c>
      <c r="R213" s="28">
        <f>J213-Table4[[#This Row],[Other Owned7]]</f>
        <v>0</v>
      </c>
      <c r="S213" s="24">
        <f>VLOOKUP($A213,Registry!$A$4:$AA$241,23,FALSE)</f>
        <v>0</v>
      </c>
      <c r="T213" s="61">
        <f t="shared" si="18"/>
        <v>0</v>
      </c>
      <c r="U213" s="35">
        <v>0</v>
      </c>
      <c r="V213" s="90">
        <v>0</v>
      </c>
      <c r="W213" s="86">
        <v>0</v>
      </c>
      <c r="X213" s="90">
        <v>0</v>
      </c>
      <c r="Y213" s="86">
        <v>0</v>
      </c>
      <c r="Z213" s="90">
        <v>0</v>
      </c>
      <c r="AA213" s="35">
        <f>Table4[[#This Row],['# Lots]]-Table4[[#This Row],['# Lots10]]</f>
        <v>0</v>
      </c>
      <c r="AB213" s="61">
        <f t="shared" si="22"/>
        <v>0</v>
      </c>
      <c r="AC213" s="35">
        <f>Table4[[#This Row],['# Lots]]-Table4[[#This Row],['# Lots14]]</f>
        <v>0</v>
      </c>
      <c r="AD213" s="61">
        <f t="shared" si="23"/>
        <v>0</v>
      </c>
      <c r="AE213" s="138">
        <v>40</v>
      </c>
      <c r="AF213" s="35">
        <v>40</v>
      </c>
      <c r="AG213" s="58">
        <v>40</v>
      </c>
      <c r="AH213" s="58">
        <v>40</v>
      </c>
      <c r="AI213" s="128">
        <f>Table4[[#This Row],[2022 Leased Lots20]]-Table4[[#This Row],[2019 Leased Lots23]]</f>
        <v>0</v>
      </c>
      <c r="AJ213" s="61">
        <f t="shared" si="21"/>
        <v>1</v>
      </c>
      <c r="AK213" s="139">
        <f>VLOOKUP($A213,Registry!$A$4:$AA$241,27,FALSE)</f>
        <v>441</v>
      </c>
      <c r="AL213" s="65">
        <v>441</v>
      </c>
      <c r="AM213" s="65">
        <v>428</v>
      </c>
      <c r="AN213" s="65">
        <v>416</v>
      </c>
      <c r="AO213" s="120">
        <f>IFERROR((AK213-Table4[[#This Row],[2019 Total Rent29]])/Table4[[#This Row],[2019 Total Rent29]], "-")</f>
        <v>6.0096153846153848E-2</v>
      </c>
    </row>
    <row r="214" spans="1:41" x14ac:dyDescent="0.25">
      <c r="A214" s="25">
        <v>200</v>
      </c>
      <c r="B214" s="54" t="str">
        <f>VLOOKUP(A214,Registry!$A$4:$AA$241,2,FALSE)</f>
        <v>Tall Timbers MH Community, LLC</v>
      </c>
      <c r="C214" s="80" t="str">
        <f>VLOOKUP(A214,Registry!$A$4:$AA$241,3,FALSE)</f>
        <v>Windsor</v>
      </c>
      <c r="D214" s="80" t="str">
        <f>VLOOKUP(A214,Registry!$A$4:$AA$241,4,FALSE)</f>
        <v>Hartford</v>
      </c>
      <c r="E214" s="80">
        <f>IF(VLOOKUP(A214,Registry!$A$4:$AA$241,7,FALSE)=0,"",VLOOKUP(A214,Registry!$A$4:$AA$241,7,FALSE))</f>
        <v>1977</v>
      </c>
      <c r="F214" s="80" t="str">
        <f>IF(VLOOKUP(A214,Registry!$A$4:$AA$241,20,FALSE)=0,"",VLOOKUP(A214,Registry!$A$4:$AA$241,20,FALSE))</f>
        <v>For profit</v>
      </c>
      <c r="G214" s="25">
        <v>2010</v>
      </c>
      <c r="H214" s="24">
        <f>VLOOKUP(A214,Registry!$A$4:$AA$241,21,FALSE)</f>
        <v>105</v>
      </c>
      <c r="I214" s="24">
        <f>VLOOKUP(A214,Registry!$A$4:$AA$241,24,FALSE)</f>
        <v>1</v>
      </c>
      <c r="J214" s="24">
        <f>VLOOKUP(A214,Registry!$A$4:$AA$241,26,FALSE)</f>
        <v>0</v>
      </c>
      <c r="K214" s="128">
        <v>1</v>
      </c>
      <c r="L214" s="128">
        <v>0</v>
      </c>
      <c r="M214" s="128">
        <v>1</v>
      </c>
      <c r="N214" s="128">
        <v>0</v>
      </c>
      <c r="O214" s="128">
        <v>0</v>
      </c>
      <c r="P214" s="128">
        <v>0</v>
      </c>
      <c r="Q214" s="28">
        <f>I214-Table4[[#This Row],[Park Owned6]]</f>
        <v>1</v>
      </c>
      <c r="R214" s="28">
        <f>J214-Table4[[#This Row],[Other Owned7]]</f>
        <v>0</v>
      </c>
      <c r="S214" s="24">
        <f>VLOOKUP($A214,Registry!$A$4:$AA$241,23,FALSE)</f>
        <v>0</v>
      </c>
      <c r="T214" s="61">
        <f t="shared" si="18"/>
        <v>0</v>
      </c>
      <c r="U214" s="35">
        <v>0</v>
      </c>
      <c r="V214" s="90">
        <v>0</v>
      </c>
      <c r="W214" s="86">
        <v>0</v>
      </c>
      <c r="X214" s="90">
        <v>0</v>
      </c>
      <c r="Y214" s="86">
        <v>0</v>
      </c>
      <c r="Z214" s="90">
        <v>0</v>
      </c>
      <c r="AA214" s="35">
        <f>Table4[[#This Row],['# Lots]]-Table4[[#This Row],['# Lots10]]</f>
        <v>0</v>
      </c>
      <c r="AB214" s="61">
        <f t="shared" si="22"/>
        <v>0</v>
      </c>
      <c r="AC214" s="35">
        <f>Table4[[#This Row],['# Lots]]-Table4[[#This Row],['# Lots14]]</f>
        <v>0</v>
      </c>
      <c r="AD214" s="61">
        <f t="shared" si="23"/>
        <v>0</v>
      </c>
      <c r="AE214" s="138">
        <v>105</v>
      </c>
      <c r="AF214" s="35">
        <v>105</v>
      </c>
      <c r="AG214" s="58">
        <v>105</v>
      </c>
      <c r="AH214" s="58">
        <v>105</v>
      </c>
      <c r="AI214" s="128">
        <f>Table4[[#This Row],[2022 Leased Lots20]]-Table4[[#This Row],[2019 Leased Lots23]]</f>
        <v>0</v>
      </c>
      <c r="AJ214" s="61">
        <f t="shared" si="21"/>
        <v>1</v>
      </c>
      <c r="AK214" s="139">
        <f>VLOOKUP($A214,Registry!$A$4:$AA$241,27,FALSE)</f>
        <v>430</v>
      </c>
      <c r="AL214" s="65">
        <v>430</v>
      </c>
      <c r="AM214" s="65">
        <v>430</v>
      </c>
      <c r="AN214" s="65">
        <v>430</v>
      </c>
      <c r="AO214" s="120">
        <f>IFERROR((AK214-Table4[[#This Row],[2019 Total Rent29]])/Table4[[#This Row],[2019 Total Rent29]], "-")</f>
        <v>0</v>
      </c>
    </row>
    <row r="215" spans="1:41" x14ac:dyDescent="0.25">
      <c r="A215" s="25">
        <v>15</v>
      </c>
      <c r="B215" s="54" t="str">
        <f>VLOOKUP(A215,Registry!$A$4:$AA$241,2,FALSE)</f>
        <v>Skunk Hollow Mobile Home Park</v>
      </c>
      <c r="C215" s="80" t="str">
        <f>VLOOKUP(A215,Registry!$A$4:$AA$241,3,FALSE)</f>
        <v>Windsor</v>
      </c>
      <c r="D215" s="80" t="str">
        <f>VLOOKUP(A215,Registry!$A$4:$AA$241,4,FALSE)</f>
        <v>Hartland</v>
      </c>
      <c r="E215" s="80">
        <f>IF(VLOOKUP(A215,Registry!$A$4:$AA$241,7,FALSE)=0,"",VLOOKUP(A215,Registry!$A$4:$AA$241,7,FALSE))</f>
        <v>1951</v>
      </c>
      <c r="F215" s="80" t="str">
        <f>IF(VLOOKUP(A215,Registry!$A$4:$AA$241,20,FALSE)=0,"",VLOOKUP(A215,Registry!$A$4:$AA$241,20,FALSE))</f>
        <v>For profit</v>
      </c>
      <c r="G215" s="25">
        <v>2012</v>
      </c>
      <c r="H215" s="24">
        <f>VLOOKUP(A215,Registry!$A$4:$AA$241,21,FALSE)</f>
        <v>9</v>
      </c>
      <c r="I215" s="24">
        <f>VLOOKUP(A215,Registry!$A$4:$AA$241,24,FALSE)</f>
        <v>7</v>
      </c>
      <c r="J215" s="24">
        <f>VLOOKUP(A215,Registry!$A$4:$AA$241,26,FALSE)</f>
        <v>0</v>
      </c>
      <c r="K215" s="128">
        <v>7</v>
      </c>
      <c r="L215" s="128">
        <v>0</v>
      </c>
      <c r="M215" s="128">
        <v>7</v>
      </c>
      <c r="N215" s="128">
        <v>0</v>
      </c>
      <c r="O215" s="128">
        <v>7</v>
      </c>
      <c r="P215" s="128">
        <v>0</v>
      </c>
      <c r="Q215" s="28">
        <f>I215-Table4[[#This Row],[Park Owned6]]</f>
        <v>0</v>
      </c>
      <c r="R215" s="28">
        <f>J215-Table4[[#This Row],[Other Owned7]]</f>
        <v>0</v>
      </c>
      <c r="S215" s="24">
        <f>VLOOKUP($A215,Registry!$A$4:$AA$241,23,FALSE)</f>
        <v>0</v>
      </c>
      <c r="T215" s="61">
        <f t="shared" si="18"/>
        <v>0</v>
      </c>
      <c r="U215" s="35">
        <v>0</v>
      </c>
      <c r="V215" s="90">
        <v>0</v>
      </c>
      <c r="W215" s="86">
        <v>0</v>
      </c>
      <c r="X215" s="90">
        <v>0</v>
      </c>
      <c r="Y215" s="86">
        <v>0</v>
      </c>
      <c r="Z215" s="90">
        <v>0</v>
      </c>
      <c r="AA215" s="35">
        <f>Table4[[#This Row],['# Lots]]-Table4[[#This Row],['# Lots10]]</f>
        <v>0</v>
      </c>
      <c r="AB215" s="61">
        <f t="shared" si="22"/>
        <v>0</v>
      </c>
      <c r="AC215" s="35">
        <f>Table4[[#This Row],['# Lots]]-Table4[[#This Row],['# Lots14]]</f>
        <v>0</v>
      </c>
      <c r="AD215" s="61">
        <f t="shared" si="23"/>
        <v>0</v>
      </c>
      <c r="AE215" s="138">
        <v>9</v>
      </c>
      <c r="AF215" s="35">
        <v>9</v>
      </c>
      <c r="AG215" s="58">
        <v>9</v>
      </c>
      <c r="AH215" s="58">
        <v>9</v>
      </c>
      <c r="AI215" s="128">
        <f>Table4[[#This Row],[2022 Leased Lots20]]-Table4[[#This Row],[2019 Leased Lots23]]</f>
        <v>0</v>
      </c>
      <c r="AJ215" s="61">
        <f t="shared" si="21"/>
        <v>1</v>
      </c>
      <c r="AK215" s="139">
        <f>VLOOKUP($A215,Registry!$A$4:$AA$241,27,FALSE)</f>
        <v>300</v>
      </c>
      <c r="AL215" s="65">
        <v>300</v>
      </c>
      <c r="AM215" s="65">
        <v>300</v>
      </c>
      <c r="AN215" s="65">
        <v>300</v>
      </c>
      <c r="AO215" s="120">
        <f>IFERROR((AK215-Table4[[#This Row],[2019 Total Rent29]])/Table4[[#This Row],[2019 Total Rent29]], "-")</f>
        <v>0</v>
      </c>
    </row>
    <row r="216" spans="1:41" x14ac:dyDescent="0.25">
      <c r="A216" s="25">
        <v>235</v>
      </c>
      <c r="B216" s="54" t="str">
        <f>VLOOKUP(A216,Registry!$A$4:$AA$241,2,FALSE)</f>
        <v>Woodside Manor</v>
      </c>
      <c r="C216" s="80" t="str">
        <f>VLOOKUP(A216,Registry!$A$4:$AA$241,3,FALSE)</f>
        <v>Windsor</v>
      </c>
      <c r="D216" s="80" t="str">
        <f>VLOOKUP(A216,Registry!$A$4:$AA$241,4,FALSE)</f>
        <v>Hartland</v>
      </c>
      <c r="E216" s="80">
        <f>IF(VLOOKUP(A216,Registry!$A$4:$AA$241,7,FALSE)=0,"",VLOOKUP(A216,Registry!$A$4:$AA$241,7,FALSE))</f>
        <v>1965</v>
      </c>
      <c r="F216" s="80" t="str">
        <f>IF(VLOOKUP(A216,Registry!$A$4:$AA$241,20,FALSE)=0,"",VLOOKUP(A216,Registry!$A$4:$AA$241,20,FALSE))</f>
        <v>For profit</v>
      </c>
      <c r="G216" s="25">
        <v>1972</v>
      </c>
      <c r="H216" s="24">
        <f>VLOOKUP(A216,Registry!$A$4:$AA$241,21,FALSE)</f>
        <v>87</v>
      </c>
      <c r="I216" s="24">
        <f>VLOOKUP(A216,Registry!$A$4:$AA$241,24,FALSE)</f>
        <v>3</v>
      </c>
      <c r="J216" s="24">
        <f>VLOOKUP(A216,Registry!$A$4:$AA$241,26,FALSE)</f>
        <v>0</v>
      </c>
      <c r="K216" s="128">
        <v>4</v>
      </c>
      <c r="L216" s="128">
        <v>0</v>
      </c>
      <c r="M216" s="128">
        <v>4</v>
      </c>
      <c r="N216" s="128">
        <v>0</v>
      </c>
      <c r="O216" s="128">
        <v>4</v>
      </c>
      <c r="P216" s="128">
        <v>0</v>
      </c>
      <c r="Q216" s="28">
        <f>I216-Table4[[#This Row],[Park Owned6]]</f>
        <v>-1</v>
      </c>
      <c r="R216" s="28">
        <f>J216-Table4[[#This Row],[Other Owned7]]</f>
        <v>0</v>
      </c>
      <c r="S216" s="24">
        <f>VLOOKUP($A216,Registry!$A$4:$AA$241,23,FALSE)</f>
        <v>0</v>
      </c>
      <c r="T216" s="61">
        <f t="shared" si="18"/>
        <v>0</v>
      </c>
      <c r="U216" s="35">
        <v>0</v>
      </c>
      <c r="V216" s="90">
        <v>0</v>
      </c>
      <c r="W216" s="86">
        <v>0</v>
      </c>
      <c r="X216" s="90">
        <v>0</v>
      </c>
      <c r="Y216" s="86">
        <v>0</v>
      </c>
      <c r="Z216" s="90">
        <v>0</v>
      </c>
      <c r="AA216" s="35">
        <f>Table4[[#This Row],['# Lots]]-Table4[[#This Row],['# Lots10]]</f>
        <v>0</v>
      </c>
      <c r="AB216" s="61">
        <f t="shared" si="22"/>
        <v>0</v>
      </c>
      <c r="AC216" s="35">
        <f>Table4[[#This Row],['# Lots]]-Table4[[#This Row],['# Lots14]]</f>
        <v>0</v>
      </c>
      <c r="AD216" s="61">
        <f t="shared" si="23"/>
        <v>0</v>
      </c>
      <c r="AE216" s="138">
        <v>87</v>
      </c>
      <c r="AF216" s="35">
        <v>87</v>
      </c>
      <c r="AG216" s="58">
        <v>87</v>
      </c>
      <c r="AH216" s="58">
        <v>87</v>
      </c>
      <c r="AI216" s="128">
        <f>Table4[[#This Row],[2022 Leased Lots20]]-Table4[[#This Row],[2019 Leased Lots23]]</f>
        <v>0</v>
      </c>
      <c r="AJ216" s="61">
        <f t="shared" si="21"/>
        <v>1</v>
      </c>
      <c r="AK216" s="139">
        <f>VLOOKUP($A216,Registry!$A$4:$AA$241,27,FALSE)</f>
        <v>461</v>
      </c>
      <c r="AL216" s="65">
        <v>443</v>
      </c>
      <c r="AM216" s="65">
        <v>430</v>
      </c>
      <c r="AN216" s="65">
        <v>415</v>
      </c>
      <c r="AO216" s="120">
        <f>IFERROR((AK216-Table4[[#This Row],[2019 Total Rent29]])/Table4[[#This Row],[2019 Total Rent29]], "-")</f>
        <v>0.1108433734939759</v>
      </c>
    </row>
    <row r="217" spans="1:41" x14ac:dyDescent="0.25">
      <c r="A217" s="25">
        <v>37</v>
      </c>
      <c r="B217" s="54" t="str">
        <f>VLOOKUP(A217,Registry!$A$4:$AA$241,2,FALSE)</f>
        <v>Black River Mobile Court</v>
      </c>
      <c r="C217" s="80" t="str">
        <f>VLOOKUP(A217,Registry!$A$4:$AA$241,3,FALSE)</f>
        <v>Windsor</v>
      </c>
      <c r="D217" s="80" t="str">
        <f>VLOOKUP(A217,Registry!$A$4:$AA$241,4,FALSE)</f>
        <v>Ludlow</v>
      </c>
      <c r="E217" s="80">
        <f>IF(VLOOKUP(A217,Registry!$A$4:$AA$241,7,FALSE)=0,"",VLOOKUP(A217,Registry!$A$4:$AA$241,7,FALSE))</f>
        <v>1967</v>
      </c>
      <c r="F217" s="80" t="str">
        <f>IF(VLOOKUP(A217,Registry!$A$4:$AA$241,20,FALSE)=0,"",VLOOKUP(A217,Registry!$A$4:$AA$241,20,FALSE))</f>
        <v>For profit</v>
      </c>
      <c r="G217" s="25">
        <v>0</v>
      </c>
      <c r="H217" s="24">
        <f>VLOOKUP(A217,Registry!$A$4:$AA$241,21,FALSE)</f>
        <v>15</v>
      </c>
      <c r="I217" s="24">
        <f>VLOOKUP(A217,Registry!$A$4:$AA$241,24,FALSE)</f>
        <v>0</v>
      </c>
      <c r="J217" s="24">
        <f>VLOOKUP(A217,Registry!$A$4:$AA$241,26,FALSE)</f>
        <v>0</v>
      </c>
      <c r="K217" s="128">
        <v>1</v>
      </c>
      <c r="L217" s="128">
        <v>0</v>
      </c>
      <c r="M217" s="128">
        <v>1</v>
      </c>
      <c r="N217" s="128">
        <v>0</v>
      </c>
      <c r="O217" s="128">
        <v>1</v>
      </c>
      <c r="P217" s="128">
        <v>0</v>
      </c>
      <c r="Q217" s="28">
        <f>I217-Table4[[#This Row],[Park Owned6]]</f>
        <v>-1</v>
      </c>
      <c r="R217" s="28">
        <f>J217-Table4[[#This Row],[Other Owned7]]</f>
        <v>0</v>
      </c>
      <c r="S217" s="24">
        <f>VLOOKUP($A217,Registry!$A$4:$AA$241,23,FALSE)</f>
        <v>0</v>
      </c>
      <c r="T217" s="61">
        <f t="shared" si="18"/>
        <v>0</v>
      </c>
      <c r="U217" s="35">
        <v>0</v>
      </c>
      <c r="V217" s="90">
        <v>0</v>
      </c>
      <c r="W217" s="86">
        <v>0</v>
      </c>
      <c r="X217" s="90">
        <v>0</v>
      </c>
      <c r="Y217" s="86">
        <v>0</v>
      </c>
      <c r="Z217" s="90">
        <v>0</v>
      </c>
      <c r="AA217" s="35">
        <f>Table4[[#This Row],['# Lots]]-Table4[[#This Row],['# Lots10]]</f>
        <v>0</v>
      </c>
      <c r="AB217" s="61">
        <f t="shared" si="22"/>
        <v>0</v>
      </c>
      <c r="AC217" s="35">
        <f>Table4[[#This Row],['# Lots]]-Table4[[#This Row],['# Lots14]]</f>
        <v>0</v>
      </c>
      <c r="AD217" s="61">
        <f t="shared" si="23"/>
        <v>0</v>
      </c>
      <c r="AE217" s="138">
        <v>15</v>
      </c>
      <c r="AF217" s="35">
        <v>15</v>
      </c>
      <c r="AG217" s="58">
        <v>15</v>
      </c>
      <c r="AH217" s="58">
        <v>15</v>
      </c>
      <c r="AI217" s="128">
        <f>Table4[[#This Row],[2022 Leased Lots20]]-Table4[[#This Row],[2019 Leased Lots23]]</f>
        <v>0</v>
      </c>
      <c r="AJ217" s="61">
        <f t="shared" si="21"/>
        <v>1</v>
      </c>
      <c r="AK217" s="139">
        <f>VLOOKUP($A217,Registry!$A$4:$AA$241,27,FALSE)</f>
        <v>460</v>
      </c>
      <c r="AL217" s="65">
        <v>435</v>
      </c>
      <c r="AM217" s="65">
        <v>420</v>
      </c>
      <c r="AN217" s="65">
        <v>410</v>
      </c>
      <c r="AO217" s="120">
        <f>IFERROR((AK217-Table4[[#This Row],[2019 Total Rent29]])/Table4[[#This Row],[2019 Total Rent29]], "-")</f>
        <v>0.12195121951219512</v>
      </c>
    </row>
    <row r="218" spans="1:41" x14ac:dyDescent="0.25">
      <c r="A218" s="25">
        <v>320</v>
      </c>
      <c r="B218" s="54" t="str">
        <f>VLOOKUP(A218,Registry!$A$4:$AA$241,2,FALSE)</f>
        <v>Hideaway Campground Association, Inc.</v>
      </c>
      <c r="C218" s="80" t="str">
        <f>VLOOKUP(A218,Registry!$A$4:$AA$241,3,FALSE)</f>
        <v>Windsor</v>
      </c>
      <c r="D218" s="80" t="str">
        <f>VLOOKUP(A218,Registry!$A$4:$AA$241,4,FALSE)</f>
        <v>Ludlow</v>
      </c>
      <c r="E218" s="80">
        <f>IF(VLOOKUP(A218,Registry!$A$4:$AA$241,7,FALSE)=0,"",VLOOKUP(A218,Registry!$A$4:$AA$241,7,FALSE))</f>
        <v>2008</v>
      </c>
      <c r="F218" s="80" t="str">
        <f>IF(VLOOKUP(A218,Registry!$A$4:$AA$241,20,FALSE)=0,"",VLOOKUP(A218,Registry!$A$4:$AA$241,20,FALSE))</f>
        <v>Non-profit</v>
      </c>
      <c r="G218" s="25">
        <v>2008</v>
      </c>
      <c r="H218" s="24">
        <f>VLOOKUP(A218,Registry!$A$4:$AA$241,21,FALSE)</f>
        <v>29</v>
      </c>
      <c r="I218" s="24">
        <f>VLOOKUP(A218,Registry!$A$4:$AA$241,24,FALSE)</f>
        <v>0</v>
      </c>
      <c r="J218" s="24">
        <f>VLOOKUP(A218,Registry!$A$4:$AA$241,26,FALSE)</f>
        <v>0</v>
      </c>
      <c r="K218" s="128">
        <v>0</v>
      </c>
      <c r="L218" s="128">
        <v>0</v>
      </c>
      <c r="M218" s="128">
        <v>0</v>
      </c>
      <c r="N218" s="128">
        <v>0</v>
      </c>
      <c r="O218" s="128">
        <v>0</v>
      </c>
      <c r="P218" s="128">
        <v>0</v>
      </c>
      <c r="Q218" s="28">
        <f>I218-Table4[[#This Row],[Park Owned6]]</f>
        <v>0</v>
      </c>
      <c r="R218" s="28">
        <f>J218-Table4[[#This Row],[Other Owned7]]</f>
        <v>0</v>
      </c>
      <c r="S218" s="24">
        <f>VLOOKUP($A218,Registry!$A$4:$AA$241,23,FALSE)</f>
        <v>0</v>
      </c>
      <c r="T218" s="61">
        <f t="shared" si="18"/>
        <v>0</v>
      </c>
      <c r="U218" s="35">
        <v>0</v>
      </c>
      <c r="V218" s="90">
        <v>0</v>
      </c>
      <c r="W218" s="86">
        <v>0</v>
      </c>
      <c r="X218" s="90">
        <v>0</v>
      </c>
      <c r="Y218" s="86">
        <v>0</v>
      </c>
      <c r="Z218" s="90">
        <v>0</v>
      </c>
      <c r="AA218" s="35">
        <f>Table4[[#This Row],['# Lots]]-Table4[[#This Row],['# Lots10]]</f>
        <v>0</v>
      </c>
      <c r="AB218" s="61">
        <f t="shared" si="22"/>
        <v>0</v>
      </c>
      <c r="AC218" s="35">
        <f>Table4[[#This Row],['# Lots]]-Table4[[#This Row],['# Lots14]]</f>
        <v>0</v>
      </c>
      <c r="AD218" s="61">
        <f t="shared" si="23"/>
        <v>0</v>
      </c>
      <c r="AE218" s="138">
        <v>29</v>
      </c>
      <c r="AF218" s="35">
        <v>29</v>
      </c>
      <c r="AG218" s="58">
        <v>29</v>
      </c>
      <c r="AH218" s="58">
        <v>29</v>
      </c>
      <c r="AI218" s="128">
        <f>Table4[[#This Row],[2022 Leased Lots20]]-Table4[[#This Row],[2019 Leased Lots23]]</f>
        <v>0</v>
      </c>
      <c r="AJ218" s="61">
        <f t="shared" si="21"/>
        <v>1</v>
      </c>
      <c r="AK218" s="139">
        <f>VLOOKUP($A218,Registry!$A$4:$AA$241,27,FALSE)</f>
        <v>175</v>
      </c>
      <c r="AL218" s="65">
        <v>175</v>
      </c>
      <c r="AM218" s="65">
        <v>175</v>
      </c>
      <c r="AN218" s="65">
        <v>175</v>
      </c>
      <c r="AO218" s="120">
        <f>IFERROR((AK218-Table4[[#This Row],[2019 Total Rent29]])/Table4[[#This Row],[2019 Total Rent29]], "-")</f>
        <v>0</v>
      </c>
    </row>
    <row r="219" spans="1:41" x14ac:dyDescent="0.25">
      <c r="A219" s="25">
        <v>241</v>
      </c>
      <c r="B219" s="54" t="str">
        <f>VLOOKUP(A219,Registry!$A$4:$AA$241,2,FALSE)</f>
        <v>Stryhas Trailer Park</v>
      </c>
      <c r="C219" s="80" t="str">
        <f>VLOOKUP(A219,Registry!$A$4:$AA$241,3,FALSE)</f>
        <v>Windsor</v>
      </c>
      <c r="D219" s="80" t="str">
        <f>VLOOKUP(A219,Registry!$A$4:$AA$241,4,FALSE)</f>
        <v>Ludlow</v>
      </c>
      <c r="E219" s="80">
        <f>IF(VLOOKUP(A219,Registry!$A$4:$AA$241,7,FALSE)=0,"",VLOOKUP(A219,Registry!$A$4:$AA$241,7,FALSE))</f>
        <v>1972</v>
      </c>
      <c r="F219" s="80" t="str">
        <f>IF(VLOOKUP(A219,Registry!$A$4:$AA$241,20,FALSE)=0,"",VLOOKUP(A219,Registry!$A$4:$AA$241,20,FALSE))</f>
        <v>For profit</v>
      </c>
      <c r="G219" s="25">
        <v>1995</v>
      </c>
      <c r="H219" s="24">
        <f>VLOOKUP(A219,Registry!$A$4:$AA$241,21,FALSE)</f>
        <v>11</v>
      </c>
      <c r="I219" s="24">
        <f>VLOOKUP(A219,Registry!$A$4:$AA$241,24,FALSE)</f>
        <v>0</v>
      </c>
      <c r="J219" s="24">
        <f>VLOOKUP(A219,Registry!$A$4:$AA$241,26,FALSE)</f>
        <v>0</v>
      </c>
      <c r="K219" s="128">
        <v>0</v>
      </c>
      <c r="L219" s="128">
        <v>0</v>
      </c>
      <c r="M219" s="128">
        <v>0</v>
      </c>
      <c r="N219" s="128">
        <v>0</v>
      </c>
      <c r="O219" s="128">
        <v>0</v>
      </c>
      <c r="P219" s="128">
        <v>0</v>
      </c>
      <c r="Q219" s="28">
        <f>I219-Table4[[#This Row],[Park Owned6]]</f>
        <v>0</v>
      </c>
      <c r="R219" s="28">
        <f>J219-Table4[[#This Row],[Other Owned7]]</f>
        <v>0</v>
      </c>
      <c r="S219" s="24">
        <f>VLOOKUP($A219,Registry!$A$4:$AA$241,23,FALSE)</f>
        <v>1</v>
      </c>
      <c r="T219" s="61">
        <f t="shared" si="18"/>
        <v>9.0909090909090912E-2</v>
      </c>
      <c r="U219" s="35">
        <v>1</v>
      </c>
      <c r="V219" s="90">
        <v>9.0909090909090912E-2</v>
      </c>
      <c r="W219" s="86">
        <v>1</v>
      </c>
      <c r="X219" s="90">
        <v>9.0999999999999998E-2</v>
      </c>
      <c r="Y219" s="86">
        <v>2</v>
      </c>
      <c r="Z219" s="90">
        <v>0.182</v>
      </c>
      <c r="AA219" s="35">
        <f>Table4[[#This Row],['# Lots]]-Table4[[#This Row],['# Lots10]]</f>
        <v>0</v>
      </c>
      <c r="AB219" s="61">
        <f t="shared" si="22"/>
        <v>0</v>
      </c>
      <c r="AC219" s="35">
        <f>Table4[[#This Row],['# Lots]]-Table4[[#This Row],['# Lots14]]</f>
        <v>-1</v>
      </c>
      <c r="AD219" s="61">
        <f t="shared" si="23"/>
        <v>-9.0909090909090912E-2</v>
      </c>
      <c r="AE219" s="138">
        <v>10</v>
      </c>
      <c r="AF219" s="35">
        <v>10</v>
      </c>
      <c r="AG219" s="58">
        <v>9</v>
      </c>
      <c r="AH219" s="58">
        <v>9</v>
      </c>
      <c r="AI219" s="128">
        <f>Table4[[#This Row],[2022 Leased Lots20]]-Table4[[#This Row],[2019 Leased Lots23]]</f>
        <v>1</v>
      </c>
      <c r="AJ219" s="61">
        <f t="shared" si="21"/>
        <v>0.90909090909090906</v>
      </c>
      <c r="AK219" s="139">
        <f>VLOOKUP($A219,Registry!$A$4:$AA$241,27,FALSE)</f>
        <v>265</v>
      </c>
      <c r="AL219" s="65">
        <v>265</v>
      </c>
      <c r="AM219" s="65">
        <v>265</v>
      </c>
      <c r="AN219" s="65">
        <v>265</v>
      </c>
      <c r="AO219" s="120">
        <f>IFERROR((AK219-Table4[[#This Row],[2019 Total Rent29]])/Table4[[#This Row],[2019 Total Rent29]], "-")</f>
        <v>0</v>
      </c>
    </row>
    <row r="220" spans="1:41" x14ac:dyDescent="0.25">
      <c r="A220" s="25">
        <v>38</v>
      </c>
      <c r="B220" s="54" t="str">
        <f>VLOOKUP(A220,Registry!$A$4:$AA$241,2,FALSE)</f>
        <v>Tuckerville</v>
      </c>
      <c r="C220" s="80" t="str">
        <f>VLOOKUP(A220,Registry!$A$4:$AA$241,3,FALSE)</f>
        <v>Windsor</v>
      </c>
      <c r="D220" s="80" t="str">
        <f>VLOOKUP(A220,Registry!$A$4:$AA$241,4,FALSE)</f>
        <v>Ludlow</v>
      </c>
      <c r="E220" s="80">
        <f>IF(VLOOKUP(A220,Registry!$A$4:$AA$241,7,FALSE)=0,"",VLOOKUP(A220,Registry!$A$4:$AA$241,7,FALSE))</f>
        <v>1983</v>
      </c>
      <c r="F220" s="80" t="str">
        <f>IF(VLOOKUP(A220,Registry!$A$4:$AA$241,20,FALSE)=0,"",VLOOKUP(A220,Registry!$A$4:$AA$241,20,FALSE))</f>
        <v>Non-profit</v>
      </c>
      <c r="G220" s="25">
        <v>2013</v>
      </c>
      <c r="H220" s="24">
        <f>VLOOKUP(A220,Registry!$A$4:$AA$241,21,FALSE)</f>
        <v>23</v>
      </c>
      <c r="I220" s="24">
        <f>VLOOKUP(A220,Registry!$A$4:$AA$241,24,FALSE)</f>
        <v>0</v>
      </c>
      <c r="J220" s="24">
        <f>VLOOKUP(A220,Registry!$A$4:$AA$241,26,FALSE)</f>
        <v>0</v>
      </c>
      <c r="K220" s="128">
        <v>0</v>
      </c>
      <c r="L220" s="128">
        <v>1</v>
      </c>
      <c r="M220" s="128">
        <v>0</v>
      </c>
      <c r="N220" s="128">
        <v>1</v>
      </c>
      <c r="O220" s="128">
        <v>0</v>
      </c>
      <c r="P220" s="128">
        <v>0</v>
      </c>
      <c r="Q220" s="28">
        <f>I220-Table4[[#This Row],[Park Owned6]]</f>
        <v>0</v>
      </c>
      <c r="R220" s="28">
        <f>J220-Table4[[#This Row],[Other Owned7]]</f>
        <v>0</v>
      </c>
      <c r="S220" s="24">
        <f>VLOOKUP($A220,Registry!$A$4:$AA$241,23,FALSE)</f>
        <v>1</v>
      </c>
      <c r="T220" s="61">
        <f t="shared" si="18"/>
        <v>4.3478260869565216E-2</v>
      </c>
      <c r="U220" s="35">
        <v>1</v>
      </c>
      <c r="V220" s="90">
        <v>4.3478260869565216E-2</v>
      </c>
      <c r="W220" s="86">
        <v>2</v>
      </c>
      <c r="X220" s="90">
        <v>8.6999999999999994E-2</v>
      </c>
      <c r="Y220" s="86">
        <v>2</v>
      </c>
      <c r="Z220" s="90">
        <v>8.6999999999999994E-2</v>
      </c>
      <c r="AA220" s="35">
        <f>Table4[[#This Row],['# Lots]]-Table4[[#This Row],['# Lots10]]</f>
        <v>0</v>
      </c>
      <c r="AB220" s="61">
        <f t="shared" si="22"/>
        <v>0</v>
      </c>
      <c r="AC220" s="35">
        <f>Table4[[#This Row],['# Lots]]-Table4[[#This Row],['# Lots14]]</f>
        <v>-1</v>
      </c>
      <c r="AD220" s="61">
        <f t="shared" si="23"/>
        <v>-4.3478260869565216E-2</v>
      </c>
      <c r="AE220" s="138">
        <v>22</v>
      </c>
      <c r="AF220" s="35">
        <v>21</v>
      </c>
      <c r="AG220" s="58">
        <v>21</v>
      </c>
      <c r="AH220" s="58">
        <v>22</v>
      </c>
      <c r="AI220" s="128">
        <f>Table4[[#This Row],[2022 Leased Lots20]]-Table4[[#This Row],[2019 Leased Lots23]]</f>
        <v>0</v>
      </c>
      <c r="AJ220" s="61">
        <f t="shared" si="21"/>
        <v>0.95652173913043481</v>
      </c>
      <c r="AK220" s="139">
        <f>VLOOKUP($A220,Registry!$A$4:$AA$241,27,FALSE)</f>
        <v>305</v>
      </c>
      <c r="AL220" s="65">
        <v>300</v>
      </c>
      <c r="AM220" s="65">
        <v>295</v>
      </c>
      <c r="AN220" s="65">
        <v>295</v>
      </c>
      <c r="AO220" s="120">
        <f>IFERROR((AK220-Table4[[#This Row],[2019 Total Rent29]])/Table4[[#This Row],[2019 Total Rent29]], "-")</f>
        <v>3.3898305084745763E-2</v>
      </c>
    </row>
    <row r="221" spans="1:41" x14ac:dyDescent="0.25">
      <c r="A221" s="151">
        <v>327</v>
      </c>
      <c r="B221" s="54" t="str">
        <f>VLOOKUP(A221,Registry!$A$4:$AA$241,2,FALSE)</f>
        <v>Moses MHP</v>
      </c>
      <c r="C221" s="80" t="str">
        <f>VLOOKUP(A221,Registry!$A$4:$AA$241,3,FALSE)</f>
        <v>Windsor</v>
      </c>
      <c r="D221" s="80" t="str">
        <f>VLOOKUP(A221,Registry!$A$4:$AA$241,4,FALSE)</f>
        <v>Royalton</v>
      </c>
      <c r="E221" s="80">
        <f>IF(VLOOKUP(A221,Registry!$A$4:$AA$241,7,FALSE)=0,"",VLOOKUP(A221,Registry!$A$4:$AA$241,7,FALSE))</f>
        <v>2000</v>
      </c>
      <c r="F221" s="80" t="str">
        <f>IF(VLOOKUP(A221,Registry!$A$4:$AA$241,20,FALSE)=0,"",VLOOKUP(A221,Registry!$A$4:$AA$241,20,FALSE))</f>
        <v>For profit</v>
      </c>
      <c r="G221" s="25">
        <v>0</v>
      </c>
      <c r="H221" s="24">
        <f>VLOOKUP(A221,Registry!$A$4:$AA$241,21,FALSE)</f>
        <v>7</v>
      </c>
      <c r="I221" s="24">
        <f>VLOOKUP(A221,Registry!$A$4:$AA$241,24,FALSE)</f>
        <v>7</v>
      </c>
      <c r="J221" s="24">
        <f>VLOOKUP(A221,Registry!$A$4:$AA$241,26,FALSE)</f>
        <v>0</v>
      </c>
      <c r="K221" s="140">
        <v>7</v>
      </c>
      <c r="L221" s="140">
        <v>0</v>
      </c>
      <c r="M221" s="140">
        <v>7</v>
      </c>
      <c r="N221" s="140">
        <v>0</v>
      </c>
      <c r="O221" s="140">
        <v>0</v>
      </c>
      <c r="P221" s="140">
        <v>0</v>
      </c>
      <c r="Q221" s="152">
        <v>0</v>
      </c>
      <c r="R221" s="152">
        <v>0</v>
      </c>
      <c r="S221" s="24">
        <f>VLOOKUP($A221,Registry!$A$4:$AA$241,23,FALSE)</f>
        <v>0</v>
      </c>
      <c r="T221" s="61">
        <f t="shared" si="18"/>
        <v>0</v>
      </c>
      <c r="U221" s="141">
        <v>0</v>
      </c>
      <c r="V221" s="153">
        <v>0</v>
      </c>
      <c r="W221" s="155">
        <v>0</v>
      </c>
      <c r="X221" s="156">
        <v>0</v>
      </c>
      <c r="Y221" s="155">
        <v>0</v>
      </c>
      <c r="Z221" s="156">
        <v>0</v>
      </c>
      <c r="AA221" s="35">
        <f>Table4[[#This Row],['# Lots]]-Table4[[#This Row],['# Lots10]]</f>
        <v>0</v>
      </c>
      <c r="AB221" s="33">
        <f t="shared" si="22"/>
        <v>0</v>
      </c>
      <c r="AC221" s="35">
        <f>Table4[[#This Row],['# Lots]]-Table4[[#This Row],['# Lots14]]</f>
        <v>0</v>
      </c>
      <c r="AD221" s="33">
        <f t="shared" si="23"/>
        <v>0</v>
      </c>
      <c r="AE221" s="138">
        <v>7</v>
      </c>
      <c r="AF221" s="155">
        <v>7</v>
      </c>
      <c r="AG221" s="155"/>
      <c r="AH221" s="155"/>
      <c r="AI221" s="140">
        <f>Table4[[#This Row],[2022 Leased Lots20]]-Table4[[#This Row],[2019 Leased Lots23]]</f>
        <v>7</v>
      </c>
      <c r="AJ221" s="61">
        <f t="shared" si="21"/>
        <v>1</v>
      </c>
      <c r="AK221" s="139">
        <f>VLOOKUP($A221,Registry!$A$4:$AA$241,27,FALSE)</f>
        <v>0</v>
      </c>
      <c r="AL221" s="159">
        <v>0</v>
      </c>
      <c r="AM221" s="159"/>
      <c r="AN221" s="159"/>
      <c r="AO221" s="161" t="str">
        <f>IFERROR((AK221-Table4[[#This Row],[2019 Total Rent29]])/Table4[[#This Row],[2019 Total Rent29]], "-")</f>
        <v>-</v>
      </c>
    </row>
    <row r="222" spans="1:41" x14ac:dyDescent="0.25">
      <c r="A222" s="25">
        <v>26</v>
      </c>
      <c r="B222" s="54" t="str">
        <f>VLOOKUP(A222,Registry!$A$4:$AA$241,2,FALSE)</f>
        <v>Overlooked Park</v>
      </c>
      <c r="C222" s="80" t="str">
        <f>VLOOKUP(A222,Registry!$A$4:$AA$241,3,FALSE)</f>
        <v>Windsor</v>
      </c>
      <c r="D222" s="80" t="str">
        <f>VLOOKUP(A222,Registry!$A$4:$AA$241,4,FALSE)</f>
        <v>Royalton</v>
      </c>
      <c r="E222" s="80">
        <f>IF(VLOOKUP(A222,Registry!$A$4:$AA$241,7,FALSE)=0,"",VLOOKUP(A222,Registry!$A$4:$AA$241,7,FALSE))</f>
        <v>1974</v>
      </c>
      <c r="F222" s="80" t="str">
        <f>IF(VLOOKUP(A222,Registry!$A$4:$AA$241,20,FALSE)=0,"",VLOOKUP(A222,Registry!$A$4:$AA$241,20,FALSE))</f>
        <v>For profit</v>
      </c>
      <c r="G222" s="25">
        <v>0</v>
      </c>
      <c r="H222" s="24">
        <f>VLOOKUP(A222,Registry!$A$4:$AA$241,21,FALSE)</f>
        <v>6</v>
      </c>
      <c r="I222" s="24">
        <f>VLOOKUP(A222,Registry!$A$4:$AA$241,24,FALSE)</f>
        <v>0</v>
      </c>
      <c r="J222" s="24">
        <f>VLOOKUP(A222,Registry!$A$4:$AA$241,26,FALSE)</f>
        <v>0</v>
      </c>
      <c r="K222" s="128">
        <v>0</v>
      </c>
      <c r="L222" s="128">
        <v>0</v>
      </c>
      <c r="M222" s="128">
        <v>0</v>
      </c>
      <c r="N222" s="128">
        <v>0</v>
      </c>
      <c r="O222" s="128">
        <v>0</v>
      </c>
      <c r="P222" s="128">
        <v>0</v>
      </c>
      <c r="Q222" s="28">
        <f>I222-Table4[[#This Row],[Park Owned6]]</f>
        <v>0</v>
      </c>
      <c r="R222" s="28">
        <f>J222-Table4[[#This Row],[Other Owned7]]</f>
        <v>0</v>
      </c>
      <c r="S222" s="24">
        <f>VLOOKUP($A222,Registry!$A$4:$AA$241,23,FALSE)</f>
        <v>0</v>
      </c>
      <c r="T222" s="61">
        <f t="shared" si="18"/>
        <v>0</v>
      </c>
      <c r="U222" s="35">
        <v>0</v>
      </c>
      <c r="V222" s="90">
        <v>0</v>
      </c>
      <c r="W222" s="86">
        <v>0</v>
      </c>
      <c r="X222" s="90">
        <v>0</v>
      </c>
      <c r="Y222" s="86">
        <v>0</v>
      </c>
      <c r="Z222" s="90">
        <v>0</v>
      </c>
      <c r="AA222" s="35">
        <f>Table4[[#This Row],['# Lots]]-Table4[[#This Row],['# Lots10]]</f>
        <v>0</v>
      </c>
      <c r="AB222" s="61">
        <f t="shared" si="22"/>
        <v>0</v>
      </c>
      <c r="AC222" s="35">
        <f>Table4[[#This Row],['# Lots]]-Table4[[#This Row],['# Lots14]]</f>
        <v>0</v>
      </c>
      <c r="AD222" s="61">
        <f t="shared" si="23"/>
        <v>0</v>
      </c>
      <c r="AE222" s="138">
        <v>6</v>
      </c>
      <c r="AF222" s="35">
        <v>6</v>
      </c>
      <c r="AG222" s="58">
        <v>6</v>
      </c>
      <c r="AH222" s="58">
        <v>6</v>
      </c>
      <c r="AI222" s="128">
        <f>Table4[[#This Row],[2022 Leased Lots20]]-Table4[[#This Row],[2019 Leased Lots23]]</f>
        <v>0</v>
      </c>
      <c r="AJ222" s="61">
        <f t="shared" si="21"/>
        <v>1</v>
      </c>
      <c r="AK222" s="139">
        <f>VLOOKUP($A222,Registry!$A$4:$AA$241,27,FALSE)</f>
        <v>360</v>
      </c>
      <c r="AL222" s="65">
        <v>360</v>
      </c>
      <c r="AM222" s="65">
        <v>350</v>
      </c>
      <c r="AN222" s="65">
        <v>340</v>
      </c>
      <c r="AO222" s="120">
        <f>IFERROR((AK222-Table4[[#This Row],[2019 Total Rent29]])/Table4[[#This Row],[2019 Total Rent29]], "-")</f>
        <v>5.8823529411764705E-2</v>
      </c>
    </row>
    <row r="223" spans="1:41" x14ac:dyDescent="0.25">
      <c r="A223" s="151">
        <v>326</v>
      </c>
      <c r="B223" s="54" t="str">
        <f>VLOOKUP(A223,Registry!$A$4:$AA$241,2,FALSE)</f>
        <v>Pinney Lane MHP</v>
      </c>
      <c r="C223" s="80" t="str">
        <f>VLOOKUP(A223,Registry!$A$4:$AA$241,3,FALSE)</f>
        <v>Windsor</v>
      </c>
      <c r="D223" s="80" t="str">
        <f>VLOOKUP(A223,Registry!$A$4:$AA$241,4,FALSE)</f>
        <v>Royalton</v>
      </c>
      <c r="E223" s="80">
        <f>IF(VLOOKUP(A223,Registry!$A$4:$AA$241,7,FALSE)=0,"",VLOOKUP(A223,Registry!$A$4:$AA$241,7,FALSE))</f>
        <v>1996</v>
      </c>
      <c r="F223" s="80" t="str">
        <f>IF(VLOOKUP(A223,Registry!$A$4:$AA$241,20,FALSE)=0,"",VLOOKUP(A223,Registry!$A$4:$AA$241,20,FALSE))</f>
        <v>For profit</v>
      </c>
      <c r="G223" s="25">
        <v>1994</v>
      </c>
      <c r="H223" s="24">
        <f>VLOOKUP(A223,Registry!$A$4:$AA$241,21,FALSE)</f>
        <v>8</v>
      </c>
      <c r="I223" s="24">
        <f>VLOOKUP(A223,Registry!$A$4:$AA$241,24,FALSE)</f>
        <v>8</v>
      </c>
      <c r="J223" s="24">
        <f>VLOOKUP(A223,Registry!$A$4:$AA$241,26,FALSE)</f>
        <v>0</v>
      </c>
      <c r="K223" s="140">
        <v>8</v>
      </c>
      <c r="L223" s="140">
        <v>0</v>
      </c>
      <c r="M223" s="140">
        <v>8</v>
      </c>
      <c r="N223" s="140">
        <v>0</v>
      </c>
      <c r="O223" s="140">
        <v>0</v>
      </c>
      <c r="P223" s="140">
        <v>0</v>
      </c>
      <c r="Q223" s="152">
        <v>0</v>
      </c>
      <c r="R223" s="152">
        <v>0</v>
      </c>
      <c r="S223" s="24">
        <f>VLOOKUP($A223,Registry!$A$4:$AA$241,23,FALSE)</f>
        <v>0</v>
      </c>
      <c r="T223" s="61">
        <f t="shared" si="18"/>
        <v>0</v>
      </c>
      <c r="U223" s="141">
        <v>0</v>
      </c>
      <c r="V223" s="153">
        <v>0</v>
      </c>
      <c r="W223" s="155">
        <v>0</v>
      </c>
      <c r="X223" s="156">
        <v>0</v>
      </c>
      <c r="Y223" s="155">
        <v>0</v>
      </c>
      <c r="Z223" s="156">
        <v>0</v>
      </c>
      <c r="AA223" s="35">
        <f>Table4[[#This Row],['# Lots]]-Table4[[#This Row],['# Lots10]]</f>
        <v>0</v>
      </c>
      <c r="AB223" s="33">
        <f t="shared" si="22"/>
        <v>0</v>
      </c>
      <c r="AC223" s="35">
        <f>Table4[[#This Row],['# Lots]]-Table4[[#This Row],['# Lots14]]</f>
        <v>0</v>
      </c>
      <c r="AD223" s="33">
        <f t="shared" si="23"/>
        <v>0</v>
      </c>
      <c r="AE223" s="138">
        <v>8</v>
      </c>
      <c r="AF223" s="155">
        <v>8</v>
      </c>
      <c r="AG223" s="155"/>
      <c r="AH223" s="155"/>
      <c r="AI223" s="140">
        <f>Table4[[#This Row],[2022 Leased Lots20]]-Table4[[#This Row],[2019 Leased Lots23]]</f>
        <v>8</v>
      </c>
      <c r="AJ223" s="61">
        <f t="shared" si="21"/>
        <v>1</v>
      </c>
      <c r="AK223" s="139">
        <f>VLOOKUP($A223,Registry!$A$4:$AA$241,27,FALSE)</f>
        <v>0</v>
      </c>
      <c r="AL223" s="159">
        <v>0</v>
      </c>
      <c r="AM223" s="159"/>
      <c r="AN223" s="159"/>
      <c r="AO223" s="161" t="str">
        <f>IFERROR((AK223-Table4[[#This Row],[2019 Total Rent29]])/Table4[[#This Row],[2019 Total Rent29]], "-")</f>
        <v>-</v>
      </c>
    </row>
    <row r="224" spans="1:41" x14ac:dyDescent="0.25">
      <c r="A224" s="25">
        <v>8</v>
      </c>
      <c r="B224" s="54" t="str">
        <f>VLOOKUP(A224,Registry!$A$4:$AA$241,2,FALSE)</f>
        <v>Riverbend Park</v>
      </c>
      <c r="C224" s="80" t="str">
        <f>VLOOKUP(A224,Registry!$A$4:$AA$241,3,FALSE)</f>
        <v>Windsor</v>
      </c>
      <c r="D224" s="80" t="str">
        <f>VLOOKUP(A224,Registry!$A$4:$AA$241,4,FALSE)</f>
        <v>Royalton</v>
      </c>
      <c r="E224" s="80">
        <f>IF(VLOOKUP(A224,Registry!$A$4:$AA$241,7,FALSE)=0,"",VLOOKUP(A224,Registry!$A$4:$AA$241,7,FALSE))</f>
        <v>1975</v>
      </c>
      <c r="F224" s="80" t="str">
        <f>IF(VLOOKUP(A224,Registry!$A$4:$AA$241,20,FALSE)=0,"",VLOOKUP(A224,Registry!$A$4:$AA$241,20,FALSE))</f>
        <v>Non-profit</v>
      </c>
      <c r="G224" s="25">
        <v>1994</v>
      </c>
      <c r="H224" s="24">
        <f>VLOOKUP(A224,Registry!$A$4:$AA$241,21,FALSE)</f>
        <v>9</v>
      </c>
      <c r="I224" s="24">
        <f>VLOOKUP(A224,Registry!$A$4:$AA$241,24,FALSE)</f>
        <v>0</v>
      </c>
      <c r="J224" s="24">
        <f>VLOOKUP(A224,Registry!$A$4:$AA$241,26,FALSE)</f>
        <v>0</v>
      </c>
      <c r="K224" s="128">
        <v>0</v>
      </c>
      <c r="L224" s="128">
        <v>0</v>
      </c>
      <c r="M224" s="128">
        <v>0</v>
      </c>
      <c r="N224" s="128">
        <v>0</v>
      </c>
      <c r="O224" s="128">
        <v>0</v>
      </c>
      <c r="P224" s="128">
        <v>0</v>
      </c>
      <c r="Q224" s="28">
        <f>I224-Table4[[#This Row],[Park Owned6]]</f>
        <v>0</v>
      </c>
      <c r="R224" s="28">
        <f>J224-Table4[[#This Row],[Other Owned7]]</f>
        <v>0</v>
      </c>
      <c r="S224" s="24">
        <f>VLOOKUP($A224,Registry!$A$4:$AA$241,23,FALSE)</f>
        <v>0</v>
      </c>
      <c r="T224" s="61">
        <f t="shared" si="18"/>
        <v>0</v>
      </c>
      <c r="U224" s="35">
        <v>0</v>
      </c>
      <c r="V224" s="90">
        <v>0</v>
      </c>
      <c r="W224" s="86">
        <v>0</v>
      </c>
      <c r="X224" s="90">
        <v>0</v>
      </c>
      <c r="Y224" s="86">
        <v>0</v>
      </c>
      <c r="Z224" s="90">
        <v>0</v>
      </c>
      <c r="AA224" s="35">
        <f>Table4[[#This Row],['# Lots]]-Table4[[#This Row],['# Lots10]]</f>
        <v>0</v>
      </c>
      <c r="AB224" s="61">
        <f t="shared" si="22"/>
        <v>0</v>
      </c>
      <c r="AC224" s="35">
        <f>Table4[[#This Row],['# Lots]]-Table4[[#This Row],['# Lots14]]</f>
        <v>0</v>
      </c>
      <c r="AD224" s="61">
        <f t="shared" si="23"/>
        <v>0</v>
      </c>
      <c r="AE224" s="138">
        <v>9</v>
      </c>
      <c r="AF224" s="35">
        <v>9</v>
      </c>
      <c r="AG224" s="58">
        <v>9</v>
      </c>
      <c r="AH224" s="58">
        <v>9</v>
      </c>
      <c r="AI224" s="128">
        <f>Table4[[#This Row],[2022 Leased Lots20]]-Table4[[#This Row],[2019 Leased Lots23]]</f>
        <v>0</v>
      </c>
      <c r="AJ224" s="61">
        <f t="shared" si="21"/>
        <v>1</v>
      </c>
      <c r="AK224" s="139">
        <f>VLOOKUP($A224,Registry!$A$4:$AA$241,27,FALSE)</f>
        <v>250</v>
      </c>
      <c r="AL224" s="65">
        <v>250</v>
      </c>
      <c r="AM224" s="65">
        <v>250</v>
      </c>
      <c r="AN224" s="65">
        <v>250</v>
      </c>
      <c r="AO224" s="120">
        <f>IFERROR((AK224-Table4[[#This Row],[2019 Total Rent29]])/Table4[[#This Row],[2019 Total Rent29]], "-")</f>
        <v>0</v>
      </c>
    </row>
    <row r="225" spans="1:45" x14ac:dyDescent="0.25">
      <c r="A225" s="25">
        <v>29</v>
      </c>
      <c r="B225" s="54" t="str">
        <f>VLOOKUP(A225,Registry!$A$4:$AA$241,2,FALSE)</f>
        <v>Royalton Terrace</v>
      </c>
      <c r="C225" s="80" t="str">
        <f>VLOOKUP(A225,Registry!$A$4:$AA$241,3,FALSE)</f>
        <v>Windsor</v>
      </c>
      <c r="D225" s="80" t="str">
        <f>VLOOKUP(A225,Registry!$A$4:$AA$241,4,FALSE)</f>
        <v>Royalton</v>
      </c>
      <c r="E225" s="80">
        <f>IF(VLOOKUP(A225,Registry!$A$4:$AA$241,7,FALSE)=0,"",VLOOKUP(A225,Registry!$A$4:$AA$241,7,FALSE))</f>
        <v>1967</v>
      </c>
      <c r="F225" s="80" t="str">
        <f>IF(VLOOKUP(A225,Registry!$A$4:$AA$241,20,FALSE)=0,"",VLOOKUP(A225,Registry!$A$4:$AA$241,20,FALSE))</f>
        <v>For profit</v>
      </c>
      <c r="G225" s="25">
        <v>2022</v>
      </c>
      <c r="H225" s="24">
        <f>VLOOKUP(A225,Registry!$A$4:$AA$241,21,FALSE)</f>
        <v>28</v>
      </c>
      <c r="I225" s="24">
        <f>VLOOKUP(A225,Registry!$A$4:$AA$241,24,FALSE)</f>
        <v>17</v>
      </c>
      <c r="J225" s="24">
        <f>VLOOKUP(A225,Registry!$A$4:$AA$241,26,FALSE)</f>
        <v>0</v>
      </c>
      <c r="K225" s="128">
        <v>17</v>
      </c>
      <c r="L225" s="128">
        <v>0</v>
      </c>
      <c r="M225" s="128">
        <v>17</v>
      </c>
      <c r="N225" s="128">
        <v>0</v>
      </c>
      <c r="O225" s="128">
        <v>17</v>
      </c>
      <c r="P225" s="128">
        <v>0</v>
      </c>
      <c r="Q225" s="28">
        <f>I225-Table4[[#This Row],[Park Owned6]]</f>
        <v>0</v>
      </c>
      <c r="R225" s="28">
        <f>J225-Table4[[#This Row],[Other Owned7]]</f>
        <v>0</v>
      </c>
      <c r="S225" s="24">
        <f>VLOOKUP($A225,Registry!$A$4:$AA$241,23,FALSE)</f>
        <v>1</v>
      </c>
      <c r="T225" s="61">
        <f t="shared" si="18"/>
        <v>3.5714285714285712E-2</v>
      </c>
      <c r="U225" s="35">
        <v>1</v>
      </c>
      <c r="V225" s="90">
        <v>3.5714285714285712E-2</v>
      </c>
      <c r="W225" s="86">
        <v>1</v>
      </c>
      <c r="X225" s="90">
        <v>3.6000000000000004E-2</v>
      </c>
      <c r="Y225" s="86">
        <v>0</v>
      </c>
      <c r="Z225" s="90">
        <v>0</v>
      </c>
      <c r="AA225" s="35">
        <f>Table4[[#This Row],['# Lots]]-Table4[[#This Row],['# Lots10]]</f>
        <v>0</v>
      </c>
      <c r="AB225" s="61">
        <f t="shared" si="22"/>
        <v>0</v>
      </c>
      <c r="AC225" s="35">
        <f>Table4[[#This Row],['# Lots]]-Table4[[#This Row],['# Lots14]]</f>
        <v>1</v>
      </c>
      <c r="AD225" s="61">
        <f t="shared" si="23"/>
        <v>3.5714285714285712E-2</v>
      </c>
      <c r="AE225" s="138">
        <v>27</v>
      </c>
      <c r="AF225" s="35">
        <v>27</v>
      </c>
      <c r="AG225" s="58">
        <v>27</v>
      </c>
      <c r="AH225" s="58">
        <v>25</v>
      </c>
      <c r="AI225" s="128">
        <f>Table4[[#This Row],[2022 Leased Lots20]]-Table4[[#This Row],[2019 Leased Lots23]]</f>
        <v>2</v>
      </c>
      <c r="AJ225" s="61">
        <f t="shared" si="21"/>
        <v>0.9642857142857143</v>
      </c>
      <c r="AK225" s="139">
        <f>VLOOKUP($A225,Registry!$A$4:$AA$241,27,FALSE)</f>
        <v>345</v>
      </c>
      <c r="AL225" s="65">
        <v>335</v>
      </c>
      <c r="AM225" s="65">
        <v>325</v>
      </c>
      <c r="AN225" s="65">
        <v>315</v>
      </c>
      <c r="AO225" s="120">
        <f>IFERROR((AK225-Table4[[#This Row],[2019 Total Rent29]])/Table4[[#This Row],[2019 Total Rent29]], "-")</f>
        <v>9.5238095238095233E-2</v>
      </c>
    </row>
    <row r="226" spans="1:45" x14ac:dyDescent="0.25">
      <c r="A226" s="151">
        <v>325</v>
      </c>
      <c r="B226" s="54" t="str">
        <f>VLOOKUP(A226,Registry!$A$4:$AA$241,2,FALSE)</f>
        <v>Thetford Lane MHP</v>
      </c>
      <c r="C226" s="80" t="str">
        <f>VLOOKUP(A226,Registry!$A$4:$AA$241,3,FALSE)</f>
        <v>Windsor</v>
      </c>
      <c r="D226" s="80" t="str">
        <f>VLOOKUP(A226,Registry!$A$4:$AA$241,4,FALSE)</f>
        <v>Royalton</v>
      </c>
      <c r="E226" s="80">
        <f>IF(VLOOKUP(A226,Registry!$A$4:$AA$241,7,FALSE)=0,"",VLOOKUP(A226,Registry!$A$4:$AA$241,7,FALSE))</f>
        <v>1996</v>
      </c>
      <c r="F226" s="80" t="str">
        <f>IF(VLOOKUP(A226,Registry!$A$4:$AA$241,20,FALSE)=0,"",VLOOKUP(A226,Registry!$A$4:$AA$241,20,FALSE))</f>
        <v>For profit</v>
      </c>
      <c r="G226" s="25">
        <v>1994</v>
      </c>
      <c r="H226" s="24">
        <f>VLOOKUP(A226,Registry!$A$4:$AA$241,21,FALSE)</f>
        <v>3</v>
      </c>
      <c r="I226" s="24">
        <f>VLOOKUP(A226,Registry!$A$4:$AA$241,24,FALSE)</f>
        <v>3</v>
      </c>
      <c r="J226" s="24">
        <f>VLOOKUP(A226,Registry!$A$4:$AA$241,26,FALSE)</f>
        <v>0</v>
      </c>
      <c r="K226" s="140">
        <v>3</v>
      </c>
      <c r="L226" s="140">
        <v>0</v>
      </c>
      <c r="M226" s="140">
        <v>3</v>
      </c>
      <c r="N226" s="140">
        <v>0</v>
      </c>
      <c r="O226" s="140">
        <v>0</v>
      </c>
      <c r="P226" s="140">
        <v>0</v>
      </c>
      <c r="Q226" s="152">
        <v>0</v>
      </c>
      <c r="R226" s="152">
        <v>0</v>
      </c>
      <c r="S226" s="24">
        <f>VLOOKUP($A226,Registry!$A$4:$AA$241,23,FALSE)</f>
        <v>0</v>
      </c>
      <c r="T226" s="61">
        <f t="shared" si="18"/>
        <v>0</v>
      </c>
      <c r="U226" s="141">
        <v>0</v>
      </c>
      <c r="V226" s="153">
        <v>0</v>
      </c>
      <c r="W226" s="155">
        <v>0</v>
      </c>
      <c r="X226" s="156">
        <v>0</v>
      </c>
      <c r="Y226" s="155">
        <v>0</v>
      </c>
      <c r="Z226" s="156">
        <v>0</v>
      </c>
      <c r="AA226" s="35">
        <f>Table4[[#This Row],['# Lots]]-Table4[[#This Row],['# Lots10]]</f>
        <v>0</v>
      </c>
      <c r="AB226" s="33">
        <f t="shared" si="22"/>
        <v>0</v>
      </c>
      <c r="AC226" s="35">
        <f>Table4[[#This Row],['# Lots]]-Table4[[#This Row],['# Lots14]]</f>
        <v>0</v>
      </c>
      <c r="AD226" s="33">
        <f t="shared" si="23"/>
        <v>0</v>
      </c>
      <c r="AE226" s="138">
        <v>3</v>
      </c>
      <c r="AF226" s="155">
        <v>3</v>
      </c>
      <c r="AG226" s="155"/>
      <c r="AH226" s="155"/>
      <c r="AI226" s="140">
        <f>Table4[[#This Row],[2022 Leased Lots20]]-Table4[[#This Row],[2019 Leased Lots23]]</f>
        <v>3</v>
      </c>
      <c r="AJ226" s="61">
        <f t="shared" si="21"/>
        <v>1</v>
      </c>
      <c r="AK226" s="139">
        <f>VLOOKUP($A226,Registry!$A$4:$AA$241,27,FALSE)</f>
        <v>0</v>
      </c>
      <c r="AL226" s="159">
        <v>0</v>
      </c>
      <c r="AM226" s="159"/>
      <c r="AN226" s="159"/>
      <c r="AO226" s="161" t="str">
        <f>IFERROR((AK226-Table4[[#This Row],[2019 Total Rent29]])/Table4[[#This Row],[2019 Total Rent29]], "-")</f>
        <v>-</v>
      </c>
    </row>
    <row r="227" spans="1:45" x14ac:dyDescent="0.25">
      <c r="A227" s="25">
        <v>25</v>
      </c>
      <c r="B227" s="54" t="str">
        <f>VLOOKUP(A227,Registry!$A$4:$AA$241,2,FALSE)</f>
        <v>T and L Mobile Home Park</v>
      </c>
      <c r="C227" s="80" t="str">
        <f>VLOOKUP(A227,Registry!$A$4:$AA$241,3,FALSE)</f>
        <v>Windsor</v>
      </c>
      <c r="D227" s="80" t="str">
        <f>VLOOKUP(A227,Registry!$A$4:$AA$241,4,FALSE)</f>
        <v>Sharon</v>
      </c>
      <c r="E227" s="80">
        <f>IF(VLOOKUP(A227,Registry!$A$4:$AA$241,7,FALSE)=0,"",VLOOKUP(A227,Registry!$A$4:$AA$241,7,FALSE))</f>
        <v>1970</v>
      </c>
      <c r="F227" s="80" t="str">
        <f>IF(VLOOKUP(A227,Registry!$A$4:$AA$241,20,FALSE)=0,"",VLOOKUP(A227,Registry!$A$4:$AA$241,20,FALSE))</f>
        <v>For profit</v>
      </c>
      <c r="G227" s="25">
        <v>2020</v>
      </c>
      <c r="H227" s="24">
        <f>VLOOKUP(A227,Registry!$A$4:$AA$241,21,FALSE)</f>
        <v>10</v>
      </c>
      <c r="I227" s="24">
        <f>VLOOKUP(A227,Registry!$A$4:$AA$241,24,FALSE)</f>
        <v>4</v>
      </c>
      <c r="J227" s="24">
        <f>VLOOKUP(A227,Registry!$A$4:$AA$241,26,FALSE)</f>
        <v>0</v>
      </c>
      <c r="K227" s="128">
        <v>4</v>
      </c>
      <c r="L227" s="128">
        <v>0</v>
      </c>
      <c r="M227" s="128">
        <v>4</v>
      </c>
      <c r="N227" s="128">
        <v>0</v>
      </c>
      <c r="O227" s="128">
        <v>3</v>
      </c>
      <c r="P227" s="128">
        <v>0</v>
      </c>
      <c r="Q227" s="28">
        <f>I227-Table4[[#This Row],[Park Owned6]]</f>
        <v>1</v>
      </c>
      <c r="R227" s="28">
        <f>J227-Table4[[#This Row],[Other Owned7]]</f>
        <v>0</v>
      </c>
      <c r="S227" s="24">
        <f>VLOOKUP($A227,Registry!$A$4:$AA$241,23,FALSE)</f>
        <v>0</v>
      </c>
      <c r="T227" s="61">
        <f t="shared" si="18"/>
        <v>0</v>
      </c>
      <c r="U227" s="35">
        <v>0</v>
      </c>
      <c r="V227" s="90">
        <v>0</v>
      </c>
      <c r="W227" s="86">
        <v>0</v>
      </c>
      <c r="X227" s="90">
        <v>0</v>
      </c>
      <c r="Y227" s="86">
        <v>0</v>
      </c>
      <c r="Z227" s="90">
        <v>0</v>
      </c>
      <c r="AA227" s="35">
        <f>Table4[[#This Row],['# Lots]]-Table4[[#This Row],['# Lots10]]</f>
        <v>0</v>
      </c>
      <c r="AB227" s="61">
        <f t="shared" si="22"/>
        <v>0</v>
      </c>
      <c r="AC227" s="35">
        <f>Table4[[#This Row],['# Lots]]-Table4[[#This Row],['# Lots14]]</f>
        <v>0</v>
      </c>
      <c r="AD227" s="61">
        <f t="shared" si="23"/>
        <v>0</v>
      </c>
      <c r="AE227" s="138">
        <v>9</v>
      </c>
      <c r="AF227" s="35">
        <v>9</v>
      </c>
      <c r="AG227" s="58">
        <v>9</v>
      </c>
      <c r="AH227" s="58">
        <v>9</v>
      </c>
      <c r="AI227" s="128">
        <f>Table4[[#This Row],[2022 Leased Lots20]]-Table4[[#This Row],[2019 Leased Lots23]]</f>
        <v>0</v>
      </c>
      <c r="AJ227" s="61">
        <f t="shared" si="21"/>
        <v>0.9</v>
      </c>
      <c r="AK227" s="139">
        <f>VLOOKUP($A227,Registry!$A$4:$AA$241,27,FALSE)</f>
        <v>372</v>
      </c>
      <c r="AL227" s="65">
        <v>334</v>
      </c>
      <c r="AM227" s="65">
        <v>334</v>
      </c>
      <c r="AN227" s="65">
        <v>334</v>
      </c>
      <c r="AO227" s="120">
        <f>IFERROR((AK227-Table4[[#This Row],[2019 Total Rent29]])/Table4[[#This Row],[2019 Total Rent29]], "-")</f>
        <v>0.11377245508982035</v>
      </c>
    </row>
    <row r="228" spans="1:45" x14ac:dyDescent="0.25">
      <c r="A228" s="25">
        <v>45</v>
      </c>
      <c r="B228" s="54" t="str">
        <f>VLOOKUP(A228,Registry!$A$4:$AA$241,2,FALSE)</f>
        <v>Colonial Manor</v>
      </c>
      <c r="C228" s="80" t="str">
        <f>VLOOKUP(A228,Registry!$A$4:$AA$241,3,FALSE)</f>
        <v>Windsor</v>
      </c>
      <c r="D228" s="80" t="str">
        <f>VLOOKUP(A228,Registry!$A$4:$AA$241,4,FALSE)</f>
        <v>Springfield</v>
      </c>
      <c r="E228" s="80">
        <f>IF(VLOOKUP(A228,Registry!$A$4:$AA$241,7,FALSE)=0,"",VLOOKUP(A228,Registry!$A$4:$AA$241,7,FALSE))</f>
        <v>1961</v>
      </c>
      <c r="F228" s="80" t="str">
        <f>IF(VLOOKUP(A228,Registry!$A$4:$AA$241,20,FALSE)=0,"",VLOOKUP(A228,Registry!$A$4:$AA$241,20,FALSE))</f>
        <v>For profit</v>
      </c>
      <c r="G228" s="25">
        <v>1971</v>
      </c>
      <c r="H228" s="24">
        <f>VLOOKUP(A228,Registry!$A$4:$AA$241,21,FALSE)</f>
        <v>4</v>
      </c>
      <c r="I228" s="24">
        <f>VLOOKUP(A228,Registry!$A$4:$AA$241,24,FALSE)</f>
        <v>1</v>
      </c>
      <c r="J228" s="24">
        <f>VLOOKUP(A228,Registry!$A$4:$AA$241,26,FALSE)</f>
        <v>0</v>
      </c>
      <c r="K228" s="128">
        <v>1</v>
      </c>
      <c r="L228" s="128">
        <v>0</v>
      </c>
      <c r="M228" s="128">
        <v>1</v>
      </c>
      <c r="N228" s="128">
        <v>0</v>
      </c>
      <c r="O228" s="128">
        <v>1</v>
      </c>
      <c r="P228" s="128">
        <v>0</v>
      </c>
      <c r="Q228" s="28">
        <f>I228-Table4[[#This Row],[Park Owned6]]</f>
        <v>0</v>
      </c>
      <c r="R228" s="28">
        <f>J228-Table4[[#This Row],[Other Owned7]]</f>
        <v>0</v>
      </c>
      <c r="S228" s="24">
        <f>VLOOKUP($A228,Registry!$A$4:$AA$241,23,FALSE)</f>
        <v>0</v>
      </c>
      <c r="T228" s="61">
        <f t="shared" si="18"/>
        <v>0</v>
      </c>
      <c r="U228" s="35">
        <v>0</v>
      </c>
      <c r="V228" s="90">
        <v>0</v>
      </c>
      <c r="W228" s="86">
        <v>0</v>
      </c>
      <c r="X228" s="90">
        <v>0</v>
      </c>
      <c r="Y228" s="86">
        <v>0</v>
      </c>
      <c r="Z228" s="90">
        <v>0</v>
      </c>
      <c r="AA228" s="35">
        <f>Table4[[#This Row],['# Lots]]-Table4[[#This Row],['# Lots10]]</f>
        <v>0</v>
      </c>
      <c r="AB228" s="61">
        <f t="shared" si="22"/>
        <v>0</v>
      </c>
      <c r="AC228" s="35">
        <f>Table4[[#This Row],['# Lots]]-Table4[[#This Row],['# Lots14]]</f>
        <v>0</v>
      </c>
      <c r="AD228" s="61">
        <f t="shared" si="23"/>
        <v>0</v>
      </c>
      <c r="AE228" s="138">
        <v>4</v>
      </c>
      <c r="AF228" s="35">
        <v>4</v>
      </c>
      <c r="AG228" s="58">
        <v>4</v>
      </c>
      <c r="AH228" s="58">
        <v>4</v>
      </c>
      <c r="AI228" s="128">
        <f>Table4[[#This Row],[2022 Leased Lots20]]-Table4[[#This Row],[2019 Leased Lots23]]</f>
        <v>0</v>
      </c>
      <c r="AJ228" s="61">
        <f t="shared" si="21"/>
        <v>1</v>
      </c>
      <c r="AK228" s="139">
        <f>VLOOKUP($A228,Registry!$A$4:$AA$241,27,FALSE)</f>
        <v>408</v>
      </c>
      <c r="AL228" s="65">
        <v>393</v>
      </c>
      <c r="AM228" s="65">
        <v>383</v>
      </c>
      <c r="AN228" s="65">
        <v>369</v>
      </c>
      <c r="AO228" s="120">
        <f>IFERROR((AK228-Table4[[#This Row],[2019 Total Rent29]])/Table4[[#This Row],[2019 Total Rent29]], "-")</f>
        <v>0.10569105691056911</v>
      </c>
    </row>
    <row r="229" spans="1:45" x14ac:dyDescent="0.25">
      <c r="A229" s="25">
        <v>50</v>
      </c>
      <c r="B229" s="54" t="str">
        <f>VLOOKUP(A229,Registry!$A$4:$AA$241,2,FALSE)</f>
        <v>Halls Mobile Home Park</v>
      </c>
      <c r="C229" s="80" t="str">
        <f>VLOOKUP(A229,Registry!$A$4:$AA$241,3,FALSE)</f>
        <v>Windsor</v>
      </c>
      <c r="D229" s="80" t="str">
        <f>VLOOKUP(A229,Registry!$A$4:$AA$241,4,FALSE)</f>
        <v>Springfield</v>
      </c>
      <c r="E229" s="80">
        <f>IF(VLOOKUP(A229,Registry!$A$4:$AA$241,7,FALSE)=0,"",VLOOKUP(A229,Registry!$A$4:$AA$241,7,FALSE))</f>
        <v>1958</v>
      </c>
      <c r="F229" s="80" t="str">
        <f>IF(VLOOKUP(A229,Registry!$A$4:$AA$241,20,FALSE)=0,"",VLOOKUP(A229,Registry!$A$4:$AA$241,20,FALSE))</f>
        <v>For profit</v>
      </c>
      <c r="G229" s="25">
        <v>1995</v>
      </c>
      <c r="H229" s="24">
        <f>VLOOKUP(A229,Registry!$A$4:$AA$241,21,FALSE)</f>
        <v>13</v>
      </c>
      <c r="I229" s="24">
        <f>VLOOKUP(A229,Registry!$A$4:$AA$241,24,FALSE)</f>
        <v>0</v>
      </c>
      <c r="J229" s="24">
        <f>VLOOKUP(A229,Registry!$A$4:$AA$241,26,FALSE)</f>
        <v>0</v>
      </c>
      <c r="K229" s="128">
        <v>0</v>
      </c>
      <c r="L229" s="128">
        <v>0</v>
      </c>
      <c r="M229" s="128">
        <v>0</v>
      </c>
      <c r="N229" s="128">
        <v>0</v>
      </c>
      <c r="O229" s="128">
        <v>0</v>
      </c>
      <c r="P229" s="128">
        <v>0</v>
      </c>
      <c r="Q229" s="28">
        <f>I229-Table4[[#This Row],[Park Owned6]]</f>
        <v>0</v>
      </c>
      <c r="R229" s="28">
        <f>J229-Table4[[#This Row],[Other Owned7]]</f>
        <v>0</v>
      </c>
      <c r="S229" s="24">
        <f>VLOOKUP($A229,Registry!$A$4:$AA$241,23,FALSE)</f>
        <v>0</v>
      </c>
      <c r="T229" s="61">
        <f t="shared" si="18"/>
        <v>0</v>
      </c>
      <c r="U229" s="35">
        <v>0</v>
      </c>
      <c r="V229" s="90">
        <v>0</v>
      </c>
      <c r="W229" s="86">
        <v>0</v>
      </c>
      <c r="X229" s="90">
        <v>0</v>
      </c>
      <c r="Y229" s="86">
        <v>1</v>
      </c>
      <c r="Z229" s="90">
        <v>7.6999999999999999E-2</v>
      </c>
      <c r="AA229" s="35">
        <f>Table4[[#This Row],['# Lots]]-Table4[[#This Row],['# Lots10]]</f>
        <v>0</v>
      </c>
      <c r="AB229" s="61">
        <f t="shared" si="22"/>
        <v>0</v>
      </c>
      <c r="AC229" s="35">
        <f>Table4[[#This Row],['# Lots]]-Table4[[#This Row],['# Lots14]]</f>
        <v>-1</v>
      </c>
      <c r="AD229" s="61">
        <f t="shared" si="23"/>
        <v>-7.6923076923076927E-2</v>
      </c>
      <c r="AE229" s="138">
        <v>13</v>
      </c>
      <c r="AF229" s="35">
        <v>13</v>
      </c>
      <c r="AG229" s="58">
        <v>12</v>
      </c>
      <c r="AH229" s="58">
        <v>12</v>
      </c>
      <c r="AI229" s="128">
        <f>Table4[[#This Row],[2022 Leased Lots20]]-Table4[[#This Row],[2019 Leased Lots23]]</f>
        <v>1</v>
      </c>
      <c r="AJ229" s="61">
        <f t="shared" si="21"/>
        <v>1</v>
      </c>
      <c r="AK229" s="139">
        <f>VLOOKUP($A229,Registry!$A$4:$AA$241,27,FALSE)</f>
        <v>270</v>
      </c>
      <c r="AL229" s="65">
        <v>259</v>
      </c>
      <c r="AM229" s="65">
        <v>259</v>
      </c>
      <c r="AN229" s="65">
        <v>250</v>
      </c>
      <c r="AO229" s="120">
        <f>IFERROR((AK229-Table4[[#This Row],[2019 Total Rent29]])/Table4[[#This Row],[2019 Total Rent29]], "-")</f>
        <v>0.08</v>
      </c>
    </row>
    <row r="230" spans="1:45" x14ac:dyDescent="0.25">
      <c r="A230" s="26">
        <v>285</v>
      </c>
      <c r="B230" s="54" t="str">
        <f>VLOOKUP(A230,Registry!$A$4:$AA$241,2,FALSE)</f>
        <v>Martin Court MHP</v>
      </c>
      <c r="C230" s="80" t="str">
        <f>VLOOKUP(A230,Registry!$A$4:$AA$241,3,FALSE)</f>
        <v>Windsor</v>
      </c>
      <c r="D230" s="80" t="str">
        <f>VLOOKUP(A230,Registry!$A$4:$AA$241,4,FALSE)</f>
        <v>Springfield</v>
      </c>
      <c r="E230" s="80">
        <f>IF(VLOOKUP(A230,Registry!$A$4:$AA$241,7,FALSE)=0,"",VLOOKUP(A230,Registry!$A$4:$AA$241,7,FALSE))</f>
        <v>1975</v>
      </c>
      <c r="F230" s="80" t="str">
        <f>IF(VLOOKUP(A230,Registry!$A$4:$AA$241,20,FALSE)=0,"",VLOOKUP(A230,Registry!$A$4:$AA$241,20,FALSE))</f>
        <v>For profit</v>
      </c>
      <c r="G230" s="25">
        <v>1975</v>
      </c>
      <c r="H230" s="24">
        <f>VLOOKUP(A230,Registry!$A$4:$AA$241,21,FALSE)</f>
        <v>6</v>
      </c>
      <c r="I230" s="24">
        <f>VLOOKUP(A230,Registry!$A$4:$AA$241,24,FALSE)</f>
        <v>4</v>
      </c>
      <c r="J230" s="24">
        <f>VLOOKUP(A230,Registry!$A$4:$AA$241,26,FALSE)</f>
        <v>1</v>
      </c>
      <c r="K230" s="128">
        <v>4</v>
      </c>
      <c r="L230" s="128">
        <v>1</v>
      </c>
      <c r="M230" s="128">
        <v>4</v>
      </c>
      <c r="N230" s="128">
        <v>1</v>
      </c>
      <c r="O230" s="128">
        <v>4</v>
      </c>
      <c r="P230" s="128">
        <v>1</v>
      </c>
      <c r="Q230" s="74">
        <f>I230-Table4[[#This Row],[Park Owned6]]</f>
        <v>0</v>
      </c>
      <c r="R230" s="74">
        <f>J230-Table4[[#This Row],[Other Owned7]]</f>
        <v>0</v>
      </c>
      <c r="S230" s="24">
        <f>VLOOKUP($A230,Registry!$A$4:$AA$241,23,FALSE)</f>
        <v>1</v>
      </c>
      <c r="T230" s="61">
        <f t="shared" si="18"/>
        <v>0.16666666666666666</v>
      </c>
      <c r="U230" s="35">
        <v>1</v>
      </c>
      <c r="V230" s="90">
        <v>0.16666666666666666</v>
      </c>
      <c r="W230" s="86">
        <v>1</v>
      </c>
      <c r="X230" s="90">
        <v>0.16699999999999998</v>
      </c>
      <c r="Y230" s="86">
        <v>1</v>
      </c>
      <c r="Z230" s="90">
        <v>0.16699999999999998</v>
      </c>
      <c r="AA230" s="35">
        <f>Table4[[#This Row],['# Lots]]-Table4[[#This Row],['# Lots10]]</f>
        <v>0</v>
      </c>
      <c r="AB230" s="61">
        <f t="shared" si="22"/>
        <v>0</v>
      </c>
      <c r="AC230" s="35">
        <f>Table4[[#This Row],['# Lots]]-Table4[[#This Row],['# Lots14]]</f>
        <v>0</v>
      </c>
      <c r="AD230" s="63">
        <f t="shared" si="23"/>
        <v>0</v>
      </c>
      <c r="AE230" s="138">
        <v>5</v>
      </c>
      <c r="AF230" s="35">
        <v>5</v>
      </c>
      <c r="AG230" s="58">
        <v>5</v>
      </c>
      <c r="AH230" s="58">
        <v>5</v>
      </c>
      <c r="AI230" s="128">
        <f>Table4[[#This Row],[2022 Leased Lots20]]-Table4[[#This Row],[2019 Leased Lots23]]</f>
        <v>0</v>
      </c>
      <c r="AJ230" s="63">
        <f t="shared" si="21"/>
        <v>0.83333333333333337</v>
      </c>
      <c r="AK230" s="139">
        <f>VLOOKUP($A230,Registry!$A$4:$AA$241,27,FALSE)</f>
        <v>125</v>
      </c>
      <c r="AL230" s="65">
        <v>125</v>
      </c>
      <c r="AM230" s="65">
        <v>125</v>
      </c>
      <c r="AN230" s="65">
        <v>125</v>
      </c>
      <c r="AO230" s="120">
        <f>IFERROR((AK230-Table4[[#This Row],[2019 Total Rent29]])/Table4[[#This Row],[2019 Total Rent29]], "-")</f>
        <v>0</v>
      </c>
    </row>
    <row r="231" spans="1:45" s="73" customFormat="1" x14ac:dyDescent="0.25">
      <c r="A231" s="35">
        <v>242</v>
      </c>
      <c r="B231" s="54" t="str">
        <f>VLOOKUP(A231,Registry!$A$4:$AA$241,2,FALSE)</f>
        <v>Patnode Mobile Home Park</v>
      </c>
      <c r="C231" s="80" t="str">
        <f>VLOOKUP(A231,Registry!$A$4:$AA$241,3,FALSE)</f>
        <v>Windsor</v>
      </c>
      <c r="D231" s="80" t="str">
        <f>VLOOKUP(A231,Registry!$A$4:$AA$241,4,FALSE)</f>
        <v>Springfield</v>
      </c>
      <c r="E231" s="80">
        <f>IF(VLOOKUP(A231,Registry!$A$4:$AA$241,7,FALSE)=0,"",VLOOKUP(A231,Registry!$A$4:$AA$241,7,FALSE))</f>
        <v>1948</v>
      </c>
      <c r="F231" s="80" t="str">
        <f>IF(VLOOKUP(A231,Registry!$A$4:$AA$241,20,FALSE)=0,"",VLOOKUP(A231,Registry!$A$4:$AA$241,20,FALSE))</f>
        <v>For profit</v>
      </c>
      <c r="G231" s="25">
        <v>2021</v>
      </c>
      <c r="H231" s="24">
        <f>VLOOKUP(A231,Registry!$A$4:$AA$241,21,FALSE)</f>
        <v>9</v>
      </c>
      <c r="I231" s="24">
        <f>VLOOKUP(A231,Registry!$A$4:$AA$241,24,FALSE)</f>
        <v>0</v>
      </c>
      <c r="J231" s="24">
        <f>VLOOKUP(A231,Registry!$A$4:$AA$241,26,FALSE)</f>
        <v>0</v>
      </c>
      <c r="K231" s="128">
        <v>0</v>
      </c>
      <c r="L231" s="128">
        <v>0</v>
      </c>
      <c r="M231" s="128">
        <v>0</v>
      </c>
      <c r="N231" s="128">
        <v>0</v>
      </c>
      <c r="O231" s="128">
        <v>0</v>
      </c>
      <c r="P231" s="128">
        <v>0</v>
      </c>
      <c r="Q231" s="28">
        <f>I231-Table4[[#This Row],[Park Owned6]]</f>
        <v>0</v>
      </c>
      <c r="R231" s="28">
        <f>J231-Table4[[#This Row],[Other Owned7]]</f>
        <v>0</v>
      </c>
      <c r="S231" s="24">
        <f>VLOOKUP($A231,Registry!$A$4:$AA$241,23,FALSE)</f>
        <v>2</v>
      </c>
      <c r="T231" s="61">
        <f t="shared" si="18"/>
        <v>0.22222222222222221</v>
      </c>
      <c r="U231" s="35">
        <v>2</v>
      </c>
      <c r="V231" s="90">
        <v>0.22222222222222221</v>
      </c>
      <c r="W231" s="86">
        <v>2</v>
      </c>
      <c r="X231" s="90">
        <v>0.222</v>
      </c>
      <c r="Y231" s="86">
        <v>2</v>
      </c>
      <c r="Z231" s="90">
        <v>0.222</v>
      </c>
      <c r="AA231" s="35">
        <f>Table4[[#This Row],['# Lots]]-Table4[[#This Row],['# Lots10]]</f>
        <v>0</v>
      </c>
      <c r="AB231" s="61">
        <f t="shared" si="22"/>
        <v>0</v>
      </c>
      <c r="AC231" s="35">
        <f>Table4[[#This Row],['# Lots]]-Table4[[#This Row],['# Lots14]]</f>
        <v>0</v>
      </c>
      <c r="AD231" s="61">
        <f t="shared" si="23"/>
        <v>0</v>
      </c>
      <c r="AE231" s="138">
        <v>7</v>
      </c>
      <c r="AF231" s="35">
        <v>7</v>
      </c>
      <c r="AG231" s="58">
        <v>7</v>
      </c>
      <c r="AH231" s="58">
        <v>7</v>
      </c>
      <c r="AI231" s="128">
        <f>Table4[[#This Row],[2022 Leased Lots20]]-Table4[[#This Row],[2019 Leased Lots23]]</f>
        <v>0</v>
      </c>
      <c r="AJ231" s="61">
        <f t="shared" si="21"/>
        <v>0.77777777777777779</v>
      </c>
      <c r="AK231" s="139">
        <f>VLOOKUP($A231,Registry!$A$4:$AA$241,27,FALSE)</f>
        <v>350</v>
      </c>
      <c r="AL231" s="65">
        <v>350</v>
      </c>
      <c r="AM231" s="65">
        <v>350</v>
      </c>
      <c r="AN231" s="65">
        <v>350</v>
      </c>
      <c r="AO231" s="120">
        <f>IFERROR((AK231-Table4[[#This Row],[2019 Total Rent29]])/Table4[[#This Row],[2019 Total Rent29]], "-")</f>
        <v>0</v>
      </c>
      <c r="AP231"/>
      <c r="AQ231"/>
      <c r="AR231"/>
      <c r="AS231"/>
    </row>
    <row r="232" spans="1:45" s="73" customFormat="1" x14ac:dyDescent="0.25">
      <c r="A232" s="35">
        <v>273</v>
      </c>
      <c r="B232" s="54" t="str">
        <f>VLOOKUP(A232,Registry!$A$4:$AA$241,2,FALSE)</f>
        <v>Red Maple MHP</v>
      </c>
      <c r="C232" s="80" t="str">
        <f>VLOOKUP(A232,Registry!$A$4:$AA$241,3,FALSE)</f>
        <v>Windsor</v>
      </c>
      <c r="D232" s="80" t="str">
        <f>VLOOKUP(A232,Registry!$A$4:$AA$241,4,FALSE)</f>
        <v>Springfield</v>
      </c>
      <c r="E232" s="80">
        <f>IF(VLOOKUP(A232,Registry!$A$4:$AA$241,7,FALSE)=0,"",VLOOKUP(A232,Registry!$A$4:$AA$241,7,FALSE))</f>
        <v>1960</v>
      </c>
      <c r="F232" s="80" t="str">
        <f>IF(VLOOKUP(A232,Registry!$A$4:$AA$241,20,FALSE)=0,"",VLOOKUP(A232,Registry!$A$4:$AA$241,20,FALSE))</f>
        <v>Non-profit</v>
      </c>
      <c r="G232" s="25">
        <v>2012</v>
      </c>
      <c r="H232" s="24">
        <f>VLOOKUP(A232,Registry!$A$4:$AA$241,21,FALSE)</f>
        <v>7</v>
      </c>
      <c r="I232" s="24">
        <f>VLOOKUP(A232,Registry!$A$4:$AA$241,24,FALSE)</f>
        <v>0</v>
      </c>
      <c r="J232" s="24">
        <f>VLOOKUP(A232,Registry!$A$4:$AA$241,26,FALSE)</f>
        <v>0</v>
      </c>
      <c r="K232" s="128">
        <v>0</v>
      </c>
      <c r="L232" s="128">
        <v>0</v>
      </c>
      <c r="M232" s="133">
        <v>0</v>
      </c>
      <c r="N232" s="133">
        <v>0</v>
      </c>
      <c r="O232" s="133">
        <v>0</v>
      </c>
      <c r="P232" s="133">
        <v>0</v>
      </c>
      <c r="Q232" s="28">
        <f>I232-Table4[[#This Row],[Park Owned6]]</f>
        <v>0</v>
      </c>
      <c r="R232" s="28">
        <f>J232-Table4[[#This Row],[Other Owned7]]</f>
        <v>0</v>
      </c>
      <c r="S232" s="24">
        <f>VLOOKUP($A232,Registry!$A$4:$AA$241,23,FALSE)</f>
        <v>0</v>
      </c>
      <c r="T232" s="61">
        <f t="shared" si="18"/>
        <v>0</v>
      </c>
      <c r="U232" s="35">
        <v>0</v>
      </c>
      <c r="V232" s="92">
        <v>0</v>
      </c>
      <c r="W232" s="89">
        <v>0</v>
      </c>
      <c r="X232" s="92">
        <v>0</v>
      </c>
      <c r="Y232" s="89">
        <v>0</v>
      </c>
      <c r="Z232" s="92">
        <v>0</v>
      </c>
      <c r="AA232" s="35">
        <f>Table4[[#This Row],['# Lots]]-Table4[[#This Row],['# Lots10]]</f>
        <v>0</v>
      </c>
      <c r="AB232" s="61">
        <f t="shared" si="22"/>
        <v>0</v>
      </c>
      <c r="AC232" s="35">
        <f>Table4[[#This Row],['# Lots]]-Table4[[#This Row],['# Lots14]]</f>
        <v>0</v>
      </c>
      <c r="AD232" s="61">
        <f t="shared" si="23"/>
        <v>0</v>
      </c>
      <c r="AE232" s="138">
        <v>7</v>
      </c>
      <c r="AF232" s="35">
        <v>7</v>
      </c>
      <c r="AG232" s="59">
        <v>7</v>
      </c>
      <c r="AH232" s="59">
        <v>7</v>
      </c>
      <c r="AI232" s="128">
        <f>Table4[[#This Row],[2022 Leased Lots20]]-Table4[[#This Row],[2019 Leased Lots23]]</f>
        <v>0</v>
      </c>
      <c r="AJ232" s="61">
        <f t="shared" si="21"/>
        <v>1</v>
      </c>
      <c r="AK232" s="139">
        <f>VLOOKUP($A232,Registry!$A$4:$AA$241,27,FALSE)</f>
        <v>275</v>
      </c>
      <c r="AL232" s="66">
        <v>268</v>
      </c>
      <c r="AM232" s="66">
        <v>268</v>
      </c>
      <c r="AN232" s="66">
        <v>261</v>
      </c>
      <c r="AO232" s="120">
        <f>IFERROR((AK232-Table4[[#This Row],[2019 Total Rent29]])/Table4[[#This Row],[2019 Total Rent29]], "-")</f>
        <v>5.3639846743295021E-2</v>
      </c>
      <c r="AP232"/>
      <c r="AQ232"/>
      <c r="AR232"/>
      <c r="AS232"/>
    </row>
    <row r="233" spans="1:45" x14ac:dyDescent="0.25">
      <c r="A233" s="26">
        <v>274</v>
      </c>
      <c r="B233" s="54" t="str">
        <f>VLOOKUP(A233,Registry!$A$4:$AA$241,2,FALSE)</f>
        <v>Valley Mobile Home Park</v>
      </c>
      <c r="C233" s="80" t="str">
        <f>VLOOKUP(A233,Registry!$A$4:$AA$241,3,FALSE)</f>
        <v>Windsor</v>
      </c>
      <c r="D233" s="80" t="str">
        <f>VLOOKUP(A233,Registry!$A$4:$AA$241,4,FALSE)</f>
        <v>Springfield</v>
      </c>
      <c r="E233" s="80">
        <f>IF(VLOOKUP(A233,Registry!$A$4:$AA$241,7,FALSE)=0,"",VLOOKUP(A233,Registry!$A$4:$AA$241,7,FALSE))</f>
        <v>1960</v>
      </c>
      <c r="F233" s="80" t="str">
        <f>IF(VLOOKUP(A233,Registry!$A$4:$AA$241,20,FALSE)=0,"",VLOOKUP(A233,Registry!$A$4:$AA$241,20,FALSE))</f>
        <v>For profit</v>
      </c>
      <c r="G233" s="25">
        <v>1974</v>
      </c>
      <c r="H233" s="24">
        <f>VLOOKUP(A233,Registry!$A$4:$AA$241,21,FALSE)</f>
        <v>9</v>
      </c>
      <c r="I233" s="24">
        <f>VLOOKUP(A233,Registry!$A$4:$AA$241,24,FALSE)</f>
        <v>1</v>
      </c>
      <c r="J233" s="24">
        <f>VLOOKUP(A233,Registry!$A$4:$AA$241,26,FALSE)</f>
        <v>0</v>
      </c>
      <c r="K233" s="128">
        <v>1</v>
      </c>
      <c r="L233" s="128">
        <v>0</v>
      </c>
      <c r="M233" s="133">
        <v>1</v>
      </c>
      <c r="N233" s="133">
        <v>0</v>
      </c>
      <c r="O233" s="133">
        <v>1</v>
      </c>
      <c r="P233" s="133">
        <v>0</v>
      </c>
      <c r="Q233" s="74">
        <f>I233-Table4[[#This Row],[Park Owned6]]</f>
        <v>0</v>
      </c>
      <c r="R233" s="74">
        <f>J233-Table4[[#This Row],[Other Owned7]]</f>
        <v>0</v>
      </c>
      <c r="S233" s="24">
        <f>VLOOKUP($A233,Registry!$A$4:$AA$241,23,FALSE)</f>
        <v>1</v>
      </c>
      <c r="T233" s="63">
        <f t="shared" si="18"/>
        <v>0.1111111111111111</v>
      </c>
      <c r="U233" s="36">
        <v>1</v>
      </c>
      <c r="V233" s="92">
        <v>0.1111111111111111</v>
      </c>
      <c r="W233" s="89">
        <v>1</v>
      </c>
      <c r="X233" s="92">
        <v>0.111</v>
      </c>
      <c r="Y233" s="89">
        <v>1</v>
      </c>
      <c r="Z233" s="92">
        <v>0.111</v>
      </c>
      <c r="AA233" s="35">
        <f>Table4[[#This Row],['# Lots]]-Table4[[#This Row],['# Lots10]]</f>
        <v>0</v>
      </c>
      <c r="AB233" s="63">
        <f t="shared" si="22"/>
        <v>0</v>
      </c>
      <c r="AC233" s="36">
        <f>Table4[[#This Row],['# Lots]]-Table4[[#This Row],['# Lots14]]</f>
        <v>0</v>
      </c>
      <c r="AD233" s="63">
        <f t="shared" si="23"/>
        <v>0</v>
      </c>
      <c r="AE233" s="138">
        <v>7</v>
      </c>
      <c r="AF233" s="36">
        <v>7</v>
      </c>
      <c r="AG233" s="59">
        <v>7</v>
      </c>
      <c r="AH233" s="59">
        <v>8</v>
      </c>
      <c r="AI233" s="128">
        <f>Table4[[#This Row],[2022 Leased Lots20]]-Table4[[#This Row],[2019 Leased Lots23]]</f>
        <v>-1</v>
      </c>
      <c r="AJ233" s="63">
        <f t="shared" si="21"/>
        <v>0.77777777777777779</v>
      </c>
      <c r="AK233" s="139">
        <f>VLOOKUP($A233,Registry!$A$4:$AA$241,27,FALSE)</f>
        <v>220</v>
      </c>
      <c r="AL233" s="66">
        <v>220</v>
      </c>
      <c r="AM233" s="66">
        <v>220</v>
      </c>
      <c r="AN233" s="66">
        <v>220</v>
      </c>
      <c r="AO233" s="125">
        <f>IFERROR((AK233-Table4[[#This Row],[2019 Total Rent29]])/Table4[[#This Row],[2019 Total Rent29]], "-")</f>
        <v>0</v>
      </c>
    </row>
    <row r="234" spans="1:45" x14ac:dyDescent="0.25">
      <c r="A234" s="26">
        <v>10</v>
      </c>
      <c r="B234" s="54" t="str">
        <f>VLOOKUP(A234,Registry!$A$4:$AA$241,2,FALSE)</f>
        <v>Country Estates Mobile Home Park, LLC</v>
      </c>
      <c r="C234" s="80" t="str">
        <f>VLOOKUP(A234,Registry!$A$4:$AA$241,3,FALSE)</f>
        <v>Windsor</v>
      </c>
      <c r="D234" s="80" t="str">
        <f>VLOOKUP(A234,Registry!$A$4:$AA$241,4,FALSE)</f>
        <v>Weathersfield</v>
      </c>
      <c r="E234" s="80">
        <f>IF(VLOOKUP(A234,Registry!$A$4:$AA$241,7,FALSE)=0,"",VLOOKUP(A234,Registry!$A$4:$AA$241,7,FALSE))</f>
        <v>1965</v>
      </c>
      <c r="F234" s="80" t="str">
        <f>IF(VLOOKUP(A234,Registry!$A$4:$AA$241,20,FALSE)=0,"",VLOOKUP(A234,Registry!$A$4:$AA$241,20,FALSE))</f>
        <v>For profit</v>
      </c>
      <c r="G234" s="25">
        <v>1998</v>
      </c>
      <c r="H234" s="24">
        <f>VLOOKUP(A234,Registry!$A$4:$AA$241,21,FALSE)</f>
        <v>92</v>
      </c>
      <c r="I234" s="24">
        <f>VLOOKUP(A234,Registry!$A$4:$AA$241,24,FALSE)</f>
        <v>1</v>
      </c>
      <c r="J234" s="24">
        <f>VLOOKUP(A234,Registry!$A$4:$AA$241,26,FALSE)</f>
        <v>0</v>
      </c>
      <c r="K234" s="128">
        <v>1</v>
      </c>
      <c r="L234" s="128">
        <v>0</v>
      </c>
      <c r="M234" s="133">
        <v>1</v>
      </c>
      <c r="N234" s="133">
        <v>0</v>
      </c>
      <c r="O234" s="133">
        <v>1</v>
      </c>
      <c r="P234" s="134">
        <v>1</v>
      </c>
      <c r="Q234" s="135">
        <f>I234-Table4[[#This Row],[Park Owned6]]</f>
        <v>0</v>
      </c>
      <c r="R234" s="136">
        <f>J234-Table4[[#This Row],[Other Owned7]]</f>
        <v>-1</v>
      </c>
      <c r="S234" s="24">
        <f>VLOOKUP($A234,Registry!$A$4:$AA$241,23,FALSE)</f>
        <v>0</v>
      </c>
      <c r="T234" s="63">
        <f t="shared" si="18"/>
        <v>0</v>
      </c>
      <c r="U234" s="26">
        <v>0</v>
      </c>
      <c r="V234" s="92">
        <v>0</v>
      </c>
      <c r="W234" s="89">
        <v>0</v>
      </c>
      <c r="X234" s="92">
        <v>0</v>
      </c>
      <c r="Y234" s="89">
        <v>0</v>
      </c>
      <c r="Z234" s="124">
        <v>0</v>
      </c>
      <c r="AA234" s="35">
        <f>Table4[[#This Row],['# Lots]]-Table4[[#This Row],['# Lots10]]</f>
        <v>0</v>
      </c>
      <c r="AB234" s="127">
        <f t="shared" si="22"/>
        <v>0</v>
      </c>
      <c r="AC234" s="38">
        <f>Table4[[#This Row],['# Lots]]-Table4[[#This Row],['# Lots14]]</f>
        <v>0</v>
      </c>
      <c r="AD234" s="123">
        <f t="shared" si="23"/>
        <v>0</v>
      </c>
      <c r="AE234" s="138">
        <v>92</v>
      </c>
      <c r="AF234" s="36">
        <v>92</v>
      </c>
      <c r="AG234" s="59">
        <v>92</v>
      </c>
      <c r="AH234" s="122">
        <v>91</v>
      </c>
      <c r="AI234" s="128">
        <f>Table4[[#This Row],[2022 Leased Lots20]]-Table4[[#This Row],[2019 Leased Lots23]]</f>
        <v>1</v>
      </c>
      <c r="AJ234" s="123">
        <f t="shared" si="21"/>
        <v>1</v>
      </c>
      <c r="AK234" s="139">
        <f>VLOOKUP($A234,Registry!$A$4:$AA$241,27,FALSE)</f>
        <v>370</v>
      </c>
      <c r="AL234" s="66">
        <v>360</v>
      </c>
      <c r="AM234" s="66">
        <v>350</v>
      </c>
      <c r="AN234" s="66">
        <v>340</v>
      </c>
      <c r="AO234" s="126">
        <f>IFERROR((AK234-Table4[[#This Row],[2019 Total Rent29]])/Table4[[#This Row],[2019 Total Rent29]], "-")</f>
        <v>8.8235294117647065E-2</v>
      </c>
    </row>
    <row r="235" spans="1:45" x14ac:dyDescent="0.25">
      <c r="A235" s="26">
        <v>12</v>
      </c>
      <c r="B235" s="54" t="str">
        <f>VLOOKUP(A235,Registry!$A$4:$AA$241,2,FALSE)</f>
        <v>Frazers Mobile Home Park, LLC</v>
      </c>
      <c r="C235" s="80" t="str">
        <f>VLOOKUP(A235,Registry!$A$4:$AA$241,3,FALSE)</f>
        <v>Windsor</v>
      </c>
      <c r="D235" s="80" t="str">
        <f>VLOOKUP(A235,Registry!$A$4:$AA$241,4,FALSE)</f>
        <v>Weathersfield</v>
      </c>
      <c r="E235" s="80">
        <f>IF(VLOOKUP(A235,Registry!$A$4:$AA$241,7,FALSE)=0,"",VLOOKUP(A235,Registry!$A$4:$AA$241,7,FALSE))</f>
        <v>1969</v>
      </c>
      <c r="F235" s="80" t="str">
        <f>IF(VLOOKUP(A235,Registry!$A$4:$AA$241,20,FALSE)=0,"",VLOOKUP(A235,Registry!$A$4:$AA$241,20,FALSE))</f>
        <v>For profit</v>
      </c>
      <c r="G235" s="25">
        <v>2008</v>
      </c>
      <c r="H235" s="24">
        <f>VLOOKUP(A235,Registry!$A$4:$AA$241,21,FALSE)</f>
        <v>14</v>
      </c>
      <c r="I235" s="24">
        <f>VLOOKUP(A235,Registry!$A$4:$AA$241,24,FALSE)</f>
        <v>3</v>
      </c>
      <c r="J235" s="24">
        <f>VLOOKUP(A235,Registry!$A$4:$AA$241,26,FALSE)</f>
        <v>0</v>
      </c>
      <c r="K235" s="128">
        <v>3</v>
      </c>
      <c r="L235" s="128">
        <v>0</v>
      </c>
      <c r="M235" s="133">
        <v>3</v>
      </c>
      <c r="N235" s="133">
        <v>0</v>
      </c>
      <c r="O235" s="133">
        <v>3</v>
      </c>
      <c r="P235" s="133">
        <v>0</v>
      </c>
      <c r="Q235" s="135">
        <f>I235-Table4[[#This Row],[Park Owned6]]</f>
        <v>0</v>
      </c>
      <c r="R235" s="136">
        <f>J235-Table4[[#This Row],[Other Owned7]]</f>
        <v>0</v>
      </c>
      <c r="S235" s="24">
        <f>VLOOKUP($A235,Registry!$A$4:$AA$241,23,FALSE)</f>
        <v>0</v>
      </c>
      <c r="T235" s="63">
        <f t="shared" si="18"/>
        <v>0</v>
      </c>
      <c r="U235" s="36">
        <v>0</v>
      </c>
      <c r="V235" s="92">
        <v>0</v>
      </c>
      <c r="W235" s="89">
        <v>0</v>
      </c>
      <c r="X235" s="92">
        <v>0</v>
      </c>
      <c r="Y235" s="89">
        <v>0</v>
      </c>
      <c r="Z235" s="92">
        <v>0</v>
      </c>
      <c r="AA235" s="35">
        <f>Table4[[#This Row],['# Lots]]-Table4[[#This Row],['# Lots10]]</f>
        <v>0</v>
      </c>
      <c r="AB235" s="63">
        <f t="shared" si="22"/>
        <v>0</v>
      </c>
      <c r="AC235" s="36">
        <f>Table4[[#This Row],['# Lots]]-Table4[[#This Row],['# Lots14]]</f>
        <v>0</v>
      </c>
      <c r="AD235" s="63">
        <f t="shared" si="23"/>
        <v>0</v>
      </c>
      <c r="AE235" s="138">
        <v>14</v>
      </c>
      <c r="AF235" s="36">
        <v>14</v>
      </c>
      <c r="AG235" s="59">
        <v>14</v>
      </c>
      <c r="AH235" s="59">
        <v>14</v>
      </c>
      <c r="AI235" s="128">
        <f>Table4[[#This Row],[2022 Leased Lots20]]-Table4[[#This Row],[2019 Leased Lots23]]</f>
        <v>0</v>
      </c>
      <c r="AJ235" s="63">
        <f t="shared" si="21"/>
        <v>1</v>
      </c>
      <c r="AK235" s="139">
        <f>VLOOKUP($A235,Registry!$A$4:$AA$241,27,FALSE)</f>
        <v>374.48</v>
      </c>
      <c r="AL235" s="66">
        <v>358.35</v>
      </c>
      <c r="AM235" s="66">
        <v>358.35</v>
      </c>
      <c r="AN235" s="66">
        <v>358.35</v>
      </c>
      <c r="AO235" s="125">
        <f>IFERROR((AK235-Table4[[#This Row],[2019 Total Rent29]])/Table4[[#This Row],[2019 Total Rent29]], "-")</f>
        <v>4.501185991349238E-2</v>
      </c>
    </row>
    <row r="236" spans="1:45" x14ac:dyDescent="0.25">
      <c r="A236" s="26">
        <v>23</v>
      </c>
      <c r="B236" s="54" t="str">
        <f>VLOOKUP(A236,Registry!$A$4:$AA$241,2,FALSE)</f>
        <v>Markwell Mobile Home Park</v>
      </c>
      <c r="C236" s="80" t="str">
        <f>VLOOKUP(A236,Registry!$A$4:$AA$241,3,FALSE)</f>
        <v>Windsor</v>
      </c>
      <c r="D236" s="80" t="str">
        <f>VLOOKUP(A236,Registry!$A$4:$AA$241,4,FALSE)</f>
        <v>Weathersfield</v>
      </c>
      <c r="E236" s="80">
        <f>IF(VLOOKUP(A236,Registry!$A$4:$AA$241,7,FALSE)=0,"",VLOOKUP(A236,Registry!$A$4:$AA$241,7,FALSE))</f>
        <v>1967</v>
      </c>
      <c r="F236" s="80" t="str">
        <f>IF(VLOOKUP(A236,Registry!$A$4:$AA$241,20,FALSE)=0,"",VLOOKUP(A236,Registry!$A$4:$AA$241,20,FALSE))</f>
        <v>For profit</v>
      </c>
      <c r="G236" s="25">
        <v>1989</v>
      </c>
      <c r="H236" s="24">
        <f>VLOOKUP(A236,Registry!$A$4:$AA$241,21,FALSE)</f>
        <v>8</v>
      </c>
      <c r="I236" s="24">
        <f>VLOOKUP(A236,Registry!$A$4:$AA$241,24,FALSE)</f>
        <v>0</v>
      </c>
      <c r="J236" s="24">
        <f>VLOOKUP(A236,Registry!$A$4:$AA$241,26,FALSE)</f>
        <v>0</v>
      </c>
      <c r="K236" s="128">
        <v>0</v>
      </c>
      <c r="L236" s="128">
        <v>0</v>
      </c>
      <c r="M236" s="133">
        <v>0</v>
      </c>
      <c r="N236" s="133">
        <v>0</v>
      </c>
      <c r="O236" s="133">
        <v>0</v>
      </c>
      <c r="P236" s="134">
        <v>0</v>
      </c>
      <c r="Q236" s="135">
        <f>I236-Table4[[#This Row],[Park Owned6]]</f>
        <v>0</v>
      </c>
      <c r="R236" s="136">
        <f>J236-Table4[[#This Row],[Other Owned7]]</f>
        <v>0</v>
      </c>
      <c r="S236" s="24">
        <f>VLOOKUP($A236,Registry!$A$4:$AA$241,23,FALSE)</f>
        <v>2</v>
      </c>
      <c r="T236" s="63">
        <f t="shared" si="18"/>
        <v>0.25</v>
      </c>
      <c r="U236" s="26">
        <v>2</v>
      </c>
      <c r="V236" s="92">
        <v>0.25</v>
      </c>
      <c r="W236" s="89">
        <v>2</v>
      </c>
      <c r="X236" s="92">
        <v>0.25</v>
      </c>
      <c r="Y236" s="89">
        <v>1</v>
      </c>
      <c r="Z236" s="124">
        <v>0.125</v>
      </c>
      <c r="AA236" s="35">
        <f>Table4[[#This Row],['# Lots]]-Table4[[#This Row],['# Lots10]]</f>
        <v>0</v>
      </c>
      <c r="AB236" s="127">
        <f t="shared" si="22"/>
        <v>0</v>
      </c>
      <c r="AC236" s="38">
        <f>Table4[[#This Row],['# Lots]]-Table4[[#This Row],['# Lots14]]</f>
        <v>1</v>
      </c>
      <c r="AD236" s="123">
        <f t="shared" si="23"/>
        <v>0.125</v>
      </c>
      <c r="AE236" s="138">
        <v>6</v>
      </c>
      <c r="AF236" s="36">
        <v>6</v>
      </c>
      <c r="AG236" s="59">
        <v>7</v>
      </c>
      <c r="AH236" s="122">
        <v>7</v>
      </c>
      <c r="AI236" s="128">
        <f>Table4[[#This Row],[2022 Leased Lots20]]-Table4[[#This Row],[2019 Leased Lots23]]</f>
        <v>-1</v>
      </c>
      <c r="AJ236" s="123">
        <f t="shared" si="21"/>
        <v>0.75</v>
      </c>
      <c r="AK236" s="139">
        <f>VLOOKUP($A236,Registry!$A$4:$AA$241,27,FALSE)</f>
        <v>225</v>
      </c>
      <c r="AL236" s="66">
        <v>225</v>
      </c>
      <c r="AM236" s="66">
        <v>197</v>
      </c>
      <c r="AN236" s="66">
        <v>150</v>
      </c>
      <c r="AO236" s="126">
        <f>IFERROR((AK236-Table4[[#This Row],[2019 Total Rent29]])/Table4[[#This Row],[2019 Total Rent29]], "-")</f>
        <v>0.5</v>
      </c>
    </row>
    <row r="237" spans="1:45" x14ac:dyDescent="0.25">
      <c r="A237" s="26">
        <v>11</v>
      </c>
      <c r="B237" s="54" t="str">
        <f>VLOOKUP(A237,Registry!$A$4:$AA$241,2,FALSE)</f>
        <v>Mountain View Trailer Park</v>
      </c>
      <c r="C237" s="80" t="str">
        <f>VLOOKUP(A237,Registry!$A$4:$AA$241,3,FALSE)</f>
        <v>Windsor</v>
      </c>
      <c r="D237" s="80" t="str">
        <f>VLOOKUP(A237,Registry!$A$4:$AA$241,4,FALSE)</f>
        <v>Weathersfield</v>
      </c>
      <c r="E237" s="80">
        <f>IF(VLOOKUP(A237,Registry!$A$4:$AA$241,7,FALSE)=0,"",VLOOKUP(A237,Registry!$A$4:$AA$241,7,FALSE))</f>
        <v>1972</v>
      </c>
      <c r="F237" s="80" t="str">
        <f>IF(VLOOKUP(A237,Registry!$A$4:$AA$241,20,FALSE)=0,"",VLOOKUP(A237,Registry!$A$4:$AA$241,20,FALSE))</f>
        <v>For profit</v>
      </c>
      <c r="G237" s="25">
        <v>1983</v>
      </c>
      <c r="H237" s="24">
        <f>VLOOKUP(A237,Registry!$A$4:$AA$241,21,FALSE)</f>
        <v>8</v>
      </c>
      <c r="I237" s="24">
        <f>VLOOKUP(A237,Registry!$A$4:$AA$241,24,FALSE)</f>
        <v>5</v>
      </c>
      <c r="J237" s="24">
        <f>VLOOKUP(A237,Registry!$A$4:$AA$241,26,FALSE)</f>
        <v>0</v>
      </c>
      <c r="K237" s="133">
        <v>5</v>
      </c>
      <c r="L237" s="133">
        <v>0</v>
      </c>
      <c r="M237" s="133">
        <v>5</v>
      </c>
      <c r="N237" s="133">
        <v>0</v>
      </c>
      <c r="O237" s="133">
        <v>5</v>
      </c>
      <c r="P237" s="134">
        <v>0</v>
      </c>
      <c r="Q237" s="135">
        <f>I237-Table4[[#This Row],[Park Owned6]]</f>
        <v>0</v>
      </c>
      <c r="R237" s="136">
        <f>J237-Table4[[#This Row],[Other Owned7]]</f>
        <v>0</v>
      </c>
      <c r="S237" s="24">
        <f>VLOOKUP($A237,Registry!$A$4:$AA$241,23,FALSE)</f>
        <v>0</v>
      </c>
      <c r="T237" s="63">
        <f t="shared" si="18"/>
        <v>0</v>
      </c>
      <c r="U237" s="26">
        <v>0</v>
      </c>
      <c r="V237" s="92">
        <v>0</v>
      </c>
      <c r="W237" s="89">
        <v>0</v>
      </c>
      <c r="X237" s="92">
        <v>0</v>
      </c>
      <c r="Y237" s="89">
        <v>0</v>
      </c>
      <c r="Z237" s="124">
        <v>0</v>
      </c>
      <c r="AA237" s="38">
        <f>Table4[[#This Row],['# Lots]]-Table4[[#This Row],['# Lots10]]</f>
        <v>0</v>
      </c>
      <c r="AB237" s="127">
        <f t="shared" si="22"/>
        <v>0</v>
      </c>
      <c r="AC237" s="38">
        <f>Table4[[#This Row],['# Lots]]-Table4[[#This Row],['# Lots14]]</f>
        <v>0</v>
      </c>
      <c r="AD237" s="123">
        <f t="shared" si="23"/>
        <v>0</v>
      </c>
      <c r="AE237" s="138">
        <v>8</v>
      </c>
      <c r="AF237" s="36">
        <v>8</v>
      </c>
      <c r="AG237" s="59">
        <v>8</v>
      </c>
      <c r="AH237" s="122">
        <v>8</v>
      </c>
      <c r="AI237" s="158">
        <f>Table4[[#This Row],[2022 Leased Lots20]]-Table4[[#This Row],[2019 Leased Lots23]]</f>
        <v>0</v>
      </c>
      <c r="AJ237" s="123">
        <f t="shared" si="21"/>
        <v>1</v>
      </c>
      <c r="AK237" s="139">
        <f>VLOOKUP($A237,Registry!$A$4:$AA$241,27,FALSE)</f>
        <v>300</v>
      </c>
      <c r="AL237" s="66">
        <v>300</v>
      </c>
      <c r="AM237" s="66">
        <v>300</v>
      </c>
      <c r="AN237" s="66">
        <v>300</v>
      </c>
      <c r="AO237" s="126">
        <f>IFERROR((AK237-Table4[[#This Row],[2019 Total Rent29]])/Table4[[#This Row],[2019 Total Rent29]], "-")</f>
        <v>0</v>
      </c>
    </row>
    <row r="238" spans="1:45" x14ac:dyDescent="0.25">
      <c r="A238" s="26">
        <v>145</v>
      </c>
      <c r="B238" s="54" t="str">
        <f>VLOOKUP(A238,Registry!$A$4:$AA$241,2,FALSE)</f>
        <v>Windy Hill Acres</v>
      </c>
      <c r="C238" s="80" t="str">
        <f>VLOOKUP(A238,Registry!$A$4:$AA$241,3,FALSE)</f>
        <v>Windsor</v>
      </c>
      <c r="D238" s="80" t="str">
        <f>VLOOKUP(A238,Registry!$A$4:$AA$241,4,FALSE)</f>
        <v>Weathersfield</v>
      </c>
      <c r="E238" s="80" t="str">
        <f>IF(VLOOKUP(A238,Registry!$A$4:$AA$241,7,FALSE)=0,"",VLOOKUP(A238,Registry!$A$4:$AA$241,7,FALSE))</f>
        <v/>
      </c>
      <c r="F238" s="80" t="str">
        <f>IF(VLOOKUP(A238,Registry!$A$4:$AA$241,20,FALSE)=0,"",VLOOKUP(A238,Registry!$A$4:$AA$241,20,FALSE))</f>
        <v>Non-profit</v>
      </c>
      <c r="G238" s="25">
        <v>1990</v>
      </c>
      <c r="H238" s="24">
        <f>VLOOKUP(A238,Registry!$A$4:$AA$241,21,FALSE)</f>
        <v>74</v>
      </c>
      <c r="I238" s="24">
        <f>VLOOKUP(A238,Registry!$A$4:$AA$241,24,FALSE)</f>
        <v>0</v>
      </c>
      <c r="J238" s="24">
        <f>VLOOKUP(A238,Registry!$A$4:$AA$241,26,FALSE)</f>
        <v>0</v>
      </c>
      <c r="K238" s="133">
        <v>0</v>
      </c>
      <c r="L238" s="133">
        <v>0</v>
      </c>
      <c r="M238" s="133">
        <v>0</v>
      </c>
      <c r="N238" s="133">
        <v>0</v>
      </c>
      <c r="O238" s="133">
        <v>0</v>
      </c>
      <c r="P238" s="134">
        <v>0</v>
      </c>
      <c r="Q238" s="135">
        <f>I238-Table4[[#This Row],[Park Owned6]]</f>
        <v>0</v>
      </c>
      <c r="R238" s="136">
        <f>J238-Table4[[#This Row],[Other Owned7]]</f>
        <v>0</v>
      </c>
      <c r="S238" s="24">
        <f>VLOOKUP($A238,Registry!$A$4:$AA$241,23,FALSE)</f>
        <v>8</v>
      </c>
      <c r="T238" s="63">
        <f t="shared" si="18"/>
        <v>0.10810810810810811</v>
      </c>
      <c r="U238" s="26">
        <v>9</v>
      </c>
      <c r="V238" s="92">
        <v>0.12162162162162163</v>
      </c>
      <c r="W238" s="89">
        <v>8</v>
      </c>
      <c r="X238" s="92">
        <v>0.10800000000000001</v>
      </c>
      <c r="Y238" s="89">
        <v>8</v>
      </c>
      <c r="Z238" s="124">
        <v>0.10800000000000001</v>
      </c>
      <c r="AA238" s="37">
        <f>Table4[[#This Row],['# Lots]]-Table4[[#This Row],['# Lots10]]</f>
        <v>-1</v>
      </c>
      <c r="AB238" s="127">
        <f t="shared" si="22"/>
        <v>-1.3513513513513514E-2</v>
      </c>
      <c r="AC238" s="38">
        <f>Table4[[#This Row],['# Lots]]-Table4[[#This Row],['# Lots14]]</f>
        <v>0</v>
      </c>
      <c r="AD238" s="127">
        <f t="shared" si="23"/>
        <v>0</v>
      </c>
      <c r="AE238" s="138">
        <v>43</v>
      </c>
      <c r="AF238" s="26">
        <v>44</v>
      </c>
      <c r="AG238" s="59">
        <v>44</v>
      </c>
      <c r="AH238" s="122">
        <v>44</v>
      </c>
      <c r="AI238" s="134">
        <f>Table4[[#This Row],[2022 Leased Lots20]]-Table4[[#This Row],[2019 Leased Lots23]]</f>
        <v>-1</v>
      </c>
      <c r="AJ238" s="127">
        <f t="shared" si="21"/>
        <v>0.58108108108108103</v>
      </c>
      <c r="AK238" s="139">
        <f>VLOOKUP($A238,Registry!$A$4:$AA$241,27,FALSE)</f>
        <v>464</v>
      </c>
      <c r="AL238" s="160">
        <v>464</v>
      </c>
      <c r="AM238" s="66">
        <v>451</v>
      </c>
      <c r="AN238" s="66">
        <v>438</v>
      </c>
      <c r="AO238" s="126">
        <f>IFERROR((AK238-Table4[[#This Row],[2019 Total Rent29]])/Table4[[#This Row],[2019 Total Rent29]], "-")</f>
        <v>5.9360730593607303E-2</v>
      </c>
    </row>
    <row r="239" spans="1:45" x14ac:dyDescent="0.25">
      <c r="A239" s="26">
        <v>204</v>
      </c>
      <c r="B239" s="54" t="str">
        <f>VLOOKUP(A239,Registry!$A$4:$AA$241,2,FALSE)</f>
        <v>Bunker Hill Community Co-op</v>
      </c>
      <c r="C239" s="192" t="str">
        <f>VLOOKUP(A239,Registry!$A$4:$AA$241,3,FALSE)</f>
        <v>Windsor</v>
      </c>
      <c r="D239" s="192" t="str">
        <f>VLOOKUP(A239,Registry!$A$4:$AA$241,4,FALSE)</f>
        <v>Windsor</v>
      </c>
      <c r="E239" s="192">
        <f>IF(VLOOKUP(A239,Registry!$A$4:$AA$241,7,FALSE)=0,"",VLOOKUP(A239,Registry!$A$4:$AA$241,7,FALSE))</f>
        <v>1963</v>
      </c>
      <c r="F239" s="192" t="str">
        <f>IF(VLOOKUP(A239,Registry!$A$4:$AA$241,20,FALSE)=0,"",VLOOKUP(A239,Registry!$A$4:$AA$241,20,FALSE))</f>
        <v>Cooperative</v>
      </c>
      <c r="G239" s="25">
        <v>2011</v>
      </c>
      <c r="H239" s="189">
        <f>VLOOKUP(A239,Registry!$A$4:$AA$241,21,FALSE)</f>
        <v>14</v>
      </c>
      <c r="I239" s="189">
        <f>VLOOKUP(A239,Registry!$A$4:$AA$241,24,FALSE)</f>
        <v>0</v>
      </c>
      <c r="J239" s="189">
        <f>VLOOKUP(A239,Registry!$A$4:$AA$241,26,FALSE)</f>
        <v>0</v>
      </c>
      <c r="K239" s="133">
        <v>0</v>
      </c>
      <c r="L239" s="133">
        <v>0</v>
      </c>
      <c r="M239" s="133">
        <v>0</v>
      </c>
      <c r="N239" s="133">
        <v>0</v>
      </c>
      <c r="O239" s="133">
        <v>0</v>
      </c>
      <c r="P239" s="134">
        <v>2</v>
      </c>
      <c r="Q239" s="135">
        <f>I239-Table4[[#This Row],[Park Owned6]]</f>
        <v>0</v>
      </c>
      <c r="R239" s="136">
        <f>J239-Table4[[#This Row],[Other Owned7]]</f>
        <v>-2</v>
      </c>
      <c r="S239" s="194">
        <f>VLOOKUP($A239,Registry!$A$4:$AA$241,23,FALSE)</f>
        <v>0</v>
      </c>
      <c r="T239" s="63">
        <f t="shared" si="18"/>
        <v>0</v>
      </c>
      <c r="U239" s="26">
        <v>0</v>
      </c>
      <c r="V239" s="92">
        <v>0</v>
      </c>
      <c r="W239" s="89">
        <v>0</v>
      </c>
      <c r="X239" s="92">
        <v>0</v>
      </c>
      <c r="Y239" s="89">
        <v>1</v>
      </c>
      <c r="Z239" s="124">
        <v>7.0999999999999994E-2</v>
      </c>
      <c r="AA239" s="37">
        <f>Table4[[#This Row],['# Lots]]-Table4[[#This Row],['# Lots10]]</f>
        <v>0</v>
      </c>
      <c r="AB239" s="127">
        <f t="shared" si="22"/>
        <v>0</v>
      </c>
      <c r="AC239" s="38">
        <f>Table4[[#This Row],['# Lots]]-Table4[[#This Row],['# Lots14]]</f>
        <v>-1</v>
      </c>
      <c r="AD239" s="127">
        <f t="shared" si="23"/>
        <v>-7.1428571428571425E-2</v>
      </c>
      <c r="AE239" s="199">
        <v>14</v>
      </c>
      <c r="AF239" s="26">
        <v>14</v>
      </c>
      <c r="AG239" s="59">
        <v>11</v>
      </c>
      <c r="AH239" s="122">
        <v>11</v>
      </c>
      <c r="AI239" s="134">
        <f>Table4[[#This Row],[2022 Leased Lots20]]-Table4[[#This Row],[2019 Leased Lots23]]</f>
        <v>3</v>
      </c>
      <c r="AJ239" s="127">
        <f t="shared" si="21"/>
        <v>1</v>
      </c>
      <c r="AK239" s="201">
        <f>VLOOKUP($A239,Registry!$A$4:$AA$241,27,FALSE)</f>
        <v>250</v>
      </c>
      <c r="AL239" s="160">
        <v>250</v>
      </c>
      <c r="AM239" s="66">
        <v>250</v>
      </c>
      <c r="AN239" s="66">
        <v>250</v>
      </c>
      <c r="AO239" s="126">
        <f>IFERROR((AK239-Table4[[#This Row],[2019 Total Rent29]])/Table4[[#This Row],[2019 Total Rent29]], "-")</f>
        <v>0</v>
      </c>
    </row>
    <row r="240" spans="1:45" x14ac:dyDescent="0.25">
      <c r="A240" s="26">
        <v>122</v>
      </c>
      <c r="B240" s="54" t="str">
        <f>VLOOKUP(A240,Registry!$A$4:$AA$241,2,FALSE)</f>
        <v>Mt Ascutney Mobile Home Park</v>
      </c>
      <c r="C240" s="192" t="str">
        <f>VLOOKUP(A240,Registry!$A$4:$AA$241,3,FALSE)</f>
        <v>Windsor</v>
      </c>
      <c r="D240" s="192" t="str">
        <f>VLOOKUP(A240,Registry!$A$4:$AA$241,4,FALSE)</f>
        <v>Windsor</v>
      </c>
      <c r="E240" s="192">
        <f>IF(VLOOKUP(A240,Registry!$A$4:$AA$241,7,FALSE)=0,"",VLOOKUP(A240,Registry!$A$4:$AA$241,7,FALSE))</f>
        <v>1957</v>
      </c>
      <c r="F240" s="192" t="str">
        <f>IF(VLOOKUP(A240,Registry!$A$4:$AA$241,20,FALSE)=0,"",VLOOKUP(A240,Registry!$A$4:$AA$241,20,FALSE))</f>
        <v>For profit</v>
      </c>
      <c r="G240" s="25">
        <v>2014</v>
      </c>
      <c r="H240" s="189">
        <f>VLOOKUP(A240,Registry!$A$4:$AA$241,21,FALSE)</f>
        <v>16</v>
      </c>
      <c r="I240" s="189">
        <f>VLOOKUP(A240,Registry!$A$4:$AA$241,24,FALSE)</f>
        <v>0</v>
      </c>
      <c r="J240" s="189">
        <f>VLOOKUP(A240,Registry!$A$4:$AA$241,26,FALSE)</f>
        <v>0</v>
      </c>
      <c r="K240" s="133">
        <v>1</v>
      </c>
      <c r="L240" s="133">
        <v>0</v>
      </c>
      <c r="M240" s="133">
        <v>0</v>
      </c>
      <c r="N240" s="133">
        <v>0</v>
      </c>
      <c r="O240" s="133">
        <v>0</v>
      </c>
      <c r="P240" s="134">
        <v>0</v>
      </c>
      <c r="Q240" s="135">
        <f>I240-Table4[[#This Row],[Park Owned6]]</f>
        <v>0</v>
      </c>
      <c r="R240" s="136">
        <f>J240-Table4[[#This Row],[Other Owned7]]</f>
        <v>0</v>
      </c>
      <c r="S240" s="194">
        <f>VLOOKUP($A240,Registry!$A$4:$AA$241,23,FALSE)</f>
        <v>6</v>
      </c>
      <c r="T240" s="63">
        <f t="shared" si="18"/>
        <v>0.375</v>
      </c>
      <c r="U240" s="26">
        <v>5</v>
      </c>
      <c r="V240" s="92">
        <v>0.3125</v>
      </c>
      <c r="W240" s="89">
        <v>5</v>
      </c>
      <c r="X240" s="92">
        <v>0.312</v>
      </c>
      <c r="Y240" s="89">
        <v>3</v>
      </c>
      <c r="Z240" s="124">
        <v>0.188</v>
      </c>
      <c r="AA240" s="37">
        <f>Table4[[#This Row],['# Lots]]-Table4[[#This Row],['# Lots10]]</f>
        <v>1</v>
      </c>
      <c r="AB240" s="127">
        <f t="shared" si="22"/>
        <v>6.25E-2</v>
      </c>
      <c r="AC240" s="38">
        <f>Table4[[#This Row],['# Lots]]-Table4[[#This Row],['# Lots14]]</f>
        <v>3</v>
      </c>
      <c r="AD240" s="127">
        <f t="shared" si="23"/>
        <v>0.1875</v>
      </c>
      <c r="AE240" s="199">
        <v>11</v>
      </c>
      <c r="AF240" s="26">
        <v>11</v>
      </c>
      <c r="AG240" s="59">
        <v>13</v>
      </c>
      <c r="AH240" s="122">
        <v>13</v>
      </c>
      <c r="AI240" s="134">
        <f>Table4[[#This Row],[2022 Leased Lots20]]-Table4[[#This Row],[2019 Leased Lots23]]</f>
        <v>-2</v>
      </c>
      <c r="AJ240" s="127">
        <f>AE240/H240</f>
        <v>0.6875</v>
      </c>
      <c r="AK240" s="201">
        <f>VLOOKUP($A240,Registry!$A$4:$AA$241,27,FALSE)</f>
        <v>390</v>
      </c>
      <c r="AL240" s="160">
        <v>367</v>
      </c>
      <c r="AM240" s="66">
        <v>367</v>
      </c>
      <c r="AN240" s="66">
        <v>367</v>
      </c>
      <c r="AO240" s="126">
        <f>IFERROR((AK240-Table4[[#This Row],[2019 Total Rent29]])/Table4[[#This Row],[2019 Total Rent29]], "-")</f>
        <v>6.2670299727520432E-2</v>
      </c>
    </row>
    <row r="241" spans="1:41" x14ac:dyDescent="0.25">
      <c r="A241" s="25">
        <v>143</v>
      </c>
      <c r="B241" s="54" t="str">
        <f>VLOOKUP(A241,Registry!$A$4:$AA$241,2,FALSE)</f>
        <v>Riverside Mobile Home Park</v>
      </c>
      <c r="C241" s="80" t="str">
        <f>VLOOKUP(A241,Registry!$A$4:$AA$241,3,FALSE)</f>
        <v>Windsor</v>
      </c>
      <c r="D241" s="80" t="str">
        <f>VLOOKUP(A241,Registry!$A$4:$AA$241,4,FALSE)</f>
        <v>Woodstock</v>
      </c>
      <c r="E241" s="80" t="str">
        <f>IF(VLOOKUP(A241,Registry!$A$4:$AA$241,7,FALSE)=0,"",VLOOKUP(A241,Registry!$A$4:$AA$241,7,FALSE))</f>
        <v/>
      </c>
      <c r="F241" s="80" t="str">
        <f>IF(VLOOKUP(A241,Registry!$A$4:$AA$241,20,FALSE)=0,"",VLOOKUP(A241,Registry!$A$4:$AA$241,20,FALSE))</f>
        <v>Non-profit</v>
      </c>
      <c r="G241" s="25">
        <v>1990</v>
      </c>
      <c r="H241" s="24">
        <f>VLOOKUP(A241,Registry!$A$4:$AA$241,21,FALSE)</f>
        <v>40</v>
      </c>
      <c r="I241" s="24">
        <f>VLOOKUP(A241,Registry!$A$4:$AA$241,24,FALSE)</f>
        <v>0</v>
      </c>
      <c r="J241" s="24">
        <f>VLOOKUP(A241,Registry!$A$4:$AA$241,26,FALSE)</f>
        <v>0</v>
      </c>
      <c r="K241" s="28">
        <v>0</v>
      </c>
      <c r="L241" s="28">
        <v>0</v>
      </c>
      <c r="M241" s="133">
        <v>0</v>
      </c>
      <c r="N241" s="133">
        <v>0</v>
      </c>
      <c r="O241" s="133">
        <v>0</v>
      </c>
      <c r="P241" s="134">
        <v>0</v>
      </c>
      <c r="Q241" s="203">
        <f>I241-Table4[[#This Row],[Park Owned6]]</f>
        <v>0</v>
      </c>
      <c r="R241" s="204">
        <f>J241-Table4[[#This Row],[Other Owned7]]</f>
        <v>0</v>
      </c>
      <c r="S241" s="205">
        <f>VLOOKUP($A241,Registry!$A$4:$AA$241,23,FALSE)</f>
        <v>4</v>
      </c>
      <c r="T241" s="206">
        <f t="shared" si="18"/>
        <v>0.1</v>
      </c>
      <c r="U241" s="26">
        <v>2</v>
      </c>
      <c r="V241" s="154">
        <v>0.05</v>
      </c>
      <c r="W241" s="36">
        <v>2</v>
      </c>
      <c r="X241" s="154">
        <v>0.05</v>
      </c>
      <c r="Y241" s="36">
        <v>1</v>
      </c>
      <c r="Z241" s="157">
        <v>2.5000000000000001E-2</v>
      </c>
      <c r="AA241" s="207">
        <f>Table4[[#This Row],['# Lots]]-Table4[[#This Row],['# Lots10]]</f>
        <v>2</v>
      </c>
      <c r="AB241" s="184">
        <f t="shared" si="22"/>
        <v>0.05</v>
      </c>
      <c r="AC241" s="208">
        <f>Table4[[#This Row],['# Lots]]-Table4[[#This Row],['# Lots14]]</f>
        <v>3</v>
      </c>
      <c r="AD241" s="184">
        <f t="shared" si="23"/>
        <v>7.4999999999999997E-2</v>
      </c>
      <c r="AE241" s="209">
        <v>38</v>
      </c>
      <c r="AF241" s="210">
        <v>38</v>
      </c>
      <c r="AG241" s="59">
        <v>39</v>
      </c>
      <c r="AH241" s="122">
        <v>38</v>
      </c>
      <c r="AI241" s="211">
        <f>Table4[[#This Row],[2022 Leased Lots20]]-Table4[[#This Row],[2019 Leased Lots23]]</f>
        <v>0</v>
      </c>
      <c r="AJ241" s="184">
        <f t="shared" si="21"/>
        <v>0.95</v>
      </c>
      <c r="AK241" s="212">
        <f>VLOOKUP($A241,Registry!$A$4:$AA$241,27,FALSE)</f>
        <v>461</v>
      </c>
      <c r="AL241" s="213">
        <v>461</v>
      </c>
      <c r="AM241" s="66">
        <v>448</v>
      </c>
      <c r="AN241" s="66">
        <v>436</v>
      </c>
      <c r="AO241" s="120">
        <f>IFERROR((AK241-Table4[[#This Row],[2019 Total Rent29]])/Table4[[#This Row],[2019 Total Rent29]], "-")</f>
        <v>5.7339449541284407E-2</v>
      </c>
    </row>
  </sheetData>
  <sortState xmlns:xlrd2="http://schemas.microsoft.com/office/spreadsheetml/2017/richdata2" ref="A4:G236">
    <sortCondition ref="A4:A236"/>
  </sortState>
  <mergeCells count="11">
    <mergeCell ref="S2:T2"/>
    <mergeCell ref="I2:J2"/>
    <mergeCell ref="K2:L2"/>
    <mergeCell ref="M2:N2"/>
    <mergeCell ref="O2:P2"/>
    <mergeCell ref="Q2:R2"/>
    <mergeCell ref="U2:V2"/>
    <mergeCell ref="W2:X2"/>
    <mergeCell ref="Y2:Z2"/>
    <mergeCell ref="AA2:AB2"/>
    <mergeCell ref="AC2:AD2"/>
  </mergeCells>
  <phoneticPr fontId="18" type="noConversion"/>
  <pageMargins left="0.75" right="0.75" top="1" bottom="1" header="0.5" footer="0.5"/>
  <pageSetup orientation="portrait" horizontalDpi="4294967292" verticalDpi="4294967292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5"/>
  <sheetViews>
    <sheetView workbookViewId="0"/>
  </sheetViews>
  <sheetFormatPr defaultColWidth="8.85546875" defaultRowHeight="15" x14ac:dyDescent="0.25"/>
  <cols>
    <col min="1" max="1" width="14" customWidth="1"/>
  </cols>
  <sheetData>
    <row r="1" spans="1:2" ht="18.75" x14ac:dyDescent="0.3">
      <c r="A1" s="1" t="s">
        <v>1678</v>
      </c>
    </row>
    <row r="2" spans="1:2" ht="18.75" x14ac:dyDescent="0.3">
      <c r="A2" s="1" t="s">
        <v>1677</v>
      </c>
    </row>
    <row r="5" spans="1:2" x14ac:dyDescent="0.25">
      <c r="A5" s="13" t="s">
        <v>1077</v>
      </c>
    </row>
    <row r="6" spans="1:2" x14ac:dyDescent="0.25">
      <c r="A6" t="s">
        <v>1078</v>
      </c>
    </row>
    <row r="8" spans="1:2" x14ac:dyDescent="0.25">
      <c r="A8" t="s">
        <v>1079</v>
      </c>
    </row>
    <row r="9" spans="1:2" x14ac:dyDescent="0.25">
      <c r="A9" t="s">
        <v>1080</v>
      </c>
    </row>
    <row r="11" spans="1:2" x14ac:dyDescent="0.25">
      <c r="A11" t="s">
        <v>1075</v>
      </c>
      <c r="B11" t="s">
        <v>1679</v>
      </c>
    </row>
    <row r="12" spans="1:2" x14ac:dyDescent="0.25">
      <c r="B12" t="s">
        <v>1323</v>
      </c>
    </row>
    <row r="13" spans="1:2" x14ac:dyDescent="0.25">
      <c r="B13" t="s">
        <v>1076</v>
      </c>
    </row>
    <row r="14" spans="1:2" x14ac:dyDescent="0.25">
      <c r="B14" t="s">
        <v>1854</v>
      </c>
    </row>
    <row r="15" spans="1:2" x14ac:dyDescent="0.25">
      <c r="B15" t="s">
        <v>1081</v>
      </c>
    </row>
  </sheetData>
  <pageMargins left="0.7" right="0.7" top="0.75" bottom="0.75" header="0.3" footer="0.3"/>
  <pageSetup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DFE98C7071274EA709CFED0A4CB478" ma:contentTypeVersion="5" ma:contentTypeDescription="Create a new document." ma:contentTypeScope="" ma:versionID="d8953f2d5bb962b9f4db39e7e33f8526">
  <xsd:schema xmlns:xsd="http://www.w3.org/2001/XMLSchema" xmlns:xs="http://www.w3.org/2001/XMLSchema" xmlns:p="http://schemas.microsoft.com/office/2006/metadata/properties" xmlns:ns2="b0572314-4400-4c30-b6be-af21dc0ec631" targetNamespace="http://schemas.microsoft.com/office/2006/metadata/properties" ma:root="true" ma:fieldsID="e29a946d0ecb6f3c61238108a54cb28b" ns2:_="">
    <xsd:import namespace="b0572314-4400-4c30-b6be-af21dc0ec6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572314-4400-4c30-b6be-af21dc0ec6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0572314-4400-4c30-b6be-af21dc0ec631">YSSN3WUNHHSM-535129369-6244</_dlc_DocId>
    <_dlc_DocIdUrl xmlns="b0572314-4400-4c30-b6be-af21dc0ec631">
      <Url>https://outside.vermont.gov/agency/ACCD/_layouts/15/DocIdRedir.aspx?ID=YSSN3WUNHHSM-535129369-6244</Url>
      <Description>YSSN3WUNHHSM-535129369-6244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E77BA72-C608-4584-A8DE-A046EEBE0A31}"/>
</file>

<file path=customXml/itemProps2.xml><?xml version="1.0" encoding="utf-8"?>
<ds:datastoreItem xmlns:ds="http://schemas.openxmlformats.org/officeDocument/2006/customXml" ds:itemID="{811C771A-D84F-4AA2-9B2B-45B4E1AD78B3}"/>
</file>

<file path=customXml/itemProps3.xml><?xml version="1.0" encoding="utf-8"?>
<ds:datastoreItem xmlns:ds="http://schemas.openxmlformats.org/officeDocument/2006/customXml" ds:itemID="{C8D9F460-D455-47F6-819E-2969D9EB2902}"/>
</file>

<file path=customXml/itemProps4.xml><?xml version="1.0" encoding="utf-8"?>
<ds:datastoreItem xmlns:ds="http://schemas.openxmlformats.org/officeDocument/2006/customXml" ds:itemID="{AB136D2C-8D5A-44E3-8F48-AECDF06CA2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Summary</vt:lpstr>
      <vt:lpstr>Registry</vt:lpstr>
      <vt:lpstr>Infrastructure</vt:lpstr>
      <vt:lpstr>Flood Hazards</vt:lpstr>
      <vt:lpstr>Vacancy &amp; Rent</vt:lpstr>
      <vt:lpstr>Credits &amp; Sources</vt:lpstr>
      <vt:lpstr>Registry!MHPRegistry2012</vt:lpstr>
      <vt:lpstr>'Flood Hazards'!Print_Area</vt:lpstr>
    </vt:vector>
  </TitlesOfParts>
  <Company>University of Vermont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Hamshaw</dc:creator>
  <cp:lastModifiedBy>Administrator</cp:lastModifiedBy>
  <cp:lastPrinted>2015-09-03T16:37:05Z</cp:lastPrinted>
  <dcterms:created xsi:type="dcterms:W3CDTF">2013-03-20T14:43:54Z</dcterms:created>
  <dcterms:modified xsi:type="dcterms:W3CDTF">2023-04-24T19:14:38Z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0x010100CCDFE98C7071274EA709CFED0A4CB478</vt:lpwstr>
  </property>
  <property fmtid="{D5CDD505-2E9C-101B-9397-08002B2CF9AE}" pid="3" name="_dlc_DocIdItemGuid">
    <vt:lpwstr>9f32bdbb-2f17-446c-9ef7-1bb033ba4ed0</vt:lpwstr>
  </property>
</Properties>
</file>