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style8.xml" ContentType="application/vnd.ms-office.chartstyle+xml"/>
  <Override PartName="/xl/charts/chart12.xml" ContentType="application/vnd.openxmlformats-officedocument.drawingml.chart+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style6.xml" ContentType="application/vnd.ms-office.chartstyle+xml"/>
  <Override PartName="/xl/charts/chart16.xml" ContentType="application/vnd.openxmlformats-officedocument.drawingml.chart+xml"/>
  <Override PartName="/xl/charts/colors7.xml" ContentType="application/vnd.ms-office.chartcolorstyle+xml"/>
  <Override PartName="/xl/charts/style7.xml" ContentType="application/vnd.ms-office.chartstyle+xml"/>
  <Override PartName="/xl/charts/chart15.xml" ContentType="application/vnd.openxmlformats-officedocument.drawingml.chart+xml"/>
  <Override PartName="/xl/charts/colors6.xml" ContentType="application/vnd.ms-office.chartcolorstyle+xml"/>
  <Override PartName="/xl/charts/chart6.xml" ContentType="application/vnd.openxmlformats-officedocument.drawingml.chart+xml"/>
  <Override PartName="/xl/charts/colors8.xml" ContentType="application/vnd.ms-office.chartcolorstyle+xml"/>
  <Override PartName="/xl/worksheets/sheet31.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charts/chart1.xml" ContentType="application/vnd.openxmlformats-officedocument.drawingml.chart+xml"/>
  <Override PartName="/xl/theme/theme1.xml" ContentType="application/vnd.openxmlformats-officedocument.theme+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xml" ContentType="application/vnd.openxmlformats-officedocument.drawing+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worksheets/sheet5.xml" ContentType="application/vnd.openxmlformats-officedocument.spreadsheetml.worksheet+xml"/>
  <Override PartName="/xl/charts/colors5.xml" ContentType="application/vnd.ms-office.chartcolorstyle+xml"/>
  <Override PartName="/xl/charts/style5.xml" ContentType="application/vnd.ms-office.chartstyle+xml"/>
  <Override PartName="/xl/worksheets/sheet13.xml" ContentType="application/vnd.openxmlformats-officedocument.spreadsheetml.worksheet+xml"/>
  <Override PartName="/xl/charts/colors2.xml" ContentType="application/vnd.ms-office.chartcolorstyle+xml"/>
  <Override PartName="/xl/charts/chart2.xml" ContentType="application/vnd.openxmlformats-officedocument.drawingml.chart+xml"/>
  <Override PartName="/xl/worksheets/sheet11.xml" ContentType="application/vnd.openxmlformats-officedocument.spreadsheetml.worksheet+xml"/>
  <Override PartName="/xl/charts/style1.xml" ContentType="application/vnd.ms-office.chartstyle+xml"/>
  <Override PartName="/xl/worksheets/sheet10.xml" ContentType="application/vnd.openxmlformats-officedocument.spreadsheetml.worksheet+xml"/>
  <Override PartName="/xl/worksheets/sheet9.xml" ContentType="application/vnd.openxmlformats-officedocument.spreadsheetml.worksheet+xml"/>
  <Override PartName="/xl/charts/style2.xml" ContentType="application/vnd.ms-office.chartstyl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harts/colors1.xml" ContentType="application/vnd.ms-office.chartcolorstyle+xml"/>
  <Override PartName="/xl/externalLinks/externalLink5.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defaultThemeVersion="124226"/>
  <mc:AlternateContent xmlns:mc="http://schemas.openxmlformats.org/markup-compatibility/2006">
    <mc:Choice Requires="x15">
      <x15ac:absPath xmlns:x15ac="http://schemas.microsoft.com/office/spreadsheetml/2010/11/ac" url="S:\ACCD\ACCD - VEPC\VEGI\Annual Reports\2017\"/>
    </mc:Choice>
  </mc:AlternateContent>
  <bookViews>
    <workbookView xWindow="0" yWindow="0" windowWidth="28800" windowHeight="15225" tabRatio="636" activeTab="25" xr2:uid="{00000000-000D-0000-FFFF-FFFF00000000}"/>
  </bookViews>
  <sheets>
    <sheet name="TABLE 1" sheetId="18" r:id="rId1"/>
    <sheet name="TABLE 2" sheetId="19" r:id="rId2"/>
    <sheet name="TABLE 3" sheetId="30" r:id="rId3"/>
    <sheet name="TABLE 4" sheetId="31" r:id="rId4"/>
    <sheet name="NA" sheetId="20" state="hidden" r:id="rId5"/>
    <sheet name="TABLE 5" sheetId="32" r:id="rId6"/>
    <sheet name="TABLE 6" sheetId="14" r:id="rId7"/>
    <sheet name="Charts 6-10" sheetId="33" r:id="rId8"/>
    <sheet name="DNU" sheetId="25" state="hidden" r:id="rId9"/>
    <sheet name="Charts 11-21" sheetId="22" r:id="rId10"/>
    <sheet name="5b. Job and Wage Analysis" sheetId="17" state="hidden" r:id="rId11"/>
    <sheet name="1. Summary" sheetId="15" state="hidden" r:id="rId12"/>
    <sheet name="1a. By Code" sheetId="16" state="hidden" r:id="rId13"/>
    <sheet name="2. Detailed Summary" sheetId="1" state="hidden" r:id="rId14"/>
    <sheet name="3. Distribution" sheetId="12" state="hidden" r:id="rId15"/>
    <sheet name="4. Jobs" sheetId="2" state="hidden" r:id="rId16"/>
    <sheet name="5. Payroll" sheetId="3" state="hidden" r:id="rId17"/>
    <sheet name="5a. Weighted Avg Wage" sheetId="8" state="hidden" r:id="rId18"/>
    <sheet name="6. Capex" sheetId="4" state="hidden" r:id="rId19"/>
    <sheet name="7. Cost-Benefit" sheetId="5" state="hidden" r:id="rId20"/>
    <sheet name="8. Incentives- Max" sheetId="6" state="hidden" r:id="rId21"/>
    <sheet name="9. Incentives- Est" sheetId="13" state="hidden" r:id="rId22"/>
    <sheet name="10. Misc" sheetId="10" state="hidden" r:id="rId23"/>
    <sheet name="11. Aggregate" sheetId="9" state="hidden" r:id="rId24"/>
    <sheet name="Incentives earned" sheetId="27" state="hidden" r:id="rId25"/>
    <sheet name="Footnotes" sheetId="21" r:id="rId26"/>
    <sheet name="Year 2007" sheetId="23" state="hidden" r:id="rId27"/>
    <sheet name="Year 2008" sheetId="24" state="hidden" r:id="rId28"/>
    <sheet name="Actuals Summary" sheetId="26" state="hidden" r:id="rId29"/>
    <sheet name="Perf Exp" sheetId="28" r:id="rId30"/>
    <sheet name="Actual Average Wage, etc" sheetId="29" state="hidden" r:id="rId31"/>
  </sheets>
  <externalReferences>
    <externalReference r:id="rId32"/>
    <externalReference r:id="rId33"/>
    <externalReference r:id="rId34"/>
    <externalReference r:id="rId35"/>
    <externalReference r:id="rId36"/>
  </externalReferences>
  <definedNames>
    <definedName name="_xlnm.Print_Area" localSheetId="11">'1. Summary'!$A$1:$I$76</definedName>
    <definedName name="_xlnm.Print_Area" localSheetId="22">'10. Misc'!$A$1:$AO$127</definedName>
    <definedName name="_xlnm.Print_Area" localSheetId="23">'11. Aggregate'!$A$1:$O$48</definedName>
    <definedName name="_xlnm.Print_Area" localSheetId="12">'1a. By Code'!$A$1:$S$77</definedName>
    <definedName name="_xlnm.Print_Area" localSheetId="13">'2. Detailed Summary'!$A$1:$U$234</definedName>
    <definedName name="_xlnm.Print_Area" localSheetId="14">'3. Distribution'!$A$1:$AV$83</definedName>
    <definedName name="_xlnm.Print_Area" localSheetId="15">'4. Jobs'!$A$1:$R$150</definedName>
    <definedName name="_xlnm.Print_Area" localSheetId="16">'5. Payroll'!$A$1:$S$142</definedName>
    <definedName name="_xlnm.Print_Area" localSheetId="17">'5a. Weighted Avg Wage'!$A$1:$E$227</definedName>
    <definedName name="_xlnm.Print_Area" localSheetId="10">'5b. Job and Wage Analysis'!$A$1:$Y$521</definedName>
    <definedName name="_xlnm.Print_Area" localSheetId="18">'6. Capex'!$A$1:$AE$139</definedName>
    <definedName name="_xlnm.Print_Area" localSheetId="19">'7. Cost-Benefit'!$A$1:$AM$161</definedName>
    <definedName name="_xlnm.Print_Area" localSheetId="20">'8. Incentives- Max'!$A$1:$Q$351</definedName>
    <definedName name="_xlnm.Print_Area" localSheetId="21">'9. Incentives- Est'!$A$1:$Q$389</definedName>
    <definedName name="_xlnm.Print_Area" localSheetId="30">'Actual Average Wage, etc'!$A$1:$L$42</definedName>
    <definedName name="_xlnm.Print_Area" localSheetId="9">'Charts 11-21'!$A$1:$O$284</definedName>
    <definedName name="_xlnm.Print_Area" localSheetId="7">'Charts 6-10'!$B$21:$I$85</definedName>
    <definedName name="_xlnm.Print_Area" localSheetId="8">DNU!$A$1:$R$162</definedName>
    <definedName name="_xlnm.Print_Area" localSheetId="25">Footnotes!$A$2:$B$19</definedName>
    <definedName name="_xlnm.Print_Area" localSheetId="4">NA!$A$1:$P$41</definedName>
    <definedName name="_xlnm.Print_Area" localSheetId="29">'Perf Exp'!$B$2:$L$14</definedName>
    <definedName name="_xlnm.Print_Area" localSheetId="0">'TABLE 1'!$A$1:$L$120</definedName>
    <definedName name="_xlnm.Print_Area" localSheetId="1">'TABLE 2'!#REF!</definedName>
    <definedName name="_xlnm.Print_Area" localSheetId="2">'TABLE 3'!$B$1:$H$32</definedName>
    <definedName name="_xlnm.Print_Area" localSheetId="3">'TABLE 4'!$B$1:$T$36</definedName>
    <definedName name="_xlnm.Print_Area" localSheetId="5">'TABLE 5'!$A$1:$AA$62</definedName>
    <definedName name="_xlnm.Print_Area" localSheetId="6">'TABLE 6'!$A$1:$M$85</definedName>
  </definedNames>
  <calcPr calcId="171027"/>
</workbook>
</file>

<file path=xl/calcChain.xml><?xml version="1.0" encoding="utf-8"?>
<calcChain xmlns="http://schemas.openxmlformats.org/spreadsheetml/2006/main">
  <c r="C28" i="14" l="1"/>
  <c r="B4" i="33" s="1"/>
  <c r="C4" i="33" s="1"/>
  <c r="D4" i="33" s="1"/>
  <c r="E4" i="33" s="1"/>
  <c r="F4" i="33" s="1"/>
  <c r="G4" i="33" s="1"/>
  <c r="H4" i="33" s="1"/>
  <c r="I4" i="33" s="1"/>
  <c r="J4" i="33" s="1"/>
  <c r="D28" i="14"/>
  <c r="E28" i="14"/>
  <c r="F28" i="14"/>
  <c r="G28" i="14"/>
  <c r="S6" i="28" l="1"/>
  <c r="S7" i="28"/>
  <c r="S8" i="28"/>
  <c r="Q6" i="28"/>
  <c r="Q7" i="28"/>
  <c r="Q8" i="28"/>
  <c r="S5" i="28"/>
  <c r="Q5" i="28"/>
  <c r="S9" i="28"/>
  <c r="Q9" i="28"/>
  <c r="O9" i="28"/>
  <c r="M9" i="28"/>
  <c r="O6" i="28"/>
  <c r="O7" i="28"/>
  <c r="O8" i="28"/>
  <c r="O5" i="28"/>
  <c r="S11" i="28" l="1"/>
  <c r="G36" i="31" l="1"/>
  <c r="E36" i="31"/>
  <c r="G35" i="31"/>
  <c r="G34" i="31" s="1"/>
  <c r="E35" i="31"/>
  <c r="G33" i="31"/>
  <c r="E33" i="31"/>
  <c r="G32" i="31"/>
  <c r="G29" i="31" s="1"/>
  <c r="E32" i="31"/>
  <c r="C16" i="19"/>
  <c r="C15" i="19"/>
  <c r="E29" i="31" l="1"/>
  <c r="E34" i="31"/>
  <c r="B185" i="22"/>
  <c r="P4" i="33" l="1"/>
  <c r="O4" i="33"/>
  <c r="N4" i="33"/>
  <c r="M4" i="33"/>
  <c r="L4" i="33"/>
  <c r="K4" i="33"/>
  <c r="Q11" i="28" l="1"/>
  <c r="B261" i="22"/>
  <c r="B266" i="22"/>
  <c r="B265" i="22"/>
  <c r="B264" i="22"/>
  <c r="B263" i="22"/>
  <c r="B262" i="22"/>
  <c r="B260" i="22"/>
  <c r="B259" i="22"/>
  <c r="B258" i="22"/>
  <c r="B257" i="22"/>
  <c r="B256" i="22"/>
  <c r="C240" i="22"/>
  <c r="C239" i="22"/>
  <c r="C238" i="22"/>
  <c r="C237" i="22"/>
  <c r="C236" i="22"/>
  <c r="C235" i="22"/>
  <c r="C234" i="22"/>
  <c r="C233" i="22"/>
  <c r="C232" i="22"/>
  <c r="C231" i="22"/>
  <c r="C230" i="22"/>
  <c r="B208" i="22"/>
  <c r="B207" i="22"/>
  <c r="B206" i="22"/>
  <c r="B205" i="22"/>
  <c r="B204" i="22"/>
  <c r="B203" i="22"/>
  <c r="B202" i="22"/>
  <c r="B201" i="22"/>
  <c r="B200" i="22"/>
  <c r="B199" i="22"/>
  <c r="B198" i="22"/>
  <c r="B177" i="22" l="1"/>
  <c r="B175" i="22"/>
  <c r="H61" i="33" l="1"/>
  <c r="B124" i="22" l="1"/>
  <c r="B123" i="22"/>
  <c r="B122" i="22"/>
  <c r="B121" i="22"/>
  <c r="B104" i="22"/>
  <c r="B103" i="22"/>
  <c r="B102" i="22"/>
  <c r="B101" i="22"/>
  <c r="B85" i="22"/>
  <c r="B84" i="22"/>
  <c r="B83" i="22"/>
  <c r="B82" i="22"/>
  <c r="B81" i="22"/>
  <c r="B80" i="22"/>
  <c r="B79" i="22"/>
  <c r="B78" i="22"/>
  <c r="C60" i="22"/>
  <c r="C59" i="22"/>
  <c r="C58" i="22"/>
  <c r="C57" i="22"/>
  <c r="B43" i="22"/>
  <c r="B42" i="22"/>
  <c r="B41" i="22"/>
  <c r="B40" i="22"/>
  <c r="B39" i="22"/>
  <c r="B38" i="22"/>
  <c r="B37" i="22"/>
  <c r="B36" i="22"/>
  <c r="B35" i="22"/>
  <c r="B34" i="22"/>
  <c r="B33" i="22"/>
  <c r="B32" i="22"/>
  <c r="B31" i="22"/>
  <c r="B16" i="22"/>
  <c r="B15" i="22"/>
  <c r="B14" i="22"/>
  <c r="B13" i="22"/>
  <c r="B12" i="22"/>
  <c r="B11" i="22"/>
  <c r="B10" i="22"/>
  <c r="B9" i="22"/>
  <c r="O3" i="33" l="1"/>
  <c r="N3" i="33"/>
  <c r="M3" i="33"/>
  <c r="L3" i="33"/>
  <c r="K3" i="33"/>
  <c r="N9" i="28"/>
  <c r="K20" i="14"/>
  <c r="J20" i="14"/>
  <c r="I20" i="14"/>
  <c r="H20" i="14"/>
  <c r="G20" i="14"/>
  <c r="F20" i="14"/>
  <c r="E20" i="14"/>
  <c r="D20" i="14"/>
  <c r="C20" i="14"/>
  <c r="B3" i="33" s="1"/>
  <c r="K19" i="14"/>
  <c r="M5" i="28" s="1"/>
  <c r="J19" i="14"/>
  <c r="I19" i="14"/>
  <c r="H19" i="14"/>
  <c r="G19" i="14"/>
  <c r="F19" i="14"/>
  <c r="E19" i="14"/>
  <c r="D19" i="14"/>
  <c r="C19" i="14"/>
  <c r="B17" i="33" s="1"/>
  <c r="C17" i="33" s="1"/>
  <c r="D17" i="33" s="1"/>
  <c r="E17" i="33" s="1"/>
  <c r="F17" i="33" s="1"/>
  <c r="G17" i="33" s="1"/>
  <c r="H17" i="33" s="1"/>
  <c r="I17" i="33" s="1"/>
  <c r="J17" i="33" s="1"/>
  <c r="K17" i="33" s="1"/>
  <c r="L17" i="33" s="1"/>
  <c r="M17" i="33" s="1"/>
  <c r="N17" i="33" s="1"/>
  <c r="O17" i="33" s="1"/>
  <c r="P17" i="33" s="1"/>
  <c r="K18" i="14"/>
  <c r="J18" i="14"/>
  <c r="I18" i="14"/>
  <c r="H18" i="14"/>
  <c r="G18" i="14"/>
  <c r="F18" i="14"/>
  <c r="E18" i="14"/>
  <c r="D18" i="14"/>
  <c r="C18" i="14"/>
  <c r="B10" i="33" s="1"/>
  <c r="K16" i="14"/>
  <c r="J16" i="14"/>
  <c r="I16" i="14"/>
  <c r="H16" i="14"/>
  <c r="G16" i="14"/>
  <c r="F16" i="14"/>
  <c r="E16" i="14"/>
  <c r="D16" i="14"/>
  <c r="C16" i="14"/>
  <c r="K15" i="14"/>
  <c r="M6" i="28" s="1"/>
  <c r="J15" i="14"/>
  <c r="I15" i="14"/>
  <c r="H15" i="14"/>
  <c r="G6" i="28" s="1"/>
  <c r="G15" i="14"/>
  <c r="F15" i="14"/>
  <c r="E15" i="14"/>
  <c r="D15" i="14"/>
  <c r="C15" i="14"/>
  <c r="B8" i="33" s="1"/>
  <c r="K27" i="14"/>
  <c r="N5" i="28" s="1"/>
  <c r="J27" i="14"/>
  <c r="I27" i="14"/>
  <c r="H27" i="14"/>
  <c r="G27" i="14"/>
  <c r="F27" i="14"/>
  <c r="E27" i="14"/>
  <c r="D27" i="14"/>
  <c r="C27" i="14"/>
  <c r="B18" i="33" s="1"/>
  <c r="C18" i="33" s="1"/>
  <c r="D18" i="33" s="1"/>
  <c r="E18" i="33" s="1"/>
  <c r="K26" i="14"/>
  <c r="N8" i="28" s="1"/>
  <c r="J26" i="14"/>
  <c r="I26" i="14"/>
  <c r="H26" i="14"/>
  <c r="G26" i="14"/>
  <c r="F26" i="14"/>
  <c r="E26" i="14"/>
  <c r="D26" i="14"/>
  <c r="C26" i="14"/>
  <c r="B13" i="33" s="1"/>
  <c r="K24" i="14"/>
  <c r="N7" i="28" s="1"/>
  <c r="J24" i="14"/>
  <c r="I24" i="14"/>
  <c r="H24" i="14"/>
  <c r="G24" i="14"/>
  <c r="F24" i="14"/>
  <c r="E24" i="14"/>
  <c r="D24" i="14"/>
  <c r="C24" i="14"/>
  <c r="B12" i="33" s="1"/>
  <c r="K23" i="14"/>
  <c r="J23" i="14"/>
  <c r="I23" i="14"/>
  <c r="H23" i="14"/>
  <c r="G23" i="14"/>
  <c r="F23" i="14"/>
  <c r="E23" i="14"/>
  <c r="D23" i="14"/>
  <c r="C23" i="14"/>
  <c r="B11" i="33" s="1"/>
  <c r="K12" i="14"/>
  <c r="J12" i="14"/>
  <c r="I12" i="14"/>
  <c r="H12" i="14"/>
  <c r="G12" i="14"/>
  <c r="F12" i="14"/>
  <c r="E12" i="14"/>
  <c r="D12" i="14"/>
  <c r="C12" i="14"/>
  <c r="K7" i="14"/>
  <c r="J7" i="14"/>
  <c r="I7" i="14"/>
  <c r="H7" i="14"/>
  <c r="G7" i="14"/>
  <c r="F7" i="14"/>
  <c r="E7" i="14"/>
  <c r="D7" i="14"/>
  <c r="C7" i="14"/>
  <c r="K5" i="14"/>
  <c r="J5" i="14"/>
  <c r="I5" i="14"/>
  <c r="H5" i="14"/>
  <c r="G5" i="14"/>
  <c r="F5" i="14"/>
  <c r="E5" i="14"/>
  <c r="D5" i="14"/>
  <c r="C5" i="14"/>
  <c r="E25" i="14" l="1"/>
  <c r="F18" i="33"/>
  <c r="G18" i="33" s="1"/>
  <c r="H18" i="33" s="1"/>
  <c r="I18" i="33" s="1"/>
  <c r="J18" i="33" s="1"/>
  <c r="E60" i="33" s="1"/>
  <c r="C11" i="33"/>
  <c r="D11" i="33" s="1"/>
  <c r="C3" i="33"/>
  <c r="D3" i="33" s="1"/>
  <c r="E3" i="33" s="1"/>
  <c r="F3" i="33" s="1"/>
  <c r="G3" i="33" s="1"/>
  <c r="H3" i="33" s="1"/>
  <c r="I3" i="33" s="1"/>
  <c r="J3" i="33" s="1"/>
  <c r="G61" i="33" s="1"/>
  <c r="C12" i="33"/>
  <c r="D12" i="33" s="1"/>
  <c r="E12" i="33" s="1"/>
  <c r="F12" i="33" s="1"/>
  <c r="G12" i="33" s="1"/>
  <c r="H12" i="33" s="1"/>
  <c r="I12" i="33" s="1"/>
  <c r="J12" i="33" s="1"/>
  <c r="H26" i="33" s="1"/>
  <c r="E11" i="33"/>
  <c r="F11" i="33" s="1"/>
  <c r="G11" i="33" s="1"/>
  <c r="H11" i="33" s="1"/>
  <c r="I11" i="33" s="1"/>
  <c r="J11" i="33" s="1"/>
  <c r="C13" i="33"/>
  <c r="D13" i="33" s="1"/>
  <c r="E13" i="33" s="1"/>
  <c r="F13" i="33" s="1"/>
  <c r="G13" i="33" s="1"/>
  <c r="H13" i="33" s="1"/>
  <c r="I13" i="33" s="1"/>
  <c r="J13" i="33" s="1"/>
  <c r="C10" i="33"/>
  <c r="D10" i="33" s="1"/>
  <c r="E10" i="33" s="1"/>
  <c r="F10" i="33" s="1"/>
  <c r="G10" i="33" s="1"/>
  <c r="H10" i="33" s="1"/>
  <c r="I10" i="33" s="1"/>
  <c r="J10" i="33" s="1"/>
  <c r="K10" i="33" s="1"/>
  <c r="L10" i="33" s="1"/>
  <c r="M10" i="33" s="1"/>
  <c r="N10" i="33" s="1"/>
  <c r="O10" i="33" s="1"/>
  <c r="P10" i="33" s="1"/>
  <c r="N6" i="28"/>
  <c r="I25" i="14"/>
  <c r="F25" i="14"/>
  <c r="J25" i="14"/>
  <c r="C25" i="14"/>
  <c r="G25" i="14"/>
  <c r="K25" i="14"/>
  <c r="D25" i="14"/>
  <c r="H25" i="14"/>
  <c r="F17" i="14"/>
  <c r="J17" i="14"/>
  <c r="B9" i="33"/>
  <c r="C17" i="14"/>
  <c r="G17" i="14"/>
  <c r="K17" i="14"/>
  <c r="D17" i="14"/>
  <c r="H17" i="14"/>
  <c r="E17" i="14"/>
  <c r="I17" i="14"/>
  <c r="C9" i="33"/>
  <c r="D9" i="33" s="1"/>
  <c r="E9" i="33" s="1"/>
  <c r="F9" i="33" s="1"/>
  <c r="G9" i="33" s="1"/>
  <c r="H9" i="33" s="1"/>
  <c r="I9" i="33" s="1"/>
  <c r="J9" i="33" s="1"/>
  <c r="C8" i="33"/>
  <c r="D8" i="33" s="1"/>
  <c r="E8" i="33" s="1"/>
  <c r="F8" i="33" s="1"/>
  <c r="G8" i="33" s="1"/>
  <c r="H8" i="33" s="1"/>
  <c r="I8" i="33" s="1"/>
  <c r="J8" i="33" s="1"/>
  <c r="K6" i="32"/>
  <c r="J6" i="32"/>
  <c r="I6" i="32"/>
  <c r="H6" i="32"/>
  <c r="G6" i="32"/>
  <c r="F6" i="32"/>
  <c r="E6" i="32"/>
  <c r="D6" i="32"/>
  <c r="E18" i="32"/>
  <c r="E17" i="32"/>
  <c r="E16" i="32"/>
  <c r="E15" i="32"/>
  <c r="E14" i="32"/>
  <c r="E13" i="32"/>
  <c r="E12" i="32"/>
  <c r="E11" i="32"/>
  <c r="E10" i="32"/>
  <c r="C18" i="32"/>
  <c r="C17" i="32"/>
  <c r="C16" i="32"/>
  <c r="C15" i="32"/>
  <c r="C14" i="32"/>
  <c r="C13" i="32"/>
  <c r="C12" i="32"/>
  <c r="C11" i="32"/>
  <c r="C10" i="32"/>
  <c r="G18" i="32"/>
  <c r="G17" i="32"/>
  <c r="G16" i="32"/>
  <c r="G14" i="32"/>
  <c r="G13" i="32"/>
  <c r="G12" i="32"/>
  <c r="G11" i="32"/>
  <c r="G10" i="32"/>
  <c r="J27" i="31"/>
  <c r="J26" i="31"/>
  <c r="I25" i="31"/>
  <c r="J24" i="31"/>
  <c r="J23" i="31"/>
  <c r="J22" i="31"/>
  <c r="I21" i="31"/>
  <c r="J20" i="31"/>
  <c r="J19" i="31"/>
  <c r="I18" i="31"/>
  <c r="I15" i="31"/>
  <c r="I14" i="31"/>
  <c r="I13" i="31"/>
  <c r="I12" i="31"/>
  <c r="I9" i="31"/>
  <c r="I8" i="31"/>
  <c r="I7" i="31"/>
  <c r="I6" i="31"/>
  <c r="G21" i="31"/>
  <c r="G20" i="31"/>
  <c r="G19" i="31"/>
  <c r="G18" i="31"/>
  <c r="G17" i="31"/>
  <c r="G16" i="31"/>
  <c r="G13" i="31"/>
  <c r="G12" i="31"/>
  <c r="G11" i="31"/>
  <c r="G10" i="31"/>
  <c r="G9" i="31"/>
  <c r="F21" i="31"/>
  <c r="F20" i="31"/>
  <c r="F19" i="31"/>
  <c r="F18" i="31"/>
  <c r="F17" i="31"/>
  <c r="F16" i="31"/>
  <c r="F13" i="31"/>
  <c r="F12" i="31"/>
  <c r="F11" i="31"/>
  <c r="F10" i="31"/>
  <c r="F9" i="31"/>
  <c r="E21" i="31"/>
  <c r="E20" i="31"/>
  <c r="E19" i="31"/>
  <c r="E18" i="31"/>
  <c r="E17" i="31"/>
  <c r="E16" i="31"/>
  <c r="E13" i="31"/>
  <c r="E12" i="31"/>
  <c r="E11" i="31"/>
  <c r="E10" i="31"/>
  <c r="E9" i="31"/>
  <c r="G59" i="30"/>
  <c r="G60" i="30" s="1"/>
  <c r="G58" i="30"/>
  <c r="G57" i="30"/>
  <c r="G54" i="30"/>
  <c r="G55" i="30" s="1"/>
  <c r="G53" i="30"/>
  <c r="G52" i="30"/>
  <c r="G49" i="30"/>
  <c r="G50" i="30" s="1"/>
  <c r="G48" i="30"/>
  <c r="G47" i="30"/>
  <c r="G44" i="30"/>
  <c r="G45" i="30" s="1"/>
  <c r="G43" i="30"/>
  <c r="G42" i="30"/>
  <c r="G39" i="30"/>
  <c r="G40" i="30" s="1"/>
  <c r="G38" i="30"/>
  <c r="G37" i="30"/>
  <c r="G34" i="30"/>
  <c r="G35" i="30" s="1"/>
  <c r="G33" i="30"/>
  <c r="G32" i="30"/>
  <c r="G29" i="30"/>
  <c r="G30" i="30" s="1"/>
  <c r="G28" i="30"/>
  <c r="G27" i="30"/>
  <c r="G24" i="30"/>
  <c r="G25" i="30" s="1"/>
  <c r="G23" i="30"/>
  <c r="G22" i="30"/>
  <c r="G19" i="30"/>
  <c r="G20" i="30" s="1"/>
  <c r="G18" i="30"/>
  <c r="G17" i="30"/>
  <c r="G14" i="30"/>
  <c r="G15" i="30" s="1"/>
  <c r="G13" i="30"/>
  <c r="G12" i="30"/>
  <c r="G9" i="30"/>
  <c r="G10" i="30" s="1"/>
  <c r="G8" i="30"/>
  <c r="G7" i="30"/>
  <c r="C59" i="30"/>
  <c r="C60" i="30" s="1"/>
  <c r="C58" i="30"/>
  <c r="C57" i="30"/>
  <c r="C54" i="30"/>
  <c r="C53" i="30"/>
  <c r="C52" i="30"/>
  <c r="C49" i="30"/>
  <c r="C50" i="30" s="1"/>
  <c r="C48" i="30"/>
  <c r="C47" i="30"/>
  <c r="C44" i="30"/>
  <c r="C45" i="30" s="1"/>
  <c r="C43" i="30"/>
  <c r="C42" i="30"/>
  <c r="C39" i="30"/>
  <c r="C38" i="30"/>
  <c r="C37" i="30"/>
  <c r="C34" i="30"/>
  <c r="C35" i="30" s="1"/>
  <c r="C33" i="30"/>
  <c r="C32" i="30"/>
  <c r="C29" i="30"/>
  <c r="C30" i="30" s="1"/>
  <c r="C28" i="30"/>
  <c r="C27" i="30"/>
  <c r="C24" i="30"/>
  <c r="C25" i="30" s="1"/>
  <c r="C23" i="30"/>
  <c r="C22" i="30"/>
  <c r="C19" i="30"/>
  <c r="C20" i="30" s="1"/>
  <c r="C18" i="30"/>
  <c r="C17" i="30"/>
  <c r="C55" i="30"/>
  <c r="C40" i="30"/>
  <c r="C14" i="30"/>
  <c r="C15" i="30" s="1"/>
  <c r="C13" i="30"/>
  <c r="C12" i="30"/>
  <c r="C9" i="30"/>
  <c r="C10" i="30" s="1"/>
  <c r="C8" i="30"/>
  <c r="C7" i="30"/>
  <c r="F29" i="19"/>
  <c r="F28" i="19"/>
  <c r="F27" i="19"/>
  <c r="F25" i="19"/>
  <c r="F24" i="19"/>
  <c r="F23" i="19"/>
  <c r="F22" i="19"/>
  <c r="F21" i="19"/>
  <c r="F20" i="19"/>
  <c r="F19" i="19"/>
  <c r="F17" i="19"/>
  <c r="F16" i="19"/>
  <c r="F15" i="19"/>
  <c r="F14" i="19"/>
  <c r="F13" i="19"/>
  <c r="C24" i="19"/>
  <c r="C23" i="19"/>
  <c r="C20" i="19"/>
  <c r="C19" i="19"/>
  <c r="C14" i="19"/>
  <c r="C13" i="19"/>
  <c r="F11" i="19"/>
  <c r="F10" i="19"/>
  <c r="F9" i="19"/>
  <c r="E11" i="19"/>
  <c r="E10" i="19"/>
  <c r="E9" i="19"/>
  <c r="D11" i="19"/>
  <c r="D10" i="19"/>
  <c r="D9" i="19"/>
  <c r="C11" i="19"/>
  <c r="C10" i="19"/>
  <c r="C9" i="19"/>
  <c r="F6" i="19"/>
  <c r="E6" i="19"/>
  <c r="D6" i="19"/>
  <c r="C6" i="19"/>
  <c r="F45" i="33" l="1"/>
  <c r="G44" i="33"/>
  <c r="N14" i="28"/>
  <c r="N11" i="28"/>
  <c r="L25" i="14"/>
  <c r="L17" i="14"/>
  <c r="K8" i="33"/>
  <c r="L8" i="33" s="1"/>
  <c r="M8" i="33" s="1"/>
  <c r="N8" i="33" s="1"/>
  <c r="O8" i="33" s="1"/>
  <c r="P8" i="33" s="1"/>
  <c r="C26" i="33"/>
  <c r="L28" i="14"/>
  <c r="L27" i="14"/>
  <c r="L26" i="14"/>
  <c r="L24" i="14"/>
  <c r="L20" i="14" l="1"/>
  <c r="L16" i="14"/>
  <c r="L19" i="14" l="1"/>
  <c r="L18" i="14"/>
  <c r="L15" i="14"/>
  <c r="C6" i="32" l="1"/>
  <c r="K7" i="32" s="1"/>
  <c r="G22" i="31"/>
  <c r="F22" i="31"/>
  <c r="E22" i="31"/>
  <c r="D21" i="31"/>
  <c r="D20" i="31"/>
  <c r="H7" i="32" l="1"/>
  <c r="D7" i="32"/>
  <c r="E7" i="32"/>
  <c r="I7" i="32"/>
  <c r="F7" i="32"/>
  <c r="J7" i="32"/>
  <c r="G7" i="32"/>
  <c r="D60" i="30"/>
  <c r="H60" i="30"/>
  <c r="D59" i="30"/>
  <c r="D58" i="30"/>
  <c r="H57" i="30"/>
  <c r="D57" i="30"/>
  <c r="H59" i="30" l="1"/>
  <c r="H58" i="30"/>
  <c r="M8" i="28" l="1"/>
  <c r="M7" i="28"/>
  <c r="L9" i="28" l="1"/>
  <c r="I25" i="33"/>
  <c r="E45" i="33" l="1"/>
  <c r="K9" i="33"/>
  <c r="L9" i="33" s="1"/>
  <c r="M9" i="33" s="1"/>
  <c r="N9" i="33" s="1"/>
  <c r="P9" i="33" s="1"/>
  <c r="G26" i="33"/>
  <c r="K6" i="28"/>
  <c r="L5" i="28" l="1"/>
  <c r="L8" i="28"/>
  <c r="L7" i="28"/>
  <c r="L6" i="28"/>
  <c r="J11" i="14"/>
  <c r="I11" i="14"/>
  <c r="H11" i="14"/>
  <c r="G11" i="14"/>
  <c r="F11" i="14"/>
  <c r="E11" i="14"/>
  <c r="D11" i="14"/>
  <c r="C11" i="14"/>
  <c r="J10" i="14"/>
  <c r="I10" i="14"/>
  <c r="H10" i="14"/>
  <c r="G10" i="14"/>
  <c r="F10" i="14"/>
  <c r="E10" i="14"/>
  <c r="D10" i="14"/>
  <c r="C10" i="14"/>
  <c r="J9" i="14"/>
  <c r="I9" i="14"/>
  <c r="H9" i="14"/>
  <c r="G9" i="14"/>
  <c r="F9" i="14"/>
  <c r="E9" i="14"/>
  <c r="D9" i="14"/>
  <c r="C9" i="14"/>
  <c r="J8" i="14"/>
  <c r="I8" i="14"/>
  <c r="H8" i="14"/>
  <c r="G8" i="14"/>
  <c r="F8" i="14"/>
  <c r="E8" i="14"/>
  <c r="D8" i="14"/>
  <c r="C8" i="14"/>
  <c r="J6" i="14"/>
  <c r="I6" i="14"/>
  <c r="H6" i="14"/>
  <c r="G6" i="14"/>
  <c r="F6" i="14"/>
  <c r="E6" i="14"/>
  <c r="D6" i="14"/>
  <c r="C6" i="14"/>
  <c r="L23" i="14" l="1"/>
  <c r="L11" i="28"/>
  <c r="L14" i="28"/>
  <c r="K9" i="28"/>
  <c r="K5" i="28"/>
  <c r="K8" i="28"/>
  <c r="K7" i="28"/>
  <c r="O11" i="28" l="1"/>
  <c r="B86" i="22" l="1"/>
  <c r="C61" i="33" l="1"/>
  <c r="D61" i="33"/>
  <c r="Q18" i="33" l="1"/>
  <c r="J19" i="33"/>
  <c r="Q17" i="33" l="1"/>
  <c r="H55" i="30" l="1"/>
  <c r="D55" i="30"/>
  <c r="H54" i="30"/>
  <c r="D54" i="30"/>
  <c r="H53" i="30"/>
  <c r="D53" i="30"/>
  <c r="H52" i="30"/>
  <c r="D52" i="30"/>
  <c r="H50" i="30"/>
  <c r="D50" i="30"/>
  <c r="H49" i="30"/>
  <c r="D49" i="30"/>
  <c r="H48" i="30"/>
  <c r="D48" i="30"/>
  <c r="H47" i="30"/>
  <c r="D47" i="30"/>
  <c r="H45" i="30"/>
  <c r="D45" i="30"/>
  <c r="H44" i="30"/>
  <c r="D44" i="30"/>
  <c r="H43" i="30"/>
  <c r="D43" i="30"/>
  <c r="H42" i="30"/>
  <c r="D42" i="30"/>
  <c r="H40" i="30"/>
  <c r="D40" i="30"/>
  <c r="H39" i="30"/>
  <c r="D39" i="30"/>
  <c r="H38" i="30"/>
  <c r="D38" i="30"/>
  <c r="H37" i="30"/>
  <c r="D37" i="30"/>
  <c r="H35" i="30"/>
  <c r="D35" i="30"/>
  <c r="H34" i="30"/>
  <c r="D34" i="30"/>
  <c r="H33" i="30"/>
  <c r="D33" i="30"/>
  <c r="H32" i="30"/>
  <c r="D32" i="30"/>
  <c r="H30" i="30"/>
  <c r="D30" i="30"/>
  <c r="H29" i="30"/>
  <c r="D29" i="30"/>
  <c r="H28" i="30"/>
  <c r="D28" i="30"/>
  <c r="H27" i="30"/>
  <c r="D27" i="30"/>
  <c r="H25" i="30"/>
  <c r="H75" i="30" s="1"/>
  <c r="D25" i="30"/>
  <c r="H24" i="30"/>
  <c r="D24" i="30"/>
  <c r="H23" i="30"/>
  <c r="H74" i="30" s="1"/>
  <c r="D23" i="30"/>
  <c r="H22" i="30"/>
  <c r="D22" i="30"/>
  <c r="H20" i="30"/>
  <c r="D20" i="30"/>
  <c r="H19" i="30"/>
  <c r="D19" i="30"/>
  <c r="H18" i="30"/>
  <c r="D18" i="30"/>
  <c r="H17" i="30"/>
  <c r="D17" i="30"/>
  <c r="H15" i="30"/>
  <c r="D15" i="30"/>
  <c r="H14" i="30"/>
  <c r="D14" i="30"/>
  <c r="H13" i="30"/>
  <c r="D13" i="30"/>
  <c r="H12" i="30"/>
  <c r="D12" i="30"/>
  <c r="H10" i="30"/>
  <c r="H73" i="30" s="1"/>
  <c r="D10" i="30"/>
  <c r="H9" i="30"/>
  <c r="D9" i="30"/>
  <c r="H8" i="30"/>
  <c r="H72" i="30" s="1"/>
  <c r="D8" i="30"/>
  <c r="D72" i="30" s="1"/>
  <c r="H7" i="30"/>
  <c r="D7" i="30"/>
  <c r="D16" i="31"/>
  <c r="D17" i="31"/>
  <c r="D18" i="31"/>
  <c r="D19" i="31"/>
  <c r="E14" i="31"/>
  <c r="E24" i="31" s="1"/>
  <c r="F14" i="31"/>
  <c r="F24" i="31" s="1"/>
  <c r="G14" i="31"/>
  <c r="G24" i="31" s="1"/>
  <c r="D9" i="31"/>
  <c r="D10" i="31"/>
  <c r="D11" i="31"/>
  <c r="D12" i="31"/>
  <c r="D13" i="31"/>
  <c r="F8" i="19"/>
  <c r="F7" i="19"/>
  <c r="C25" i="19"/>
  <c r="C21" i="19"/>
  <c r="E8" i="19"/>
  <c r="D8" i="19"/>
  <c r="C8" i="19"/>
  <c r="E7" i="19"/>
  <c r="D7" i="19"/>
  <c r="C19" i="33"/>
  <c r="M45" i="33"/>
  <c r="M29" i="33"/>
  <c r="D19" i="33"/>
  <c r="E19" i="33"/>
  <c r="C7" i="32"/>
  <c r="F19" i="33"/>
  <c r="C5" i="28" s="1"/>
  <c r="G19" i="33"/>
  <c r="E5" i="28" s="1"/>
  <c r="M11" i="28"/>
  <c r="H19" i="33"/>
  <c r="G5" i="28" s="1"/>
  <c r="I19" i="33"/>
  <c r="I5" i="28" s="1"/>
  <c r="J9" i="28"/>
  <c r="K11" i="28"/>
  <c r="B152" i="22"/>
  <c r="B150" i="22"/>
  <c r="I9" i="28"/>
  <c r="I8" i="28"/>
  <c r="I7" i="28"/>
  <c r="I6" i="28"/>
  <c r="J5" i="28"/>
  <c r="J8" i="28"/>
  <c r="J7" i="28"/>
  <c r="J6" i="28"/>
  <c r="J14" i="28" s="1"/>
  <c r="I10" i="31"/>
  <c r="I16" i="31"/>
  <c r="F9" i="28"/>
  <c r="D9" i="28"/>
  <c r="V24" i="25"/>
  <c r="V23" i="25"/>
  <c r="V22" i="25"/>
  <c r="W11" i="25"/>
  <c r="T24" i="25"/>
  <c r="T23" i="25"/>
  <c r="T21" i="25"/>
  <c r="T14" i="25"/>
  <c r="T13" i="25"/>
  <c r="T10" i="25"/>
  <c r="T9" i="25"/>
  <c r="C9" i="28"/>
  <c r="E9" i="28"/>
  <c r="G9" i="28"/>
  <c r="H9" i="28"/>
  <c r="T19" i="25"/>
  <c r="U18" i="25"/>
  <c r="T18" i="25"/>
  <c r="U17" i="25"/>
  <c r="T17" i="25"/>
  <c r="V16" i="25"/>
  <c r="U16" i="25"/>
  <c r="T16" i="25"/>
  <c r="B209" i="22"/>
  <c r="C203" i="22" s="1"/>
  <c r="X14" i="25"/>
  <c r="W14" i="25"/>
  <c r="V14" i="25"/>
  <c r="H5" i="28"/>
  <c r="F5" i="28"/>
  <c r="D23" i="20"/>
  <c r="H8" i="28"/>
  <c r="F8" i="28"/>
  <c r="H7" i="28"/>
  <c r="F7" i="28"/>
  <c r="D7" i="28"/>
  <c r="H6" i="28"/>
  <c r="F6" i="28"/>
  <c r="C23" i="20"/>
  <c r="B31" i="20"/>
  <c r="C30" i="20"/>
  <c r="C29" i="20"/>
  <c r="G8" i="28"/>
  <c r="E8" i="28"/>
  <c r="C8" i="28"/>
  <c r="C7" i="28"/>
  <c r="E7" i="28"/>
  <c r="G7" i="28"/>
  <c r="E6" i="28"/>
  <c r="C6" i="28"/>
  <c r="H32" i="29"/>
  <c r="H31" i="29"/>
  <c r="H30" i="29"/>
  <c r="H28" i="29"/>
  <c r="H27" i="29"/>
  <c r="H26" i="29"/>
  <c r="H25" i="29"/>
  <c r="H24" i="29"/>
  <c r="H23" i="29"/>
  <c r="H22" i="29"/>
  <c r="H21" i="29"/>
  <c r="H20" i="29"/>
  <c r="H19" i="29"/>
  <c r="H18" i="29"/>
  <c r="H17" i="29"/>
  <c r="H16" i="29"/>
  <c r="H15" i="29"/>
  <c r="H14" i="29"/>
  <c r="H13" i="29"/>
  <c r="H12" i="29"/>
  <c r="H11" i="29"/>
  <c r="H10" i="29"/>
  <c r="H9" i="29"/>
  <c r="H8" i="29"/>
  <c r="H7" i="29"/>
  <c r="H6" i="29"/>
  <c r="H5" i="29"/>
  <c r="H4" i="29"/>
  <c r="H3" i="29"/>
  <c r="H2" i="29"/>
  <c r="G41" i="29"/>
  <c r="F41" i="29"/>
  <c r="L41" i="29"/>
  <c r="K41" i="29"/>
  <c r="J41" i="29"/>
  <c r="H41" i="29"/>
  <c r="F14" i="28"/>
  <c r="B183" i="22"/>
  <c r="B158" i="22"/>
  <c r="C149" i="22"/>
  <c r="T8" i="25"/>
  <c r="T11" i="25"/>
  <c r="E41" i="29"/>
  <c r="D41" i="29"/>
  <c r="C41" i="29"/>
  <c r="B41" i="29"/>
  <c r="G42" i="29"/>
  <c r="V21" i="25"/>
  <c r="T22" i="25"/>
  <c r="F36" i="20"/>
  <c r="J5" i="20"/>
  <c r="P11" i="20"/>
  <c r="P20" i="20"/>
  <c r="N9" i="20"/>
  <c r="K5" i="20"/>
  <c r="P19" i="20"/>
  <c r="P8" i="20"/>
  <c r="O9" i="20"/>
  <c r="O11" i="20"/>
  <c r="K7" i="20"/>
  <c r="C241" i="22"/>
  <c r="B232" i="22" s="1"/>
  <c r="B125" i="22"/>
  <c r="C124" i="22" s="1"/>
  <c r="B105" i="22"/>
  <c r="C104" i="22" s="1"/>
  <c r="C81" i="22"/>
  <c r="A255" i="22"/>
  <c r="A261" i="22"/>
  <c r="B146" i="2"/>
  <c r="B144" i="2"/>
  <c r="H135" i="2"/>
  <c r="G42" i="2"/>
  <c r="AC15" i="24"/>
  <c r="F17" i="27"/>
  <c r="H17" i="27"/>
  <c r="I17" i="27"/>
  <c r="F16" i="27"/>
  <c r="H16" i="27"/>
  <c r="I16" i="27"/>
  <c r="C16" i="27"/>
  <c r="C17" i="27"/>
  <c r="C12" i="27"/>
  <c r="E12" i="27"/>
  <c r="F12" i="27"/>
  <c r="F11" i="27"/>
  <c r="F10" i="27"/>
  <c r="E7" i="27"/>
  <c r="D7" i="27"/>
  <c r="E6" i="27"/>
  <c r="D6" i="27"/>
  <c r="F5" i="27"/>
  <c r="C7" i="27"/>
  <c r="C6" i="27"/>
  <c r="C5" i="27"/>
  <c r="E216" i="6"/>
  <c r="U11" i="24"/>
  <c r="X11" i="24"/>
  <c r="T11" i="23"/>
  <c r="M80" i="26"/>
  <c r="L80" i="26"/>
  <c r="K80" i="26"/>
  <c r="J80" i="26"/>
  <c r="I80" i="26"/>
  <c r="H80" i="26"/>
  <c r="G80" i="26"/>
  <c r="M75" i="26"/>
  <c r="L75" i="26"/>
  <c r="K75" i="26"/>
  <c r="J75" i="26"/>
  <c r="I75" i="26"/>
  <c r="H75" i="26"/>
  <c r="G75" i="26"/>
  <c r="M68" i="26"/>
  <c r="L68" i="26"/>
  <c r="K68" i="26"/>
  <c r="J68" i="26"/>
  <c r="I68" i="26"/>
  <c r="H68" i="26"/>
  <c r="G68" i="26"/>
  <c r="K66" i="26"/>
  <c r="N61" i="26"/>
  <c r="O60" i="26"/>
  <c r="N60" i="26"/>
  <c r="N58" i="26"/>
  <c r="N57" i="26"/>
  <c r="N55" i="26"/>
  <c r="N54" i="26"/>
  <c r="N49" i="26"/>
  <c r="L46" i="26"/>
  <c r="L51" i="26"/>
  <c r="G6" i="27"/>
  <c r="G12" i="27"/>
  <c r="M43" i="26"/>
  <c r="L43" i="26"/>
  <c r="K43" i="26"/>
  <c r="J43" i="26"/>
  <c r="I43" i="26"/>
  <c r="H43" i="26"/>
  <c r="G43" i="26"/>
  <c r="M33" i="26"/>
  <c r="L33" i="26"/>
  <c r="K33" i="26"/>
  <c r="J33" i="26"/>
  <c r="I33" i="26"/>
  <c r="H33" i="26"/>
  <c r="G33" i="26"/>
  <c r="M32" i="26"/>
  <c r="L32" i="26"/>
  <c r="K32" i="26"/>
  <c r="J32" i="26"/>
  <c r="I32" i="26"/>
  <c r="H32" i="26"/>
  <c r="G32" i="26"/>
  <c r="L34" i="26"/>
  <c r="K34" i="26"/>
  <c r="J34" i="26"/>
  <c r="I34" i="26"/>
  <c r="H34" i="26"/>
  <c r="P29" i="26"/>
  <c r="O29" i="26"/>
  <c r="P28" i="26"/>
  <c r="O28" i="26"/>
  <c r="M25" i="26"/>
  <c r="M34" i="26"/>
  <c r="M23" i="26"/>
  <c r="M24" i="26"/>
  <c r="L23" i="26"/>
  <c r="L24" i="26"/>
  <c r="K23" i="26"/>
  <c r="K24" i="26"/>
  <c r="J23" i="26"/>
  <c r="J24" i="26"/>
  <c r="I23" i="26"/>
  <c r="I24" i="26"/>
  <c r="H23" i="26"/>
  <c r="H24" i="26"/>
  <c r="G23" i="26"/>
  <c r="G24" i="26"/>
  <c r="P22" i="26"/>
  <c r="O22" i="26"/>
  <c r="C22" i="26"/>
  <c r="P21" i="26"/>
  <c r="O21" i="26"/>
  <c r="C21" i="26"/>
  <c r="D10" i="26"/>
  <c r="D9" i="26"/>
  <c r="G8" i="26"/>
  <c r="D8" i="26"/>
  <c r="G7" i="26"/>
  <c r="D7" i="26"/>
  <c r="G6" i="26"/>
  <c r="D6" i="26"/>
  <c r="G5" i="26"/>
  <c r="D5" i="26"/>
  <c r="L11" i="23"/>
  <c r="O11" i="23"/>
  <c r="Z138" i="4"/>
  <c r="W137" i="4"/>
  <c r="M136" i="3"/>
  <c r="L136" i="3"/>
  <c r="K136" i="3"/>
  <c r="J136" i="3"/>
  <c r="I136" i="3"/>
  <c r="H136" i="3"/>
  <c r="G136" i="3"/>
  <c r="M135" i="3"/>
  <c r="L135" i="3"/>
  <c r="K135" i="3"/>
  <c r="J135" i="3"/>
  <c r="I135" i="3"/>
  <c r="H135" i="3"/>
  <c r="G135" i="3"/>
  <c r="F135" i="3"/>
  <c r="O136" i="2"/>
  <c r="N136" i="2"/>
  <c r="M136" i="2"/>
  <c r="L136" i="2"/>
  <c r="K136" i="2"/>
  <c r="J136" i="2"/>
  <c r="I136" i="2"/>
  <c r="O135" i="2"/>
  <c r="N135" i="2"/>
  <c r="M135" i="2"/>
  <c r="L135" i="2"/>
  <c r="K135" i="2"/>
  <c r="J135" i="2"/>
  <c r="I135" i="2"/>
  <c r="AK24" i="24"/>
  <c r="AF17" i="24"/>
  <c r="AB17" i="24"/>
  <c r="AA17" i="24"/>
  <c r="AC17" i="24"/>
  <c r="Q17" i="24"/>
  <c r="P17" i="24"/>
  <c r="O17" i="24"/>
  <c r="N17" i="24"/>
  <c r="M17" i="24"/>
  <c r="H17" i="24"/>
  <c r="F17" i="24"/>
  <c r="E17" i="24"/>
  <c r="D17" i="24"/>
  <c r="L16" i="24"/>
  <c r="S15" i="24"/>
  <c r="G15" i="24"/>
  <c r="K15" i="24"/>
  <c r="AC14" i="24"/>
  <c r="S14" i="24"/>
  <c r="R14" i="24"/>
  <c r="G14" i="24"/>
  <c r="K14" i="24"/>
  <c r="AJ14" i="24"/>
  <c r="AC13" i="24"/>
  <c r="S13" i="24"/>
  <c r="R13" i="24"/>
  <c r="K13" i="24"/>
  <c r="AC12" i="24"/>
  <c r="S12" i="24"/>
  <c r="R12" i="24"/>
  <c r="K12" i="24"/>
  <c r="AH10" i="24"/>
  <c r="AH24" i="24"/>
  <c r="AG10" i="24"/>
  <c r="AG24" i="24"/>
  <c r="AF10" i="24"/>
  <c r="AB10" i="24"/>
  <c r="AA10" i="24"/>
  <c r="X10" i="24"/>
  <c r="X24" i="24"/>
  <c r="W10" i="24"/>
  <c r="W24" i="24"/>
  <c r="V10" i="24"/>
  <c r="V24" i="24"/>
  <c r="U10" i="24"/>
  <c r="U24" i="24"/>
  <c r="T10" i="24"/>
  <c r="T24" i="24"/>
  <c r="Q10" i="24"/>
  <c r="P10" i="24"/>
  <c r="O10" i="24"/>
  <c r="N10" i="24"/>
  <c r="M10" i="24"/>
  <c r="L10" i="24"/>
  <c r="J10" i="24"/>
  <c r="J24" i="24"/>
  <c r="E10" i="24"/>
  <c r="D10" i="24"/>
  <c r="AC9" i="24"/>
  <c r="Z9" i="24"/>
  <c r="Y9" i="24"/>
  <c r="S9" i="24"/>
  <c r="R9" i="24"/>
  <c r="I9" i="24"/>
  <c r="AC8" i="24"/>
  <c r="Z8" i="24"/>
  <c r="Y8" i="24"/>
  <c r="S8" i="24"/>
  <c r="R8" i="24"/>
  <c r="AC7" i="24"/>
  <c r="Z7" i="24"/>
  <c r="Y7" i="24"/>
  <c r="S7" i="24"/>
  <c r="R7" i="24"/>
  <c r="AC6" i="24"/>
  <c r="Z6" i="24"/>
  <c r="Y6" i="24"/>
  <c r="S6" i="24"/>
  <c r="R6" i="24"/>
  <c r="AC5" i="24"/>
  <c r="Z5" i="24"/>
  <c r="Y5" i="24"/>
  <c r="S5" i="24"/>
  <c r="R5" i="24"/>
  <c r="I5" i="24"/>
  <c r="I10" i="24"/>
  <c r="I24" i="24"/>
  <c r="AC4" i="24"/>
  <c r="Z4" i="24"/>
  <c r="Y4" i="24"/>
  <c r="S4" i="24"/>
  <c r="R4" i="24"/>
  <c r="H10" i="24"/>
  <c r="G10" i="24"/>
  <c r="F10" i="24"/>
  <c r="W14" i="23"/>
  <c r="U14" i="23"/>
  <c r="P14" i="23"/>
  <c r="Q12" i="23"/>
  <c r="P12" i="23"/>
  <c r="T10" i="23"/>
  <c r="T14" i="23"/>
  <c r="O10" i="23"/>
  <c r="O14" i="23"/>
  <c r="N10" i="23"/>
  <c r="N14" i="23"/>
  <c r="M10" i="23"/>
  <c r="M14" i="23"/>
  <c r="L10" i="23"/>
  <c r="L14" i="23"/>
  <c r="K10" i="23"/>
  <c r="K14" i="23"/>
  <c r="I10" i="23"/>
  <c r="I14" i="23"/>
  <c r="H10" i="23"/>
  <c r="H14" i="23"/>
  <c r="G10" i="23"/>
  <c r="G14" i="23"/>
  <c r="F10" i="23"/>
  <c r="F14" i="23"/>
  <c r="E10" i="23"/>
  <c r="E14" i="23"/>
  <c r="D10" i="23"/>
  <c r="D14" i="23"/>
  <c r="Q9" i="23"/>
  <c r="P9" i="23"/>
  <c r="J9" i="23"/>
  <c r="Q8" i="23"/>
  <c r="P8" i="23"/>
  <c r="J8" i="23"/>
  <c r="Q7" i="23"/>
  <c r="P7" i="23"/>
  <c r="J7" i="23"/>
  <c r="Q6" i="23"/>
  <c r="P6" i="23"/>
  <c r="J6" i="23"/>
  <c r="Q5" i="23"/>
  <c r="P5" i="23"/>
  <c r="J5" i="23"/>
  <c r="Q4" i="23"/>
  <c r="P4" i="23"/>
  <c r="J4" i="23"/>
  <c r="O136" i="3"/>
  <c r="O135" i="3"/>
  <c r="O134" i="3"/>
  <c r="O133" i="3"/>
  <c r="O132" i="3"/>
  <c r="E41" i="20"/>
  <c r="D41" i="20"/>
  <c r="C41" i="20"/>
  <c r="B41" i="20"/>
  <c r="P40" i="20"/>
  <c r="E36" i="20"/>
  <c r="D36" i="20"/>
  <c r="C36" i="20"/>
  <c r="B36" i="20"/>
  <c r="P28" i="20"/>
  <c r="P16" i="20"/>
  <c r="N11" i="20"/>
  <c r="M9" i="20"/>
  <c r="M11" i="20"/>
  <c r="L9" i="20"/>
  <c r="L11" i="20"/>
  <c r="K9" i="20"/>
  <c r="J9" i="20"/>
  <c r="I9" i="20"/>
  <c r="H9" i="20"/>
  <c r="G9" i="20"/>
  <c r="F9" i="20"/>
  <c r="E9" i="20"/>
  <c r="D9" i="20"/>
  <c r="C9" i="20"/>
  <c r="I7" i="20"/>
  <c r="H7" i="20"/>
  <c r="G7" i="20"/>
  <c r="F7" i="20"/>
  <c r="E7" i="20"/>
  <c r="D7" i="20"/>
  <c r="I5" i="20"/>
  <c r="G5" i="20"/>
  <c r="E5" i="20"/>
  <c r="C5" i="20"/>
  <c r="D443" i="17"/>
  <c r="D460" i="17"/>
  <c r="D423" i="17"/>
  <c r="D459" i="17"/>
  <c r="D407" i="17"/>
  <c r="D458" i="17"/>
  <c r="D397" i="17"/>
  <c r="D457" i="17"/>
  <c r="D385" i="17"/>
  <c r="D456" i="17"/>
  <c r="D344" i="17"/>
  <c r="D455" i="17"/>
  <c r="D306" i="17"/>
  <c r="D454" i="17"/>
  <c r="D287" i="17"/>
  <c r="D453" i="17"/>
  <c r="D272" i="17"/>
  <c r="D452" i="17"/>
  <c r="D262" i="17"/>
  <c r="D451" i="17"/>
  <c r="D249" i="17"/>
  <c r="D450" i="17"/>
  <c r="D227" i="17"/>
  <c r="D449" i="17"/>
  <c r="E384" i="17"/>
  <c r="E422" i="17"/>
  <c r="E421" i="17"/>
  <c r="E271" i="17"/>
  <c r="E442" i="17"/>
  <c r="E441" i="17"/>
  <c r="E286" i="17"/>
  <c r="E285" i="17"/>
  <c r="E226" i="17"/>
  <c r="E305" i="17"/>
  <c r="E396" i="17"/>
  <c r="E383" i="17"/>
  <c r="E382" i="17"/>
  <c r="E381" i="17"/>
  <c r="E395" i="17"/>
  <c r="E440" i="17"/>
  <c r="E260" i="17"/>
  <c r="E248" i="17"/>
  <c r="E261" i="17"/>
  <c r="E343" i="17"/>
  <c r="E439" i="17"/>
  <c r="E438" i="17"/>
  <c r="E437" i="17"/>
  <c r="E436" i="17"/>
  <c r="E247" i="17"/>
  <c r="E246" i="17"/>
  <c r="E245" i="17"/>
  <c r="E304" i="17"/>
  <c r="E303" i="17"/>
  <c r="E342" i="17"/>
  <c r="E420" i="17"/>
  <c r="E419" i="17"/>
  <c r="E418" i="17"/>
  <c r="E417" i="17"/>
  <c r="E416" i="17"/>
  <c r="E380" i="17"/>
  <c r="E415" i="17"/>
  <c r="E406" i="17"/>
  <c r="E405" i="17"/>
  <c r="E404" i="17"/>
  <c r="E394" i="17"/>
  <c r="E393" i="17"/>
  <c r="E392" i="17"/>
  <c r="E391" i="17"/>
  <c r="E390" i="17"/>
  <c r="E389" i="17"/>
  <c r="E435" i="17"/>
  <c r="E434" i="17"/>
  <c r="E414" i="17"/>
  <c r="E302" i="17"/>
  <c r="E341" i="17"/>
  <c r="E340" i="17"/>
  <c r="E339" i="17"/>
  <c r="E338" i="17"/>
  <c r="E337" i="17"/>
  <c r="E336" i="17"/>
  <c r="E335" i="17"/>
  <c r="E334" i="17"/>
  <c r="E379" i="17"/>
  <c r="E378" i="17"/>
  <c r="E377" i="17"/>
  <c r="E376" i="17"/>
  <c r="E375" i="17"/>
  <c r="E374" i="17"/>
  <c r="E373" i="17"/>
  <c r="E372" i="17"/>
  <c r="E403" i="17"/>
  <c r="E330" i="17"/>
  <c r="E371" i="17"/>
  <c r="E329" i="17"/>
  <c r="E370" i="17"/>
  <c r="E284" i="17"/>
  <c r="E328" i="17"/>
  <c r="E327" i="17"/>
  <c r="E369" i="17"/>
  <c r="E433" i="17"/>
  <c r="E326" i="17"/>
  <c r="E368" i="17"/>
  <c r="E367" i="17"/>
  <c r="E366" i="17"/>
  <c r="E322" i="17"/>
  <c r="E365" i="17"/>
  <c r="E364" i="17"/>
  <c r="E363" i="17"/>
  <c r="E362" i="17"/>
  <c r="E244" i="17"/>
  <c r="E361" i="17"/>
  <c r="E301" i="17"/>
  <c r="E300" i="17"/>
  <c r="E299" i="17"/>
  <c r="E298" i="17"/>
  <c r="E283" i="17"/>
  <c r="E331" i="17"/>
  <c r="E412" i="17"/>
  <c r="E411" i="17"/>
  <c r="E360" i="17"/>
  <c r="E282" i="17"/>
  <c r="E325" i="17"/>
  <c r="E324" i="17"/>
  <c r="E323" i="17"/>
  <c r="E413" i="17"/>
  <c r="E321" i="17"/>
  <c r="E320" i="17"/>
  <c r="E432" i="17"/>
  <c r="E431" i="17"/>
  <c r="E430" i="17"/>
  <c r="E359" i="17"/>
  <c r="E319" i="17"/>
  <c r="E259" i="17"/>
  <c r="E388" i="17"/>
  <c r="E358" i="17"/>
  <c r="E357" i="17"/>
  <c r="E297" i="17"/>
  <c r="E296" i="17"/>
  <c r="E295" i="17"/>
  <c r="E429" i="17"/>
  <c r="E333" i="17"/>
  <c r="E243" i="17"/>
  <c r="E410" i="17"/>
  <c r="E356" i="17"/>
  <c r="E294" i="17"/>
  <c r="E355" i="17"/>
  <c r="E258" i="17"/>
  <c r="E242" i="17"/>
  <c r="E318" i="17"/>
  <c r="E354" i="17"/>
  <c r="E257" i="17"/>
  <c r="E256" i="17"/>
  <c r="E255" i="17"/>
  <c r="E317" i="17"/>
  <c r="E225" i="17"/>
  <c r="E316" i="17"/>
  <c r="E428" i="17"/>
  <c r="E315" i="17"/>
  <c r="E314" i="17"/>
  <c r="E313" i="17"/>
  <c r="E281" i="17"/>
  <c r="E280" i="17"/>
  <c r="E279" i="17"/>
  <c r="E278" i="17"/>
  <c r="E277" i="17"/>
  <c r="E276" i="17"/>
  <c r="E275" i="17"/>
  <c r="E353" i="17"/>
  <c r="E293" i="17"/>
  <c r="E427" i="17"/>
  <c r="E332" i="17"/>
  <c r="E352" i="17"/>
  <c r="E292" i="17"/>
  <c r="E402" i="17"/>
  <c r="E426" i="17"/>
  <c r="E291" i="17"/>
  <c r="E290" i="17"/>
  <c r="E270" i="17"/>
  <c r="E269" i="17"/>
  <c r="E268" i="17"/>
  <c r="E267" i="17"/>
  <c r="E351" i="17"/>
  <c r="E312" i="17"/>
  <c r="E311" i="17"/>
  <c r="E310" i="17"/>
  <c r="E254" i="17"/>
  <c r="E253" i="17"/>
  <c r="E350" i="17"/>
  <c r="E349" i="17"/>
  <c r="E309" i="17"/>
  <c r="E348" i="17"/>
  <c r="E401" i="17"/>
  <c r="E400" i="17"/>
  <c r="E241" i="17"/>
  <c r="E240" i="17"/>
  <c r="E239" i="17"/>
  <c r="E238" i="17"/>
  <c r="E237" i="17"/>
  <c r="E236" i="17"/>
  <c r="E235" i="17"/>
  <c r="E234" i="17"/>
  <c r="E233" i="17"/>
  <c r="E232" i="17"/>
  <c r="E231" i="17"/>
  <c r="E230" i="17"/>
  <c r="E347" i="17"/>
  <c r="E224" i="17"/>
  <c r="E266" i="17"/>
  <c r="E265" i="17"/>
  <c r="E252" i="17"/>
  <c r="D206" i="17"/>
  <c r="D217" i="17"/>
  <c r="E205" i="17"/>
  <c r="E204" i="17"/>
  <c r="E203" i="17"/>
  <c r="E202" i="17"/>
  <c r="E201" i="17"/>
  <c r="E200" i="17"/>
  <c r="E199" i="17"/>
  <c r="E198" i="17"/>
  <c r="E197" i="17"/>
  <c r="E196" i="17"/>
  <c r="E195" i="17"/>
  <c r="D193" i="17"/>
  <c r="D216" i="17"/>
  <c r="E192" i="17"/>
  <c r="E191" i="17"/>
  <c r="E190" i="17"/>
  <c r="E189" i="17"/>
  <c r="E188" i="17"/>
  <c r="E187" i="17"/>
  <c r="E186" i="17"/>
  <c r="E185" i="17"/>
  <c r="E184" i="17"/>
  <c r="E183" i="17"/>
  <c r="E182" i="17"/>
  <c r="E181" i="17"/>
  <c r="E180" i="17"/>
  <c r="E179" i="17"/>
  <c r="E178" i="17"/>
  <c r="E177" i="17"/>
  <c r="E176" i="17"/>
  <c r="E175" i="17"/>
  <c r="D173" i="17"/>
  <c r="D215" i="17"/>
  <c r="E172" i="17"/>
  <c r="E171" i="17"/>
  <c r="E170" i="17"/>
  <c r="E169" i="17"/>
  <c r="E168" i="17"/>
  <c r="E167" i="17"/>
  <c r="E166" i="17"/>
  <c r="E165" i="17"/>
  <c r="E164" i="17"/>
  <c r="E163" i="17"/>
  <c r="E162" i="17"/>
  <c r="E161" i="17"/>
  <c r="E160" i="17"/>
  <c r="E159" i="17"/>
  <c r="E158" i="17"/>
  <c r="D156" i="17"/>
  <c r="D214" i="17"/>
  <c r="E155" i="17"/>
  <c r="E154" i="17"/>
  <c r="E153" i="17"/>
  <c r="E152" i="17"/>
  <c r="E151" i="17"/>
  <c r="E150" i="17"/>
  <c r="E149" i="17"/>
  <c r="E148" i="17"/>
  <c r="E147" i="17"/>
  <c r="E146" i="17"/>
  <c r="E145" i="17"/>
  <c r="E144" i="17"/>
  <c r="E143" i="17"/>
  <c r="D141" i="17"/>
  <c r="D213" i="17"/>
  <c r="E140" i="17"/>
  <c r="E139" i="17"/>
  <c r="E138" i="17"/>
  <c r="E137" i="17"/>
  <c r="E136" i="17"/>
  <c r="E135" i="17"/>
  <c r="E134" i="17"/>
  <c r="E133" i="17"/>
  <c r="E132" i="17"/>
  <c r="E131" i="17"/>
  <c r="E130" i="17"/>
  <c r="E129" i="17"/>
  <c r="E128" i="17"/>
  <c r="E127" i="17"/>
  <c r="E126" i="17"/>
  <c r="E125" i="17"/>
  <c r="E124" i="17"/>
  <c r="E123" i="17"/>
  <c r="E122" i="17"/>
  <c r="E121" i="17"/>
  <c r="E120" i="17"/>
  <c r="E119" i="17"/>
  <c r="E118" i="17"/>
  <c r="E117" i="17"/>
  <c r="E116" i="17"/>
  <c r="E115" i="17"/>
  <c r="E114" i="17"/>
  <c r="E113" i="17"/>
  <c r="E112" i="17"/>
  <c r="E111" i="17"/>
  <c r="E110" i="17"/>
  <c r="E109" i="17"/>
  <c r="D107" i="17"/>
  <c r="D212" i="17"/>
  <c r="E106" i="17"/>
  <c r="E105" i="17"/>
  <c r="E104" i="17"/>
  <c r="E103" i="17"/>
  <c r="E102" i="17"/>
  <c r="E101" i="17"/>
  <c r="E100" i="17"/>
  <c r="E99" i="17"/>
  <c r="E98" i="17"/>
  <c r="E97" i="17"/>
  <c r="E96" i="17"/>
  <c r="E95" i="17"/>
  <c r="E94" i="17"/>
  <c r="E93" i="17"/>
  <c r="E92" i="17"/>
  <c r="E91" i="17"/>
  <c r="E90" i="17"/>
  <c r="E89" i="17"/>
  <c r="E88" i="17"/>
  <c r="E87" i="17"/>
  <c r="E86" i="17"/>
  <c r="E85" i="17"/>
  <c r="E84" i="17"/>
  <c r="E83" i="17"/>
  <c r="E82" i="17"/>
  <c r="E81" i="17"/>
  <c r="E80" i="17"/>
  <c r="E79" i="17"/>
  <c r="E78" i="17"/>
  <c r="E77" i="17"/>
  <c r="E76" i="17"/>
  <c r="E75" i="17"/>
  <c r="D73" i="17"/>
  <c r="E72"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D34" i="17"/>
  <c r="D210"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C29" i="9"/>
  <c r="B21" i="9"/>
  <c r="C79" i="15"/>
  <c r="Q125" i="13"/>
  <c r="P125" i="13"/>
  <c r="O125" i="13"/>
  <c r="N125" i="13"/>
  <c r="M125" i="13"/>
  <c r="L125" i="13"/>
  <c r="K125" i="13"/>
  <c r="I125" i="13"/>
  <c r="J125" i="13"/>
  <c r="E125" i="13"/>
  <c r="Q375" i="13"/>
  <c r="P375" i="13"/>
  <c r="O375" i="13"/>
  <c r="N375" i="13"/>
  <c r="M375" i="13"/>
  <c r="L375" i="13"/>
  <c r="K375" i="13"/>
  <c r="J375" i="13"/>
  <c r="I375" i="13"/>
  <c r="H375" i="13"/>
  <c r="F376" i="13"/>
  <c r="E374" i="13"/>
  <c r="E373" i="13"/>
  <c r="E372" i="13"/>
  <c r="E371" i="13"/>
  <c r="E370" i="13"/>
  <c r="Q126" i="6"/>
  <c r="P126" i="6"/>
  <c r="O126" i="6"/>
  <c r="N126" i="6"/>
  <c r="M126" i="6"/>
  <c r="L126" i="6"/>
  <c r="K126" i="6"/>
  <c r="J126" i="6"/>
  <c r="I126" i="6"/>
  <c r="E350" i="6"/>
  <c r="I17" i="9"/>
  <c r="E335" i="6"/>
  <c r="F160" i="5"/>
  <c r="E160" i="5"/>
  <c r="F150" i="5"/>
  <c r="E150" i="5"/>
  <c r="AM149" i="5"/>
  <c r="AJ149" i="5"/>
  <c r="AB149" i="5"/>
  <c r="X149" i="5"/>
  <c r="O149" i="5"/>
  <c r="P189" i="1"/>
  <c r="AC128" i="4"/>
  <c r="Z128" i="4"/>
  <c r="W128" i="4"/>
  <c r="T128" i="4"/>
  <c r="Q128" i="4"/>
  <c r="G128" i="4"/>
  <c r="F128" i="4"/>
  <c r="D226" i="8"/>
  <c r="E52" i="8"/>
  <c r="E53" i="8"/>
  <c r="E169" i="8"/>
  <c r="E180" i="8"/>
  <c r="E146" i="8"/>
  <c r="E136" i="8"/>
  <c r="E85" i="8"/>
  <c r="E157" i="8"/>
  <c r="E114" i="8"/>
  <c r="E21" i="8"/>
  <c r="M130" i="3"/>
  <c r="I34" i="9"/>
  <c r="L130" i="3"/>
  <c r="H34" i="9"/>
  <c r="K130" i="3"/>
  <c r="G34" i="9"/>
  <c r="J130" i="3"/>
  <c r="F34" i="9"/>
  <c r="I130" i="3"/>
  <c r="H130" i="3"/>
  <c r="G130" i="3"/>
  <c r="C34" i="9"/>
  <c r="F130" i="3"/>
  <c r="E125" i="3"/>
  <c r="E131" i="2"/>
  <c r="G65" i="15"/>
  <c r="Q131" i="2"/>
  <c r="R131" i="2"/>
  <c r="G127" i="2"/>
  <c r="N125" i="3"/>
  <c r="G18" i="12"/>
  <c r="G17" i="12"/>
  <c r="G16" i="12"/>
  <c r="G15" i="12"/>
  <c r="G14" i="12"/>
  <c r="G13" i="12"/>
  <c r="G12" i="12"/>
  <c r="G11" i="12"/>
  <c r="G10" i="12"/>
  <c r="G9" i="12"/>
  <c r="G8" i="12"/>
  <c r="G7" i="12"/>
  <c r="G6" i="12"/>
  <c r="G5" i="12"/>
  <c r="I18" i="12"/>
  <c r="I17" i="12"/>
  <c r="I16" i="12"/>
  <c r="I14" i="12"/>
  <c r="I13" i="12"/>
  <c r="I12" i="12"/>
  <c r="I11" i="12"/>
  <c r="I10" i="12"/>
  <c r="I9" i="12"/>
  <c r="I7" i="12"/>
  <c r="I6" i="12"/>
  <c r="I5" i="12"/>
  <c r="AV24" i="12"/>
  <c r="K202" i="1"/>
  <c r="K211" i="1"/>
  <c r="K205" i="1"/>
  <c r="H211" i="1"/>
  <c r="H212" i="1"/>
  <c r="H205" i="1"/>
  <c r="C57" i="15"/>
  <c r="C58" i="15"/>
  <c r="C53" i="15"/>
  <c r="H201" i="1"/>
  <c r="H199" i="1"/>
  <c r="O22" i="1"/>
  <c r="O25" i="1"/>
  <c r="O30" i="1"/>
  <c r="O31" i="1"/>
  <c r="N32" i="16"/>
  <c r="M32" i="16"/>
  <c r="C63" i="15"/>
  <c r="C51" i="15"/>
  <c r="I120" i="13"/>
  <c r="J120" i="13"/>
  <c r="K120" i="13"/>
  <c r="L120" i="13"/>
  <c r="M120" i="13"/>
  <c r="N120" i="13"/>
  <c r="O120" i="13"/>
  <c r="P120" i="13"/>
  <c r="H120" i="13"/>
  <c r="AJ148" i="5"/>
  <c r="E159" i="5"/>
  <c r="F159" i="5"/>
  <c r="AM144" i="5"/>
  <c r="AJ144" i="5"/>
  <c r="AB144" i="5"/>
  <c r="X144" i="5"/>
  <c r="O144" i="5"/>
  <c r="F123" i="4"/>
  <c r="G123" i="4"/>
  <c r="E123" i="4"/>
  <c r="Z123" i="4"/>
  <c r="W123" i="4"/>
  <c r="T123" i="4"/>
  <c r="Q123" i="4"/>
  <c r="N123" i="4"/>
  <c r="D218" i="8"/>
  <c r="E96" i="8"/>
  <c r="E121" i="3"/>
  <c r="G123" i="2"/>
  <c r="P123" i="2"/>
  <c r="P184" i="1"/>
  <c r="K209" i="1"/>
  <c r="H209" i="1"/>
  <c r="I209" i="1"/>
  <c r="F20" i="12"/>
  <c r="O190" i="1"/>
  <c r="O170" i="1"/>
  <c r="O178" i="1"/>
  <c r="O157" i="1"/>
  <c r="O149" i="1"/>
  <c r="O140" i="1"/>
  <c r="O134" i="1"/>
  <c r="O129" i="1"/>
  <c r="O133" i="1"/>
  <c r="O123" i="1"/>
  <c r="O125" i="1"/>
  <c r="O126" i="1"/>
  <c r="O127" i="1"/>
  <c r="O118" i="1"/>
  <c r="O117" i="1"/>
  <c r="O122" i="1"/>
  <c r="M184" i="1"/>
  <c r="L184" i="1"/>
  <c r="N60" i="16"/>
  <c r="M60" i="16"/>
  <c r="C61" i="15"/>
  <c r="C62" i="15"/>
  <c r="AM147" i="5"/>
  <c r="AJ147" i="5"/>
  <c r="AB147" i="5"/>
  <c r="X147" i="5"/>
  <c r="O147" i="5"/>
  <c r="AM148" i="5"/>
  <c r="AB148" i="5"/>
  <c r="X148" i="5"/>
  <c r="O148" i="5"/>
  <c r="E148" i="13"/>
  <c r="P183" i="1"/>
  <c r="J190" i="1"/>
  <c r="K190" i="1"/>
  <c r="J123" i="13"/>
  <c r="K123" i="13"/>
  <c r="L123" i="13"/>
  <c r="M123" i="13"/>
  <c r="N123" i="13"/>
  <c r="O123" i="13"/>
  <c r="P123" i="13"/>
  <c r="Q123" i="13"/>
  <c r="J124" i="13"/>
  <c r="K124" i="13"/>
  <c r="L124" i="13"/>
  <c r="M124" i="13"/>
  <c r="N124" i="13"/>
  <c r="O124" i="13"/>
  <c r="P124" i="13"/>
  <c r="Q124" i="13"/>
  <c r="I124" i="13"/>
  <c r="I123" i="13"/>
  <c r="E123" i="13"/>
  <c r="S132" i="4"/>
  <c r="AC127" i="4"/>
  <c r="Z127" i="4"/>
  <c r="W127" i="4"/>
  <c r="T127" i="4"/>
  <c r="Q127" i="4"/>
  <c r="G127" i="4"/>
  <c r="F127" i="4"/>
  <c r="E127" i="4"/>
  <c r="AC126" i="4"/>
  <c r="Z126" i="4"/>
  <c r="W126" i="4"/>
  <c r="T126" i="4"/>
  <c r="Q126" i="4"/>
  <c r="G126" i="4"/>
  <c r="F126" i="4"/>
  <c r="D224" i="8"/>
  <c r="D220" i="8"/>
  <c r="P130" i="3"/>
  <c r="E120" i="3"/>
  <c r="E119" i="3"/>
  <c r="I131" i="2"/>
  <c r="C33" i="9"/>
  <c r="G122" i="2"/>
  <c r="N119" i="3"/>
  <c r="G121" i="2"/>
  <c r="N120" i="3"/>
  <c r="P188" i="1"/>
  <c r="P187" i="1"/>
  <c r="P186" i="1"/>
  <c r="M187" i="1"/>
  <c r="L187" i="1"/>
  <c r="M188" i="1"/>
  <c r="L188" i="1"/>
  <c r="O152" i="1"/>
  <c r="O160" i="1"/>
  <c r="O164" i="1"/>
  <c r="O173" i="1"/>
  <c r="O177" i="1"/>
  <c r="O193" i="1"/>
  <c r="O147" i="1"/>
  <c r="O163" i="1"/>
  <c r="O176" i="1"/>
  <c r="O187" i="1"/>
  <c r="O188" i="1"/>
  <c r="O189" i="1"/>
  <c r="N75" i="16"/>
  <c r="M75" i="16"/>
  <c r="M55" i="16"/>
  <c r="M53" i="16"/>
  <c r="M52" i="16"/>
  <c r="M69" i="16"/>
  <c r="N74" i="16"/>
  <c r="M74" i="16"/>
  <c r="Z116" i="4"/>
  <c r="K121" i="13"/>
  <c r="L121" i="13"/>
  <c r="M121" i="13"/>
  <c r="N121" i="13"/>
  <c r="O121" i="13"/>
  <c r="P121" i="13"/>
  <c r="Q121" i="13"/>
  <c r="H121" i="13"/>
  <c r="I121" i="13"/>
  <c r="J121" i="13"/>
  <c r="Q122" i="6"/>
  <c r="K156" i="5"/>
  <c r="F124" i="5"/>
  <c r="AM143" i="5"/>
  <c r="AJ143" i="5"/>
  <c r="AB143" i="5"/>
  <c r="X143" i="5"/>
  <c r="O143" i="5"/>
  <c r="Z122" i="4"/>
  <c r="W122" i="4"/>
  <c r="T122" i="4"/>
  <c r="Q122" i="4"/>
  <c r="N122" i="4"/>
  <c r="G122" i="4"/>
  <c r="F122" i="4"/>
  <c r="D222" i="8"/>
  <c r="E122" i="3"/>
  <c r="G125" i="2"/>
  <c r="N122" i="3"/>
  <c r="M183" i="1"/>
  <c r="L183" i="1"/>
  <c r="N69" i="16"/>
  <c r="I119" i="13"/>
  <c r="J119" i="13"/>
  <c r="K119" i="13"/>
  <c r="L119" i="13"/>
  <c r="M119" i="13"/>
  <c r="N119" i="13"/>
  <c r="O119" i="13"/>
  <c r="P119" i="13"/>
  <c r="Q119" i="13"/>
  <c r="I122" i="13"/>
  <c r="J122" i="13"/>
  <c r="K122" i="13"/>
  <c r="L122" i="13"/>
  <c r="M122" i="13"/>
  <c r="N122" i="13"/>
  <c r="O122" i="13"/>
  <c r="P122" i="13"/>
  <c r="Q122" i="13"/>
  <c r="H122" i="13"/>
  <c r="H119" i="13"/>
  <c r="E119" i="13"/>
  <c r="Q120" i="6"/>
  <c r="Q123" i="6"/>
  <c r="E123" i="3"/>
  <c r="AM145" i="5"/>
  <c r="AJ145" i="5"/>
  <c r="AB145" i="5"/>
  <c r="X145" i="5"/>
  <c r="O145" i="5"/>
  <c r="AM146" i="5"/>
  <c r="AJ146" i="5"/>
  <c r="AB146" i="5"/>
  <c r="X146" i="5"/>
  <c r="O146" i="5"/>
  <c r="Z124" i="4"/>
  <c r="W124" i="4"/>
  <c r="T124" i="4"/>
  <c r="Q124" i="4"/>
  <c r="N124" i="4"/>
  <c r="G124" i="4"/>
  <c r="F124" i="4"/>
  <c r="E124" i="4"/>
  <c r="Z125" i="4"/>
  <c r="W125" i="4"/>
  <c r="T125" i="4"/>
  <c r="Q125" i="4"/>
  <c r="N125" i="4"/>
  <c r="G125" i="4"/>
  <c r="F125" i="4"/>
  <c r="D221" i="8"/>
  <c r="E175" i="8"/>
  <c r="D194" i="8"/>
  <c r="E190" i="8"/>
  <c r="E76" i="8"/>
  <c r="S130" i="3"/>
  <c r="G71" i="15"/>
  <c r="Q130" i="3"/>
  <c r="R130" i="3"/>
  <c r="O130" i="3"/>
  <c r="G70" i="15"/>
  <c r="E124" i="3"/>
  <c r="O131" i="2"/>
  <c r="I33" i="9"/>
  <c r="H131" i="2"/>
  <c r="B33" i="9"/>
  <c r="K131" i="2"/>
  <c r="E33" i="9"/>
  <c r="L131" i="2"/>
  <c r="F33" i="9"/>
  <c r="M131" i="2"/>
  <c r="G33" i="9"/>
  <c r="N131" i="2"/>
  <c r="H33" i="9"/>
  <c r="J131" i="2"/>
  <c r="G126" i="2"/>
  <c r="P126" i="2"/>
  <c r="G124" i="2"/>
  <c r="P124" i="2"/>
  <c r="Q101" i="1"/>
  <c r="P185" i="1"/>
  <c r="P176" i="1"/>
  <c r="Q177" i="1"/>
  <c r="M185" i="1"/>
  <c r="L185" i="1"/>
  <c r="M186" i="1"/>
  <c r="L186" i="1"/>
  <c r="T190" i="1"/>
  <c r="S190" i="1"/>
  <c r="I190" i="1"/>
  <c r="H190" i="1"/>
  <c r="N68" i="16"/>
  <c r="M68" i="16"/>
  <c r="N70" i="16"/>
  <c r="M70" i="16"/>
  <c r="G156" i="5"/>
  <c r="AK156" i="5"/>
  <c r="AH156" i="5"/>
  <c r="H231" i="1"/>
  <c r="AG156" i="5"/>
  <c r="AF156" i="5"/>
  <c r="AA156" i="5"/>
  <c r="Z156" i="5"/>
  <c r="O6" i="9"/>
  <c r="Y156" i="5"/>
  <c r="W156" i="5"/>
  <c r="R156" i="5"/>
  <c r="P156" i="5"/>
  <c r="Q156" i="5"/>
  <c r="S156" i="5"/>
  <c r="T156" i="5"/>
  <c r="U156" i="5"/>
  <c r="V156" i="5"/>
  <c r="X157" i="5"/>
  <c r="N156" i="5"/>
  <c r="I156" i="5"/>
  <c r="J156" i="5"/>
  <c r="L156" i="5"/>
  <c r="M156" i="5"/>
  <c r="H156" i="5"/>
  <c r="J116" i="13"/>
  <c r="K116" i="13"/>
  <c r="L116" i="13"/>
  <c r="M116" i="13"/>
  <c r="N116" i="13"/>
  <c r="O116" i="13"/>
  <c r="P116" i="13"/>
  <c r="Q116" i="13"/>
  <c r="I116" i="13"/>
  <c r="Q367" i="13"/>
  <c r="P367" i="13"/>
  <c r="O367" i="13"/>
  <c r="N367" i="13"/>
  <c r="M367" i="13"/>
  <c r="L367" i="13"/>
  <c r="K367" i="13"/>
  <c r="J367" i="13"/>
  <c r="I367" i="13"/>
  <c r="H367" i="13"/>
  <c r="E366" i="13"/>
  <c r="E365" i="13"/>
  <c r="E364" i="13"/>
  <c r="E363" i="13"/>
  <c r="E362" i="13"/>
  <c r="E367" i="13"/>
  <c r="E328" i="6"/>
  <c r="M327" i="6"/>
  <c r="N327" i="6"/>
  <c r="O327" i="6"/>
  <c r="P327" i="6"/>
  <c r="Q327" i="6"/>
  <c r="Q116" i="6"/>
  <c r="L326" i="6"/>
  <c r="M326" i="6"/>
  <c r="N326" i="6"/>
  <c r="O326" i="6"/>
  <c r="P326" i="6"/>
  <c r="K325" i="6"/>
  <c r="L325" i="6"/>
  <c r="M325" i="6"/>
  <c r="N325" i="6"/>
  <c r="O325" i="6"/>
  <c r="J324" i="6"/>
  <c r="K324" i="6"/>
  <c r="I323" i="6"/>
  <c r="J323" i="6"/>
  <c r="I116" i="6"/>
  <c r="F140" i="5"/>
  <c r="E140" i="5"/>
  <c r="AM139" i="5"/>
  <c r="AJ139" i="5"/>
  <c r="AB139" i="5"/>
  <c r="X139" i="5"/>
  <c r="O139" i="5"/>
  <c r="J132" i="4"/>
  <c r="I132" i="4"/>
  <c r="M132" i="4"/>
  <c r="L132" i="4"/>
  <c r="K133" i="4"/>
  <c r="P132" i="4"/>
  <c r="V132" i="4"/>
  <c r="U132" i="4"/>
  <c r="Y132" i="4"/>
  <c r="X132" i="4"/>
  <c r="W133" i="4"/>
  <c r="AB132" i="4"/>
  <c r="AA132" i="4"/>
  <c r="AE132" i="4"/>
  <c r="AD132" i="4"/>
  <c r="AC133" i="4"/>
  <c r="AC119" i="4"/>
  <c r="Z119" i="4"/>
  <c r="W119" i="4"/>
  <c r="T119" i="4"/>
  <c r="Q119" i="4"/>
  <c r="G119" i="4"/>
  <c r="F119" i="4"/>
  <c r="D196" i="8"/>
  <c r="D225" i="8"/>
  <c r="E8" i="8"/>
  <c r="E43" i="8"/>
  <c r="E40" i="8"/>
  <c r="E57" i="8"/>
  <c r="E155" i="8"/>
  <c r="E71" i="8"/>
  <c r="E113" i="8"/>
  <c r="D201" i="8"/>
  <c r="E116" i="3"/>
  <c r="G118" i="2"/>
  <c r="P118" i="2"/>
  <c r="AT24" i="12"/>
  <c r="E8" i="12"/>
  <c r="T177" i="1"/>
  <c r="S177" i="1"/>
  <c r="K177" i="1"/>
  <c r="J177" i="1"/>
  <c r="I177" i="1"/>
  <c r="H177" i="1"/>
  <c r="C52" i="15"/>
  <c r="C54" i="15"/>
  <c r="E162" i="5"/>
  <c r="I113" i="13"/>
  <c r="J113" i="13"/>
  <c r="K113" i="13"/>
  <c r="L113" i="13"/>
  <c r="M113" i="13"/>
  <c r="N113" i="13"/>
  <c r="O113" i="13"/>
  <c r="P113" i="13"/>
  <c r="H113" i="13"/>
  <c r="H113" i="6"/>
  <c r="AB135" i="5"/>
  <c r="X135" i="5"/>
  <c r="O135" i="5"/>
  <c r="F136" i="5"/>
  <c r="E136" i="5"/>
  <c r="N116" i="4"/>
  <c r="Q116" i="4"/>
  <c r="T116" i="4"/>
  <c r="W116" i="4"/>
  <c r="F116" i="4"/>
  <c r="G116" i="4"/>
  <c r="D219" i="8"/>
  <c r="E113" i="3"/>
  <c r="G115" i="2"/>
  <c r="N113" i="3"/>
  <c r="P169" i="1"/>
  <c r="P156" i="1"/>
  <c r="M169" i="1"/>
  <c r="L169" i="1"/>
  <c r="T170" i="1"/>
  <c r="S170" i="1"/>
  <c r="K170" i="1"/>
  <c r="J170" i="1"/>
  <c r="I170" i="1"/>
  <c r="H170" i="1"/>
  <c r="N67" i="16"/>
  <c r="M67" i="16"/>
  <c r="I234" i="1"/>
  <c r="Q359" i="13"/>
  <c r="P359" i="13"/>
  <c r="O359" i="13"/>
  <c r="N359" i="13"/>
  <c r="M359" i="13"/>
  <c r="L359" i="13"/>
  <c r="K359" i="13"/>
  <c r="J359" i="13"/>
  <c r="I359" i="13"/>
  <c r="H359" i="13"/>
  <c r="E358" i="13"/>
  <c r="E357" i="13"/>
  <c r="E356" i="13"/>
  <c r="E355" i="13"/>
  <c r="E354" i="13"/>
  <c r="E321" i="6"/>
  <c r="M320" i="6"/>
  <c r="N320" i="6"/>
  <c r="O320" i="6"/>
  <c r="P320" i="6"/>
  <c r="Q320" i="6"/>
  <c r="Q125" i="6"/>
  <c r="L319" i="6"/>
  <c r="M319" i="6"/>
  <c r="N319" i="6"/>
  <c r="O319" i="6"/>
  <c r="P319" i="6"/>
  <c r="K318" i="6"/>
  <c r="L318" i="6"/>
  <c r="M318" i="6"/>
  <c r="N318" i="6"/>
  <c r="O318" i="6"/>
  <c r="J317" i="6"/>
  <c r="K317" i="6"/>
  <c r="L317" i="6"/>
  <c r="M317" i="6"/>
  <c r="N317" i="6"/>
  <c r="I316" i="6"/>
  <c r="F132" i="5"/>
  <c r="E132" i="5"/>
  <c r="E68" i="8"/>
  <c r="E54" i="8"/>
  <c r="E166" i="8"/>
  <c r="E158" i="8"/>
  <c r="E168" i="8"/>
  <c r="E163" i="8"/>
  <c r="E70" i="8"/>
  <c r="E44" i="8"/>
  <c r="AU24" i="12"/>
  <c r="F162" i="5"/>
  <c r="P163" i="1"/>
  <c r="Q163" i="1"/>
  <c r="E48" i="9"/>
  <c r="D34" i="9"/>
  <c r="E34" i="9"/>
  <c r="O47" i="9"/>
  <c r="B48" i="9"/>
  <c r="C48" i="9"/>
  <c r="D48" i="9"/>
  <c r="G54" i="13"/>
  <c r="H54" i="13"/>
  <c r="I54" i="13"/>
  <c r="J54" i="13"/>
  <c r="K54" i="13"/>
  <c r="L54" i="13"/>
  <c r="M54" i="13"/>
  <c r="N54" i="13"/>
  <c r="O54" i="13"/>
  <c r="O70" i="13"/>
  <c r="G75" i="13"/>
  <c r="H75" i="13"/>
  <c r="I75" i="13"/>
  <c r="J75" i="13"/>
  <c r="K75" i="13"/>
  <c r="L75" i="13"/>
  <c r="M75" i="13"/>
  <c r="N75" i="13"/>
  <c r="O75" i="13"/>
  <c r="H78" i="13"/>
  <c r="I78" i="13"/>
  <c r="J78" i="13"/>
  <c r="K78" i="13"/>
  <c r="L78" i="13"/>
  <c r="M78" i="13"/>
  <c r="N78" i="13"/>
  <c r="O78" i="13"/>
  <c r="P78" i="13"/>
  <c r="H81" i="13"/>
  <c r="I81" i="13"/>
  <c r="J81" i="13"/>
  <c r="K81" i="13"/>
  <c r="L81" i="13"/>
  <c r="M81" i="13"/>
  <c r="N81" i="13"/>
  <c r="O81" i="13"/>
  <c r="P81" i="13"/>
  <c r="H82" i="13"/>
  <c r="I82" i="13"/>
  <c r="J82" i="13"/>
  <c r="K82" i="13"/>
  <c r="L82" i="13"/>
  <c r="M82" i="13"/>
  <c r="N82" i="13"/>
  <c r="O82" i="13"/>
  <c r="P82" i="13"/>
  <c r="H89" i="13"/>
  <c r="I89" i="13"/>
  <c r="J89" i="13"/>
  <c r="K89" i="13"/>
  <c r="L89" i="13"/>
  <c r="M89" i="13"/>
  <c r="N89" i="13"/>
  <c r="O89" i="13"/>
  <c r="P89" i="13"/>
  <c r="H90" i="13"/>
  <c r="I90" i="13"/>
  <c r="J90" i="13"/>
  <c r="K90" i="13"/>
  <c r="L90" i="13"/>
  <c r="M90" i="13"/>
  <c r="N90" i="13"/>
  <c r="O90" i="13"/>
  <c r="P90" i="13"/>
  <c r="H94" i="13"/>
  <c r="I94" i="13"/>
  <c r="J94" i="13"/>
  <c r="K94" i="13"/>
  <c r="L94" i="13"/>
  <c r="M94" i="13"/>
  <c r="N94" i="13"/>
  <c r="O94" i="13"/>
  <c r="P94" i="13"/>
  <c r="H97" i="13"/>
  <c r="I97" i="13"/>
  <c r="J97" i="13"/>
  <c r="K97" i="13"/>
  <c r="L97" i="13"/>
  <c r="M97" i="13"/>
  <c r="N97" i="13"/>
  <c r="O97" i="13"/>
  <c r="P97" i="13"/>
  <c r="H101" i="13"/>
  <c r="I101" i="13"/>
  <c r="J101" i="13"/>
  <c r="K101" i="13"/>
  <c r="L101" i="13"/>
  <c r="M101" i="13"/>
  <c r="N101" i="13"/>
  <c r="O101" i="13"/>
  <c r="P101" i="13"/>
  <c r="E159" i="13"/>
  <c r="E160" i="13"/>
  <c r="E161" i="13"/>
  <c r="E162" i="13"/>
  <c r="E163" i="13"/>
  <c r="F164" i="13"/>
  <c r="F23" i="13"/>
  <c r="G164" i="13"/>
  <c r="G23" i="13"/>
  <c r="H164" i="13"/>
  <c r="H23" i="13"/>
  <c r="I164" i="13"/>
  <c r="I23" i="13"/>
  <c r="J164" i="13"/>
  <c r="J23" i="13"/>
  <c r="K164" i="13"/>
  <c r="K23" i="13"/>
  <c r="L164" i="13"/>
  <c r="L23" i="13"/>
  <c r="M164" i="13"/>
  <c r="M23" i="13"/>
  <c r="N164" i="13"/>
  <c r="N23" i="13"/>
  <c r="E167" i="13"/>
  <c r="E168" i="13"/>
  <c r="E169" i="13"/>
  <c r="E170" i="13"/>
  <c r="E171" i="13"/>
  <c r="F172" i="13"/>
  <c r="F24" i="13"/>
  <c r="G172" i="13"/>
  <c r="G24" i="13"/>
  <c r="H172" i="13"/>
  <c r="H24" i="13"/>
  <c r="I172" i="13"/>
  <c r="I24" i="13"/>
  <c r="J172" i="13"/>
  <c r="J24" i="13"/>
  <c r="K172" i="13"/>
  <c r="K24" i="13"/>
  <c r="L172" i="13"/>
  <c r="L24" i="13"/>
  <c r="M172" i="13"/>
  <c r="M24" i="13"/>
  <c r="N172" i="13"/>
  <c r="N24" i="13"/>
  <c r="E175" i="13"/>
  <c r="E176" i="13"/>
  <c r="E177" i="13"/>
  <c r="E178" i="13"/>
  <c r="E179" i="13"/>
  <c r="F180" i="13"/>
  <c r="F31" i="13"/>
  <c r="G180" i="13"/>
  <c r="G31" i="13"/>
  <c r="H180" i="13"/>
  <c r="H31" i="13"/>
  <c r="I180" i="13"/>
  <c r="I31" i="13"/>
  <c r="J180" i="13"/>
  <c r="J31" i="13"/>
  <c r="K180" i="13"/>
  <c r="K31" i="13"/>
  <c r="L180" i="13"/>
  <c r="L31" i="13"/>
  <c r="M180" i="13"/>
  <c r="M31" i="13"/>
  <c r="N180" i="13"/>
  <c r="N31" i="13"/>
  <c r="E184" i="13"/>
  <c r="E185" i="13"/>
  <c r="E186" i="13"/>
  <c r="E187" i="13"/>
  <c r="E188" i="13"/>
  <c r="F189" i="13"/>
  <c r="F37" i="13"/>
  <c r="G189" i="13"/>
  <c r="G37" i="13"/>
  <c r="H189" i="13"/>
  <c r="I189" i="13"/>
  <c r="I37" i="13"/>
  <c r="J189" i="13"/>
  <c r="J37" i="13"/>
  <c r="K189" i="13"/>
  <c r="K37" i="13"/>
  <c r="L189" i="13"/>
  <c r="L37" i="13"/>
  <c r="M189" i="13"/>
  <c r="M37" i="13"/>
  <c r="N189" i="13"/>
  <c r="N37" i="13"/>
  <c r="E193" i="13"/>
  <c r="E194" i="13"/>
  <c r="E195" i="13"/>
  <c r="E196" i="13"/>
  <c r="E197" i="13"/>
  <c r="F198" i="13"/>
  <c r="G198" i="13"/>
  <c r="G38" i="13"/>
  <c r="H198" i="13"/>
  <c r="H38" i="13"/>
  <c r="I198" i="13"/>
  <c r="I38" i="13"/>
  <c r="J198" i="13"/>
  <c r="J38" i="13"/>
  <c r="K198" i="13"/>
  <c r="K38" i="13"/>
  <c r="L198" i="13"/>
  <c r="L38" i="13"/>
  <c r="M198" i="13"/>
  <c r="M38" i="13"/>
  <c r="N198" i="13"/>
  <c r="N38" i="13"/>
  <c r="E201" i="13"/>
  <c r="E202" i="13"/>
  <c r="E203" i="13"/>
  <c r="E204" i="13"/>
  <c r="E205" i="13"/>
  <c r="G206" i="13"/>
  <c r="H206" i="13"/>
  <c r="H49" i="13"/>
  <c r="I206" i="13"/>
  <c r="I49" i="13"/>
  <c r="J206" i="13"/>
  <c r="J49" i="13"/>
  <c r="K206" i="13"/>
  <c r="K49" i="13"/>
  <c r="L206" i="13"/>
  <c r="L49" i="13"/>
  <c r="M206" i="13"/>
  <c r="M49" i="13"/>
  <c r="N206" i="13"/>
  <c r="N49" i="13"/>
  <c r="O206" i="13"/>
  <c r="O49" i="13"/>
  <c r="E209" i="13"/>
  <c r="E210" i="13"/>
  <c r="E211" i="13"/>
  <c r="E212" i="13"/>
  <c r="E213" i="13"/>
  <c r="G214" i="13"/>
  <c r="H214" i="13"/>
  <c r="I214" i="13"/>
  <c r="J214" i="13"/>
  <c r="K214" i="13"/>
  <c r="L214" i="13"/>
  <c r="M214" i="13"/>
  <c r="N214" i="13"/>
  <c r="E218" i="13"/>
  <c r="E219" i="13"/>
  <c r="E220" i="13"/>
  <c r="E221" i="13"/>
  <c r="E222" i="13"/>
  <c r="G223" i="13"/>
  <c r="G67" i="13"/>
  <c r="H223" i="13"/>
  <c r="H67" i="13"/>
  <c r="I223" i="13"/>
  <c r="I67" i="13"/>
  <c r="J223" i="13"/>
  <c r="K223" i="13"/>
  <c r="K67" i="13"/>
  <c r="L223" i="13"/>
  <c r="L67" i="13"/>
  <c r="M223" i="13"/>
  <c r="M67" i="13"/>
  <c r="N223" i="13"/>
  <c r="N67" i="13"/>
  <c r="O223" i="13"/>
  <c r="O67" i="13"/>
  <c r="I226" i="13"/>
  <c r="J227" i="13"/>
  <c r="K228" i="13"/>
  <c r="L228" i="13"/>
  <c r="E229" i="13"/>
  <c r="E230" i="13"/>
  <c r="G231" i="13"/>
  <c r="G70" i="13"/>
  <c r="H231" i="13"/>
  <c r="H70" i="13"/>
  <c r="N231" i="13"/>
  <c r="N70" i="13"/>
  <c r="E234" i="13"/>
  <c r="E235" i="13"/>
  <c r="E236" i="13"/>
  <c r="E237" i="13"/>
  <c r="E238" i="13"/>
  <c r="G239" i="13"/>
  <c r="H239" i="13"/>
  <c r="I239" i="13"/>
  <c r="J239" i="13"/>
  <c r="K239" i="13"/>
  <c r="L239" i="13"/>
  <c r="M239" i="13"/>
  <c r="N239" i="13"/>
  <c r="O239" i="13"/>
  <c r="E242" i="13"/>
  <c r="E243" i="13"/>
  <c r="E244" i="13"/>
  <c r="E245" i="13"/>
  <c r="E246" i="13"/>
  <c r="H247" i="13"/>
  <c r="I247" i="13"/>
  <c r="J247" i="13"/>
  <c r="K247" i="13"/>
  <c r="L247" i="13"/>
  <c r="M247" i="13"/>
  <c r="N247" i="13"/>
  <c r="O247" i="13"/>
  <c r="P247" i="13"/>
  <c r="E250" i="13"/>
  <c r="E251" i="13"/>
  <c r="E252" i="13"/>
  <c r="E253" i="13"/>
  <c r="E254" i="13"/>
  <c r="H255" i="13"/>
  <c r="I255" i="13"/>
  <c r="J255" i="13"/>
  <c r="K255" i="13"/>
  <c r="L255" i="13"/>
  <c r="M255" i="13"/>
  <c r="N255" i="13"/>
  <c r="O255" i="13"/>
  <c r="P255" i="13"/>
  <c r="E258" i="13"/>
  <c r="E259" i="13"/>
  <c r="E260" i="13"/>
  <c r="E261" i="13"/>
  <c r="E262" i="13"/>
  <c r="H263" i="13"/>
  <c r="I263" i="13"/>
  <c r="J263" i="13"/>
  <c r="K263" i="13"/>
  <c r="L263" i="13"/>
  <c r="M263" i="13"/>
  <c r="N263" i="13"/>
  <c r="O263" i="13"/>
  <c r="P263" i="13"/>
  <c r="E266" i="13"/>
  <c r="E267" i="13"/>
  <c r="E268" i="13"/>
  <c r="E269" i="13"/>
  <c r="E270" i="13"/>
  <c r="H271" i="13"/>
  <c r="I271" i="13"/>
  <c r="J271" i="13"/>
  <c r="K271" i="13"/>
  <c r="L271" i="13"/>
  <c r="M271" i="13"/>
  <c r="N271" i="13"/>
  <c r="O271" i="13"/>
  <c r="P271" i="13"/>
  <c r="E274" i="13"/>
  <c r="E275" i="13"/>
  <c r="E276" i="13"/>
  <c r="E277" i="13"/>
  <c r="E278" i="13"/>
  <c r="H279" i="13"/>
  <c r="I279" i="13"/>
  <c r="J279" i="13"/>
  <c r="K279" i="13"/>
  <c r="L279" i="13"/>
  <c r="M279" i="13"/>
  <c r="N279" i="13"/>
  <c r="O279" i="13"/>
  <c r="P279" i="13"/>
  <c r="E282" i="13"/>
  <c r="E283" i="13"/>
  <c r="E284" i="13"/>
  <c r="E285" i="13"/>
  <c r="E286" i="13"/>
  <c r="H287" i="13"/>
  <c r="I287" i="13"/>
  <c r="J287" i="13"/>
  <c r="K287" i="13"/>
  <c r="L287" i="13"/>
  <c r="M287" i="13"/>
  <c r="N287" i="13"/>
  <c r="O287" i="13"/>
  <c r="P287" i="13"/>
  <c r="E290" i="13"/>
  <c r="E291" i="13"/>
  <c r="E292" i="13"/>
  <c r="E293" i="13"/>
  <c r="E294" i="13"/>
  <c r="H295" i="13"/>
  <c r="I295" i="13"/>
  <c r="J295" i="13"/>
  <c r="K295" i="13"/>
  <c r="L295" i="13"/>
  <c r="M295" i="13"/>
  <c r="N295" i="13"/>
  <c r="O295" i="13"/>
  <c r="P295" i="13"/>
  <c r="E298" i="13"/>
  <c r="E299" i="13"/>
  <c r="E300" i="13"/>
  <c r="E301" i="13"/>
  <c r="E302" i="13"/>
  <c r="H303" i="13"/>
  <c r="I303" i="13"/>
  <c r="J303" i="13"/>
  <c r="K303" i="13"/>
  <c r="L303" i="13"/>
  <c r="M303" i="13"/>
  <c r="N303" i="13"/>
  <c r="O303" i="13"/>
  <c r="P303" i="13"/>
  <c r="E306" i="13"/>
  <c r="E307" i="13"/>
  <c r="E308" i="13"/>
  <c r="E309" i="13"/>
  <c r="E310" i="13"/>
  <c r="H311" i="13"/>
  <c r="I311" i="13"/>
  <c r="J311" i="13"/>
  <c r="K311" i="13"/>
  <c r="L311" i="13"/>
  <c r="M311" i="13"/>
  <c r="N311" i="13"/>
  <c r="O311" i="13"/>
  <c r="P311" i="13"/>
  <c r="E314" i="13"/>
  <c r="E315" i="13"/>
  <c r="E316" i="13"/>
  <c r="E317" i="13"/>
  <c r="E318" i="13"/>
  <c r="E319" i="13"/>
  <c r="H319" i="13"/>
  <c r="I319" i="13"/>
  <c r="J319" i="13"/>
  <c r="K319" i="13"/>
  <c r="L319" i="13"/>
  <c r="M319" i="13"/>
  <c r="N319" i="13"/>
  <c r="O319" i="13"/>
  <c r="P319" i="13"/>
  <c r="E322" i="13"/>
  <c r="E323" i="13"/>
  <c r="E324" i="13"/>
  <c r="E325" i="13"/>
  <c r="E326" i="13"/>
  <c r="H327" i="13"/>
  <c r="I327" i="13"/>
  <c r="J327" i="13"/>
  <c r="K327" i="13"/>
  <c r="L327" i="13"/>
  <c r="M327" i="13"/>
  <c r="N327" i="13"/>
  <c r="O327" i="13"/>
  <c r="P327" i="13"/>
  <c r="E330" i="13"/>
  <c r="E331" i="13"/>
  <c r="E332" i="13"/>
  <c r="E333" i="13"/>
  <c r="E334" i="13"/>
  <c r="H335" i="13"/>
  <c r="I335" i="13"/>
  <c r="J335" i="13"/>
  <c r="K335" i="13"/>
  <c r="L335" i="13"/>
  <c r="M335" i="13"/>
  <c r="N335" i="13"/>
  <c r="O335" i="13"/>
  <c r="P335" i="13"/>
  <c r="E338" i="13"/>
  <c r="E339" i="13"/>
  <c r="E340" i="13"/>
  <c r="E341" i="13"/>
  <c r="E342" i="13"/>
  <c r="H343" i="13"/>
  <c r="I343" i="13"/>
  <c r="J343" i="13"/>
  <c r="K343" i="13"/>
  <c r="L343" i="13"/>
  <c r="M343" i="13"/>
  <c r="N343" i="13"/>
  <c r="O343" i="13"/>
  <c r="P343" i="13"/>
  <c r="E346" i="13"/>
  <c r="E347" i="13"/>
  <c r="E348" i="13"/>
  <c r="E349" i="13"/>
  <c r="E350" i="13"/>
  <c r="H351" i="13"/>
  <c r="I351" i="13"/>
  <c r="J351" i="13"/>
  <c r="K351" i="13"/>
  <c r="L351" i="13"/>
  <c r="M351" i="13"/>
  <c r="N351" i="13"/>
  <c r="O351" i="13"/>
  <c r="P351" i="13"/>
  <c r="Q351" i="13"/>
  <c r="F38" i="6"/>
  <c r="L38" i="6"/>
  <c r="M38" i="6"/>
  <c r="N38" i="6"/>
  <c r="F144" i="6"/>
  <c r="G144" i="6"/>
  <c r="H144" i="6"/>
  <c r="G145" i="6"/>
  <c r="H145" i="6"/>
  <c r="I145" i="6"/>
  <c r="H146" i="6"/>
  <c r="I146" i="6"/>
  <c r="I147" i="6"/>
  <c r="J147" i="6"/>
  <c r="K147" i="6"/>
  <c r="L147" i="6"/>
  <c r="M147" i="6"/>
  <c r="J148" i="6"/>
  <c r="K148" i="6"/>
  <c r="L148" i="6"/>
  <c r="M148" i="6"/>
  <c r="N148" i="6"/>
  <c r="N23" i="6"/>
  <c r="E149" i="6"/>
  <c r="F151" i="6"/>
  <c r="F24" i="6"/>
  <c r="G152" i="6"/>
  <c r="H152" i="6"/>
  <c r="I152" i="6"/>
  <c r="J152" i="6"/>
  <c r="K152" i="6"/>
  <c r="H153" i="6"/>
  <c r="I153" i="6"/>
  <c r="J153" i="6"/>
  <c r="K153" i="6"/>
  <c r="L153" i="6"/>
  <c r="I154" i="6"/>
  <c r="J154" i="6"/>
  <c r="K154" i="6"/>
  <c r="L154" i="6"/>
  <c r="M154" i="6"/>
  <c r="J155" i="6"/>
  <c r="K155" i="6"/>
  <c r="L155" i="6"/>
  <c r="M155" i="6"/>
  <c r="N155" i="6"/>
  <c r="N24" i="6"/>
  <c r="E156" i="6"/>
  <c r="F158" i="6"/>
  <c r="F31" i="6"/>
  <c r="G159" i="6"/>
  <c r="G31" i="6"/>
  <c r="H160" i="6"/>
  <c r="I160" i="6"/>
  <c r="J160" i="6"/>
  <c r="K160" i="6"/>
  <c r="L160" i="6"/>
  <c r="I161" i="6"/>
  <c r="J161" i="6"/>
  <c r="K161" i="6"/>
  <c r="L161" i="6"/>
  <c r="M161" i="6"/>
  <c r="J162" i="6"/>
  <c r="K162" i="6"/>
  <c r="L162" i="6"/>
  <c r="M162" i="6"/>
  <c r="N162" i="6"/>
  <c r="N31" i="6"/>
  <c r="E163" i="6"/>
  <c r="F166" i="6"/>
  <c r="G166" i="6"/>
  <c r="G167" i="6"/>
  <c r="H167" i="6"/>
  <c r="I167" i="6"/>
  <c r="J167" i="6"/>
  <c r="K167" i="6"/>
  <c r="H168" i="6"/>
  <c r="I168" i="6"/>
  <c r="J168" i="6"/>
  <c r="K168" i="6"/>
  <c r="L168" i="6"/>
  <c r="I169" i="6"/>
  <c r="J169" i="6"/>
  <c r="K169" i="6"/>
  <c r="L169" i="6"/>
  <c r="J170" i="6"/>
  <c r="K170" i="6"/>
  <c r="L170" i="6"/>
  <c r="L37" i="6"/>
  <c r="M169" i="6"/>
  <c r="M170" i="6"/>
  <c r="N170" i="6"/>
  <c r="N37" i="6"/>
  <c r="E171" i="6"/>
  <c r="G173" i="6"/>
  <c r="H174" i="6"/>
  <c r="G181" i="6"/>
  <c r="G50" i="6"/>
  <c r="H181" i="6"/>
  <c r="H182" i="6"/>
  <c r="I182" i="6"/>
  <c r="J182" i="6"/>
  <c r="K182" i="6"/>
  <c r="L182" i="6"/>
  <c r="I183" i="6"/>
  <c r="J183" i="6"/>
  <c r="J184" i="6"/>
  <c r="K184" i="6"/>
  <c r="L184" i="6"/>
  <c r="M184" i="6"/>
  <c r="N184" i="6"/>
  <c r="K185" i="6"/>
  <c r="L185" i="6"/>
  <c r="M185" i="6"/>
  <c r="N185" i="6"/>
  <c r="O185" i="6"/>
  <c r="O50" i="6"/>
  <c r="E186" i="6"/>
  <c r="G188" i="6"/>
  <c r="H188" i="6"/>
  <c r="H189" i="6"/>
  <c r="I189" i="6"/>
  <c r="J189" i="6"/>
  <c r="K189" i="6"/>
  <c r="L189" i="6"/>
  <c r="I190" i="6"/>
  <c r="J190" i="6"/>
  <c r="K190" i="6"/>
  <c r="L190" i="6"/>
  <c r="M190" i="6"/>
  <c r="J191" i="6"/>
  <c r="K191" i="6"/>
  <c r="L191" i="6"/>
  <c r="M191" i="6"/>
  <c r="N191" i="6"/>
  <c r="K192" i="6"/>
  <c r="L192" i="6"/>
  <c r="M192" i="6"/>
  <c r="N192" i="6"/>
  <c r="O192" i="6"/>
  <c r="O55" i="6"/>
  <c r="E193" i="6"/>
  <c r="G196" i="6"/>
  <c r="H196" i="6"/>
  <c r="H197" i="6"/>
  <c r="H67" i="6"/>
  <c r="I197" i="6"/>
  <c r="J197" i="6"/>
  <c r="K197" i="6"/>
  <c r="L197" i="6"/>
  <c r="I198" i="6"/>
  <c r="J198" i="6"/>
  <c r="K198" i="6"/>
  <c r="L198" i="6"/>
  <c r="M198" i="6"/>
  <c r="J199" i="6"/>
  <c r="K199" i="6"/>
  <c r="L199" i="6"/>
  <c r="M199" i="6"/>
  <c r="N199" i="6"/>
  <c r="K200" i="6"/>
  <c r="L200" i="6"/>
  <c r="M200" i="6"/>
  <c r="N200" i="6"/>
  <c r="N67" i="6"/>
  <c r="O200" i="6"/>
  <c r="O67" i="6"/>
  <c r="E201" i="6"/>
  <c r="G203" i="6"/>
  <c r="H203" i="6"/>
  <c r="I203" i="6"/>
  <c r="J203" i="6"/>
  <c r="H204" i="6"/>
  <c r="I204" i="6"/>
  <c r="J204" i="6"/>
  <c r="K204" i="6"/>
  <c r="L204" i="6"/>
  <c r="I205" i="6"/>
  <c r="J205" i="6"/>
  <c r="K205" i="6"/>
  <c r="L205" i="6"/>
  <c r="M205" i="6"/>
  <c r="J206" i="6"/>
  <c r="K206" i="6"/>
  <c r="L206" i="6"/>
  <c r="M206" i="6"/>
  <c r="N206" i="6"/>
  <c r="K207" i="6"/>
  <c r="L207" i="6"/>
  <c r="M207" i="6"/>
  <c r="N207" i="6"/>
  <c r="O207" i="6"/>
  <c r="O70" i="6"/>
  <c r="E208" i="6"/>
  <c r="G210" i="6"/>
  <c r="G75" i="6"/>
  <c r="H211" i="6"/>
  <c r="I211" i="6"/>
  <c r="J211" i="6"/>
  <c r="K211" i="6"/>
  <c r="L211" i="6"/>
  <c r="I212" i="6"/>
  <c r="J212" i="6"/>
  <c r="K212" i="6"/>
  <c r="L212" i="6"/>
  <c r="J213" i="6"/>
  <c r="K213" i="6"/>
  <c r="L213" i="6"/>
  <c r="M213" i="6"/>
  <c r="N213" i="6"/>
  <c r="K214" i="6"/>
  <c r="L214" i="6"/>
  <c r="M214" i="6"/>
  <c r="N214" i="6"/>
  <c r="O214" i="6"/>
  <c r="O75" i="6"/>
  <c r="E215" i="6"/>
  <c r="H218" i="6"/>
  <c r="H81" i="6"/>
  <c r="I219" i="6"/>
  <c r="J219" i="6"/>
  <c r="K219" i="6"/>
  <c r="L219" i="6"/>
  <c r="M219" i="6"/>
  <c r="J220" i="6"/>
  <c r="K220" i="6"/>
  <c r="L220" i="6"/>
  <c r="M220" i="6"/>
  <c r="N220" i="6"/>
  <c r="K221" i="6"/>
  <c r="L221" i="6"/>
  <c r="M221" i="6"/>
  <c r="N221" i="6"/>
  <c r="O221" i="6"/>
  <c r="L222" i="6"/>
  <c r="M222" i="6"/>
  <c r="N222" i="6"/>
  <c r="O222" i="6"/>
  <c r="P222" i="6"/>
  <c r="E223" i="6"/>
  <c r="H225" i="6"/>
  <c r="H101" i="6"/>
  <c r="I225" i="6"/>
  <c r="I226" i="6"/>
  <c r="J226" i="6"/>
  <c r="K226" i="6"/>
  <c r="L226" i="6"/>
  <c r="J227" i="6"/>
  <c r="K227" i="6"/>
  <c r="L227" i="6"/>
  <c r="M227" i="6"/>
  <c r="N227" i="6"/>
  <c r="K228" i="6"/>
  <c r="L228" i="6"/>
  <c r="M228" i="6"/>
  <c r="N228" i="6"/>
  <c r="O228" i="6"/>
  <c r="L229" i="6"/>
  <c r="M229" i="6"/>
  <c r="N229" i="6"/>
  <c r="O229" i="6"/>
  <c r="P229" i="6"/>
  <c r="P101" i="6"/>
  <c r="E230" i="6"/>
  <c r="H232" i="6"/>
  <c r="H82" i="6"/>
  <c r="L232" i="6"/>
  <c r="I233" i="6"/>
  <c r="J233" i="6"/>
  <c r="K233" i="6"/>
  <c r="L233" i="6"/>
  <c r="M233" i="6"/>
  <c r="J234" i="6"/>
  <c r="K234" i="6"/>
  <c r="L234" i="6"/>
  <c r="M234" i="6"/>
  <c r="N234" i="6"/>
  <c r="K235" i="6"/>
  <c r="L235" i="6"/>
  <c r="M235" i="6"/>
  <c r="N235" i="6"/>
  <c r="O235" i="6"/>
  <c r="L236" i="6"/>
  <c r="M236" i="6"/>
  <c r="N236" i="6"/>
  <c r="O236" i="6"/>
  <c r="P236" i="6"/>
  <c r="P82" i="6"/>
  <c r="E237" i="6"/>
  <c r="H239" i="6"/>
  <c r="H89" i="6"/>
  <c r="L239" i="6"/>
  <c r="I240" i="6"/>
  <c r="J240" i="6"/>
  <c r="K240" i="6"/>
  <c r="L240" i="6"/>
  <c r="J241" i="6"/>
  <c r="K241" i="6"/>
  <c r="L241" i="6"/>
  <c r="M241" i="6"/>
  <c r="N241" i="6"/>
  <c r="K242" i="6"/>
  <c r="L242" i="6"/>
  <c r="M242" i="6"/>
  <c r="N242" i="6"/>
  <c r="O242" i="6"/>
  <c r="L243" i="6"/>
  <c r="M243" i="6"/>
  <c r="N243" i="6"/>
  <c r="O243" i="6"/>
  <c r="P243" i="6"/>
  <c r="P89" i="6"/>
  <c r="E244" i="6"/>
  <c r="H246" i="6"/>
  <c r="I247" i="6"/>
  <c r="J247" i="6"/>
  <c r="K247" i="6"/>
  <c r="L247" i="6"/>
  <c r="M247" i="6"/>
  <c r="J248" i="6"/>
  <c r="K248" i="6"/>
  <c r="L248" i="6"/>
  <c r="M248" i="6"/>
  <c r="N248" i="6"/>
  <c r="K249" i="6"/>
  <c r="L249" i="6"/>
  <c r="M249" i="6"/>
  <c r="N249" i="6"/>
  <c r="O249" i="6"/>
  <c r="L250" i="6"/>
  <c r="M250" i="6"/>
  <c r="N250" i="6"/>
  <c r="O250" i="6"/>
  <c r="O90" i="6"/>
  <c r="E251" i="6"/>
  <c r="H253" i="6"/>
  <c r="I253" i="6"/>
  <c r="J253" i="6"/>
  <c r="K253" i="6"/>
  <c r="I254" i="6"/>
  <c r="J254" i="6"/>
  <c r="K254" i="6"/>
  <c r="L254" i="6"/>
  <c r="M254" i="6"/>
  <c r="J255" i="6"/>
  <c r="K255" i="6"/>
  <c r="L255" i="6"/>
  <c r="M255" i="6"/>
  <c r="N255" i="6"/>
  <c r="K256" i="6"/>
  <c r="L256" i="6"/>
  <c r="M256" i="6"/>
  <c r="N256" i="6"/>
  <c r="O256" i="6"/>
  <c r="L257" i="6"/>
  <c r="M257" i="6"/>
  <c r="N257" i="6"/>
  <c r="O257" i="6"/>
  <c r="P257" i="6"/>
  <c r="P78" i="6"/>
  <c r="E258" i="6"/>
  <c r="H260" i="6"/>
  <c r="H94" i="6"/>
  <c r="L260" i="6"/>
  <c r="I261" i="6"/>
  <c r="J261" i="6"/>
  <c r="K261" i="6"/>
  <c r="L261" i="6"/>
  <c r="M261" i="6"/>
  <c r="J262" i="6"/>
  <c r="K262" i="6"/>
  <c r="L262" i="6"/>
  <c r="M262" i="6"/>
  <c r="N262" i="6"/>
  <c r="K263" i="6"/>
  <c r="L263" i="6"/>
  <c r="M263" i="6"/>
  <c r="N263" i="6"/>
  <c r="L264" i="6"/>
  <c r="M264" i="6"/>
  <c r="N264" i="6"/>
  <c r="O264" i="6"/>
  <c r="P264" i="6"/>
  <c r="P94" i="6"/>
  <c r="E265" i="6"/>
  <c r="H267" i="6"/>
  <c r="L267" i="6"/>
  <c r="H121" i="6"/>
  <c r="I268" i="6"/>
  <c r="J268" i="6"/>
  <c r="K268" i="6"/>
  <c r="L268" i="6"/>
  <c r="M268" i="6"/>
  <c r="J269" i="6"/>
  <c r="K269" i="6"/>
  <c r="L269" i="6"/>
  <c r="M269" i="6"/>
  <c r="N269" i="6"/>
  <c r="K270" i="6"/>
  <c r="L270" i="6"/>
  <c r="M270" i="6"/>
  <c r="N270" i="6"/>
  <c r="L271" i="6"/>
  <c r="M271" i="6"/>
  <c r="N271" i="6"/>
  <c r="O271" i="6"/>
  <c r="P271" i="6"/>
  <c r="P121" i="6"/>
  <c r="E272" i="6"/>
  <c r="H274" i="6"/>
  <c r="H97" i="6"/>
  <c r="I275" i="6"/>
  <c r="J275" i="6"/>
  <c r="K275" i="6"/>
  <c r="L275" i="6"/>
  <c r="M275" i="6"/>
  <c r="J276" i="6"/>
  <c r="K276" i="6"/>
  <c r="L276" i="6"/>
  <c r="M276" i="6"/>
  <c r="N276" i="6"/>
  <c r="K277" i="6"/>
  <c r="L277" i="6"/>
  <c r="M277" i="6"/>
  <c r="N277" i="6"/>
  <c r="O277" i="6"/>
  <c r="L278" i="6"/>
  <c r="M278" i="6"/>
  <c r="N278" i="6"/>
  <c r="O278" i="6"/>
  <c r="P278" i="6"/>
  <c r="P97" i="6"/>
  <c r="E279" i="6"/>
  <c r="L281" i="6"/>
  <c r="J282" i="6"/>
  <c r="K282" i="6"/>
  <c r="L282" i="6"/>
  <c r="K283" i="6"/>
  <c r="L283" i="6"/>
  <c r="M283" i="6"/>
  <c r="L284" i="6"/>
  <c r="M284" i="6"/>
  <c r="N284" i="6"/>
  <c r="O284" i="6"/>
  <c r="M285" i="6"/>
  <c r="H288" i="6"/>
  <c r="H120" i="6"/>
  <c r="I289" i="6"/>
  <c r="J289" i="6"/>
  <c r="K289" i="6"/>
  <c r="L289" i="6"/>
  <c r="M289" i="6"/>
  <c r="J290" i="6"/>
  <c r="K290" i="6"/>
  <c r="L290" i="6"/>
  <c r="M290" i="6"/>
  <c r="N290" i="6"/>
  <c r="K291" i="6"/>
  <c r="L291" i="6"/>
  <c r="M291" i="6"/>
  <c r="N291" i="6"/>
  <c r="O291" i="6"/>
  <c r="L292" i="6"/>
  <c r="M292" i="6"/>
  <c r="N292" i="6"/>
  <c r="O292" i="6"/>
  <c r="P292" i="6"/>
  <c r="P120" i="6"/>
  <c r="E293" i="6"/>
  <c r="H295" i="6"/>
  <c r="I295" i="6"/>
  <c r="J295" i="6"/>
  <c r="H122" i="6"/>
  <c r="I296" i="6"/>
  <c r="J296" i="6"/>
  <c r="K296" i="6"/>
  <c r="L296" i="6"/>
  <c r="J297" i="6"/>
  <c r="K297" i="6"/>
  <c r="L297" i="6"/>
  <c r="M297" i="6"/>
  <c r="N297" i="6"/>
  <c r="K298" i="6"/>
  <c r="L298" i="6"/>
  <c r="M298" i="6"/>
  <c r="N298" i="6"/>
  <c r="L299" i="6"/>
  <c r="M299" i="6"/>
  <c r="N299" i="6"/>
  <c r="O299" i="6"/>
  <c r="P299" i="6"/>
  <c r="P122" i="6"/>
  <c r="E300" i="6"/>
  <c r="H302" i="6"/>
  <c r="L302" i="6"/>
  <c r="I303" i="6"/>
  <c r="J303" i="6"/>
  <c r="J304" i="6"/>
  <c r="K304" i="6"/>
  <c r="L304" i="6"/>
  <c r="M304" i="6"/>
  <c r="N304" i="6"/>
  <c r="K305" i="6"/>
  <c r="L305" i="6"/>
  <c r="M305" i="6"/>
  <c r="N305" i="6"/>
  <c r="O305" i="6"/>
  <c r="L306" i="6"/>
  <c r="E307" i="6"/>
  <c r="I309" i="6"/>
  <c r="I124" i="6"/>
  <c r="J310" i="6"/>
  <c r="K310" i="6"/>
  <c r="L310" i="6"/>
  <c r="M310" i="6"/>
  <c r="N310" i="6"/>
  <c r="K311" i="6"/>
  <c r="L311" i="6"/>
  <c r="M311" i="6"/>
  <c r="N311" i="6"/>
  <c r="O311" i="6"/>
  <c r="L312" i="6"/>
  <c r="M312" i="6"/>
  <c r="N312" i="6"/>
  <c r="O312" i="6"/>
  <c r="P312" i="6"/>
  <c r="M313" i="6"/>
  <c r="N313" i="6"/>
  <c r="O313" i="6"/>
  <c r="P313" i="6"/>
  <c r="Q313" i="6"/>
  <c r="E314" i="6"/>
  <c r="X7" i="5"/>
  <c r="E12" i="5"/>
  <c r="F12" i="5"/>
  <c r="E20" i="5"/>
  <c r="F20" i="5"/>
  <c r="O27" i="5"/>
  <c r="X27" i="5"/>
  <c r="AB27" i="5"/>
  <c r="AI27" i="5"/>
  <c r="AL27" i="5"/>
  <c r="O28" i="5"/>
  <c r="X28" i="5"/>
  <c r="AB28" i="5"/>
  <c r="AC28" i="5"/>
  <c r="AI28" i="5"/>
  <c r="AJ28" i="5"/>
  <c r="AL28" i="5"/>
  <c r="AM28" i="5"/>
  <c r="E30" i="5"/>
  <c r="F30" i="5"/>
  <c r="O37" i="5"/>
  <c r="X37" i="5"/>
  <c r="AB37" i="5"/>
  <c r="AC37" i="5"/>
  <c r="AI37" i="5"/>
  <c r="AJ37" i="5"/>
  <c r="AL37" i="5"/>
  <c r="AM37" i="5"/>
  <c r="E39" i="5"/>
  <c r="F39" i="5"/>
  <c r="O45" i="5"/>
  <c r="X45" i="5"/>
  <c r="AB45" i="5"/>
  <c r="AE45" i="5"/>
  <c r="AI45" i="5"/>
  <c r="AJ45" i="5"/>
  <c r="AL45" i="5"/>
  <c r="AM45" i="5"/>
  <c r="O46" i="5"/>
  <c r="X46" i="5"/>
  <c r="AB46" i="5"/>
  <c r="AE46" i="5"/>
  <c r="AI46" i="5"/>
  <c r="AJ46" i="5"/>
  <c r="AL46" i="5"/>
  <c r="AM46" i="5"/>
  <c r="E48" i="5"/>
  <c r="F48" i="5"/>
  <c r="E53" i="5"/>
  <c r="F53" i="5"/>
  <c r="O59" i="5"/>
  <c r="X59" i="5"/>
  <c r="AB59" i="5"/>
  <c r="AE59" i="5"/>
  <c r="AJ59" i="5"/>
  <c r="AM59" i="5"/>
  <c r="E61" i="5"/>
  <c r="F61" i="5"/>
  <c r="O65" i="5"/>
  <c r="X65" i="5"/>
  <c r="AB65" i="5"/>
  <c r="AE65" i="5"/>
  <c r="AJ65" i="5"/>
  <c r="AM65" i="5"/>
  <c r="E66" i="5"/>
  <c r="F66" i="5"/>
  <c r="E72" i="5"/>
  <c r="F72" i="5"/>
  <c r="O79" i="5"/>
  <c r="X79" i="5"/>
  <c r="AB79" i="5"/>
  <c r="AE79" i="5"/>
  <c r="AJ79" i="5"/>
  <c r="AM79" i="5"/>
  <c r="E80" i="5"/>
  <c r="F80" i="5"/>
  <c r="O83" i="5"/>
  <c r="X83" i="5"/>
  <c r="AB83" i="5"/>
  <c r="AJ83" i="5"/>
  <c r="AM83" i="5"/>
  <c r="E85" i="5"/>
  <c r="F85" i="5"/>
  <c r="O89" i="5"/>
  <c r="X89" i="5"/>
  <c r="AB89" i="5"/>
  <c r="AJ89" i="5"/>
  <c r="AM89" i="5"/>
  <c r="O92" i="5"/>
  <c r="X92" i="5"/>
  <c r="AB92" i="5"/>
  <c r="AJ92" i="5"/>
  <c r="AM92" i="5"/>
  <c r="E93" i="5"/>
  <c r="F93" i="5"/>
  <c r="O96" i="5"/>
  <c r="X96" i="5"/>
  <c r="AB96" i="5"/>
  <c r="AJ96" i="5"/>
  <c r="AM96" i="5"/>
  <c r="O97" i="5"/>
  <c r="X97" i="5"/>
  <c r="AB97" i="5"/>
  <c r="AJ97" i="5"/>
  <c r="AM97" i="5"/>
  <c r="E99" i="5"/>
  <c r="F99" i="5"/>
  <c r="E103" i="5"/>
  <c r="F103" i="5"/>
  <c r="O106" i="5"/>
  <c r="X106" i="5"/>
  <c r="AB106" i="5"/>
  <c r="AJ106" i="5"/>
  <c r="AM106" i="5"/>
  <c r="O107" i="5"/>
  <c r="X107" i="5"/>
  <c r="AB107" i="5"/>
  <c r="AJ107" i="5"/>
  <c r="AM107" i="5"/>
  <c r="E109" i="5"/>
  <c r="F109" i="5"/>
  <c r="O112" i="5"/>
  <c r="X112" i="5"/>
  <c r="AB112" i="5"/>
  <c r="AJ112" i="5"/>
  <c r="AM112" i="5"/>
  <c r="E113" i="5"/>
  <c r="F113" i="5"/>
  <c r="O116" i="5"/>
  <c r="X116" i="5"/>
  <c r="AB116" i="5"/>
  <c r="AJ116" i="5"/>
  <c r="AM116" i="5"/>
  <c r="E118" i="5"/>
  <c r="F118" i="5"/>
  <c r="O121" i="5"/>
  <c r="X121" i="5"/>
  <c r="AB121" i="5"/>
  <c r="AJ121" i="5"/>
  <c r="AM121" i="5"/>
  <c r="E124" i="5"/>
  <c r="E128" i="5"/>
  <c r="F128" i="5"/>
  <c r="E157" i="5"/>
  <c r="F157" i="5"/>
  <c r="E158" i="5"/>
  <c r="F158" i="5"/>
  <c r="F25" i="4"/>
  <c r="G25" i="4"/>
  <c r="H25" i="4"/>
  <c r="K25" i="4"/>
  <c r="N25" i="4"/>
  <c r="Q25" i="4"/>
  <c r="T25" i="4"/>
  <c r="F26" i="4"/>
  <c r="G26" i="4"/>
  <c r="H26" i="4"/>
  <c r="K26" i="4"/>
  <c r="N26" i="4"/>
  <c r="Q26" i="4"/>
  <c r="T26" i="4"/>
  <c r="F34" i="4"/>
  <c r="G34" i="4"/>
  <c r="H34" i="4"/>
  <c r="K34" i="4"/>
  <c r="N34" i="4"/>
  <c r="Q34" i="4"/>
  <c r="T34" i="4"/>
  <c r="F40" i="4"/>
  <c r="G40" i="4"/>
  <c r="E40" i="4"/>
  <c r="H40" i="4"/>
  <c r="K40" i="4"/>
  <c r="N40" i="4"/>
  <c r="Q40" i="4"/>
  <c r="T40" i="4"/>
  <c r="F41" i="4"/>
  <c r="G41" i="4"/>
  <c r="E41" i="4"/>
  <c r="H41" i="4"/>
  <c r="K41" i="4"/>
  <c r="N41" i="4"/>
  <c r="Q41" i="4"/>
  <c r="T41" i="4"/>
  <c r="F53" i="4"/>
  <c r="G53" i="4"/>
  <c r="K53" i="4"/>
  <c r="N53" i="4"/>
  <c r="Q53" i="4"/>
  <c r="T53" i="4"/>
  <c r="W53" i="4"/>
  <c r="F58" i="4"/>
  <c r="G58" i="4"/>
  <c r="K58" i="4"/>
  <c r="N58" i="4"/>
  <c r="Q58" i="4"/>
  <c r="T58" i="4"/>
  <c r="W58" i="4"/>
  <c r="F70" i="4"/>
  <c r="G70" i="4"/>
  <c r="K70" i="4"/>
  <c r="N70" i="4"/>
  <c r="Q70" i="4"/>
  <c r="T70" i="4"/>
  <c r="W70" i="4"/>
  <c r="F73" i="4"/>
  <c r="G73" i="4"/>
  <c r="K73" i="4"/>
  <c r="N73" i="4"/>
  <c r="Q73" i="4"/>
  <c r="T73" i="4"/>
  <c r="W73" i="4"/>
  <c r="F78" i="4"/>
  <c r="G78" i="4"/>
  <c r="K78" i="4"/>
  <c r="N78" i="4"/>
  <c r="Q78" i="4"/>
  <c r="T78" i="4"/>
  <c r="W78" i="4"/>
  <c r="F81" i="4"/>
  <c r="G81" i="4"/>
  <c r="E81" i="4"/>
  <c r="N81" i="4"/>
  <c r="Q81" i="4"/>
  <c r="T81" i="4"/>
  <c r="W81" i="4"/>
  <c r="Z81" i="4"/>
  <c r="F84" i="4"/>
  <c r="G84" i="4"/>
  <c r="N84" i="4"/>
  <c r="Q84" i="4"/>
  <c r="T84" i="4"/>
  <c r="W84" i="4"/>
  <c r="Z84" i="4"/>
  <c r="F85" i="4"/>
  <c r="G85" i="4"/>
  <c r="N85" i="4"/>
  <c r="Q85" i="4"/>
  <c r="T85" i="4"/>
  <c r="W85" i="4"/>
  <c r="Z85" i="4"/>
  <c r="G92" i="4"/>
  <c r="O92" i="4"/>
  <c r="R92" i="4"/>
  <c r="R132" i="4"/>
  <c r="T92" i="4"/>
  <c r="W92" i="4"/>
  <c r="Z92" i="4"/>
  <c r="F93" i="4"/>
  <c r="G93" i="4"/>
  <c r="N93" i="4"/>
  <c r="Q93" i="4"/>
  <c r="T93" i="4"/>
  <c r="W93" i="4"/>
  <c r="Z93" i="4"/>
  <c r="F97" i="4"/>
  <c r="G97" i="4"/>
  <c r="E97" i="4"/>
  <c r="N97" i="4"/>
  <c r="Q97" i="4"/>
  <c r="T97" i="4"/>
  <c r="W97" i="4"/>
  <c r="Z97" i="4"/>
  <c r="F100" i="4"/>
  <c r="G100" i="4"/>
  <c r="N100" i="4"/>
  <c r="Q100" i="4"/>
  <c r="T100" i="4"/>
  <c r="W100" i="4"/>
  <c r="Z100" i="4"/>
  <c r="F104" i="4"/>
  <c r="G104" i="4"/>
  <c r="N104" i="4"/>
  <c r="Q104" i="4"/>
  <c r="T104" i="4"/>
  <c r="W104" i="4"/>
  <c r="Z104" i="4"/>
  <c r="E6" i="8"/>
  <c r="E7" i="8"/>
  <c r="E9" i="8"/>
  <c r="E10" i="8"/>
  <c r="E12" i="8"/>
  <c r="E13" i="8"/>
  <c r="E14" i="8"/>
  <c r="E15" i="8"/>
  <c r="E16" i="8"/>
  <c r="E17" i="8"/>
  <c r="E18" i="8"/>
  <c r="E19" i="8"/>
  <c r="E20" i="8"/>
  <c r="E22" i="8"/>
  <c r="E23" i="8"/>
  <c r="E24" i="8"/>
  <c r="E25" i="8"/>
  <c r="E26" i="8"/>
  <c r="E11" i="8"/>
  <c r="E27" i="8"/>
  <c r="E28" i="8"/>
  <c r="E29" i="8"/>
  <c r="E30" i="8"/>
  <c r="E31" i="8"/>
  <c r="E32" i="8"/>
  <c r="E33" i="8"/>
  <c r="E34" i="8"/>
  <c r="E35" i="8"/>
  <c r="E36" i="8"/>
  <c r="E37" i="8"/>
  <c r="E38" i="8"/>
  <c r="E39" i="8"/>
  <c r="E41" i="8"/>
  <c r="E42" i="8"/>
  <c r="E45" i="8"/>
  <c r="E46" i="8"/>
  <c r="E47" i="8"/>
  <c r="E48" i="8"/>
  <c r="E49" i="8"/>
  <c r="E50" i="8"/>
  <c r="E51" i="8"/>
  <c r="E55" i="8"/>
  <c r="E56" i="8"/>
  <c r="E58" i="8"/>
  <c r="E59" i="8"/>
  <c r="E60" i="8"/>
  <c r="E61" i="8"/>
  <c r="E62" i="8"/>
  <c r="E63" i="8"/>
  <c r="E65" i="8"/>
  <c r="E66" i="8"/>
  <c r="E67" i="8"/>
  <c r="E69" i="8"/>
  <c r="E73" i="8"/>
  <c r="E74" i="8"/>
  <c r="E75" i="8"/>
  <c r="E77" i="8"/>
  <c r="E78" i="8"/>
  <c r="E79" i="8"/>
  <c r="E80" i="8"/>
  <c r="E81" i="8"/>
  <c r="E82" i="8"/>
  <c r="E83" i="8"/>
  <c r="E84" i="8"/>
  <c r="E64" i="8"/>
  <c r="E86" i="8"/>
  <c r="E87" i="8"/>
  <c r="E88" i="8"/>
  <c r="E89" i="8"/>
  <c r="E90" i="8"/>
  <c r="E91" i="8"/>
  <c r="E92" i="8"/>
  <c r="E93" i="8"/>
  <c r="E94" i="8"/>
  <c r="E95" i="8"/>
  <c r="E97" i="8"/>
  <c r="E98" i="8"/>
  <c r="E99" i="8"/>
  <c r="E100" i="8"/>
  <c r="E101" i="8"/>
  <c r="E102" i="8"/>
  <c r="E103" i="8"/>
  <c r="E104" i="8"/>
  <c r="E105" i="8"/>
  <c r="E106" i="8"/>
  <c r="E107" i="8"/>
  <c r="E108" i="8"/>
  <c r="E109" i="8"/>
  <c r="E110" i="8"/>
  <c r="E111" i="8"/>
  <c r="E112" i="8"/>
  <c r="E115" i="8"/>
  <c r="E117" i="8"/>
  <c r="E118" i="8"/>
  <c r="E119" i="8"/>
  <c r="E120" i="8"/>
  <c r="E122" i="8"/>
  <c r="E116" i="8"/>
  <c r="E123" i="8"/>
  <c r="E124" i="8"/>
  <c r="E125" i="8"/>
  <c r="E126" i="8"/>
  <c r="E127" i="8"/>
  <c r="E121" i="8"/>
  <c r="E128" i="8"/>
  <c r="E129" i="8"/>
  <c r="E130" i="8"/>
  <c r="E131" i="8"/>
  <c r="E132" i="8"/>
  <c r="E133" i="8"/>
  <c r="E134" i="8"/>
  <c r="E135" i="8"/>
  <c r="E137" i="8"/>
  <c r="E138" i="8"/>
  <c r="E139" i="8"/>
  <c r="E140" i="8"/>
  <c r="E141" i="8"/>
  <c r="E142" i="8"/>
  <c r="E143" i="8"/>
  <c r="E72" i="8"/>
  <c r="E144" i="8"/>
  <c r="E145" i="8"/>
  <c r="E147" i="8"/>
  <c r="E148" i="8"/>
  <c r="E149" i="8"/>
  <c r="E150" i="8"/>
  <c r="E151" i="8"/>
  <c r="E154" i="8"/>
  <c r="E152" i="8"/>
  <c r="E153" i="8"/>
  <c r="E156" i="8"/>
  <c r="E159" i="8"/>
  <c r="E160" i="8"/>
  <c r="E161" i="8"/>
  <c r="E162" i="8"/>
  <c r="E177" i="8"/>
  <c r="E164" i="8"/>
  <c r="E165" i="8"/>
  <c r="E167" i="8"/>
  <c r="E170" i="8"/>
  <c r="E171" i="8"/>
  <c r="E172" i="8"/>
  <c r="E173" i="8"/>
  <c r="E174" i="8"/>
  <c r="E176" i="8"/>
  <c r="E178" i="8"/>
  <c r="E179" i="8"/>
  <c r="E181" i="8"/>
  <c r="E182" i="8"/>
  <c r="E183" i="8"/>
  <c r="E184" i="8"/>
  <c r="E185" i="8"/>
  <c r="E186" i="8"/>
  <c r="E187" i="8"/>
  <c r="E188" i="8"/>
  <c r="E189" i="8"/>
  <c r="E191" i="8"/>
  <c r="D200" i="8"/>
  <c r="D202" i="8"/>
  <c r="D203" i="8"/>
  <c r="D204" i="8"/>
  <c r="D205" i="8"/>
  <c r="D206" i="8"/>
  <c r="D207" i="8"/>
  <c r="D208" i="8"/>
  <c r="D209" i="8"/>
  <c r="D210" i="8"/>
  <c r="D211" i="8"/>
  <c r="D212" i="8"/>
  <c r="D213" i="8"/>
  <c r="D214" i="8"/>
  <c r="D215" i="8"/>
  <c r="D216" i="8"/>
  <c r="D217" i="8"/>
  <c r="D223" i="8"/>
  <c r="E24" i="3"/>
  <c r="AD27" i="5"/>
  <c r="E25" i="3"/>
  <c r="AD28" i="5"/>
  <c r="E32" i="3"/>
  <c r="AD37" i="5"/>
  <c r="E38" i="3"/>
  <c r="E39" i="3"/>
  <c r="E50" i="3"/>
  <c r="E55" i="3"/>
  <c r="E67" i="3"/>
  <c r="E70" i="3"/>
  <c r="E75" i="3"/>
  <c r="E78" i="3"/>
  <c r="E81" i="3"/>
  <c r="E82" i="3"/>
  <c r="E89" i="3"/>
  <c r="E90" i="3"/>
  <c r="E94" i="3"/>
  <c r="E97" i="3"/>
  <c r="E101" i="3"/>
  <c r="G25" i="2"/>
  <c r="G26" i="2"/>
  <c r="G34" i="2"/>
  <c r="N32" i="3"/>
  <c r="G40" i="2"/>
  <c r="N38" i="3"/>
  <c r="G41" i="2"/>
  <c r="G52" i="2"/>
  <c r="G57" i="2"/>
  <c r="N55" i="3"/>
  <c r="G69" i="2"/>
  <c r="G72" i="2"/>
  <c r="G77" i="2"/>
  <c r="G80" i="2"/>
  <c r="N78" i="3"/>
  <c r="G83" i="2"/>
  <c r="N81" i="3"/>
  <c r="G84" i="2"/>
  <c r="N82" i="3"/>
  <c r="G91" i="2"/>
  <c r="N89" i="3"/>
  <c r="G92" i="2"/>
  <c r="G96" i="2"/>
  <c r="N94" i="3"/>
  <c r="G99" i="2"/>
  <c r="N97" i="3"/>
  <c r="G103" i="2"/>
  <c r="D5" i="12"/>
  <c r="E5" i="12"/>
  <c r="F5" i="12"/>
  <c r="F6" i="12"/>
  <c r="F7" i="12"/>
  <c r="F8" i="12"/>
  <c r="F9" i="12"/>
  <c r="F10" i="12"/>
  <c r="F11" i="12"/>
  <c r="F12" i="12"/>
  <c r="F13" i="12"/>
  <c r="F14" i="12"/>
  <c r="F15" i="12"/>
  <c r="F16" i="12"/>
  <c r="F17" i="12"/>
  <c r="F18" i="12"/>
  <c r="F19" i="12"/>
  <c r="D6" i="12"/>
  <c r="E6" i="12"/>
  <c r="D7" i="12"/>
  <c r="E7" i="12"/>
  <c r="P8" i="12"/>
  <c r="D9" i="12"/>
  <c r="E9" i="12"/>
  <c r="D10" i="12"/>
  <c r="E10" i="12"/>
  <c r="D11" i="12"/>
  <c r="E11" i="12"/>
  <c r="D12" i="12"/>
  <c r="E12" i="12"/>
  <c r="D13" i="12"/>
  <c r="E13" i="12"/>
  <c r="D14" i="12"/>
  <c r="E14" i="12"/>
  <c r="E15" i="12"/>
  <c r="P15" i="12"/>
  <c r="I15" i="12"/>
  <c r="D16" i="12"/>
  <c r="E16" i="12"/>
  <c r="D17" i="12"/>
  <c r="E17" i="12"/>
  <c r="D18" i="12"/>
  <c r="E18" i="12"/>
  <c r="B19" i="12"/>
  <c r="C10" i="12"/>
  <c r="J21" i="12"/>
  <c r="K21" i="12"/>
  <c r="L21" i="12"/>
  <c r="M21" i="12"/>
  <c r="N21" i="12"/>
  <c r="O21" i="12"/>
  <c r="Q21" i="12"/>
  <c r="R21" i="12"/>
  <c r="S21" i="12"/>
  <c r="T22" i="12"/>
  <c r="U22" i="12"/>
  <c r="V22" i="12"/>
  <c r="W22" i="12"/>
  <c r="X22" i="12"/>
  <c r="Y22" i="12"/>
  <c r="Z22" i="12"/>
  <c r="AA22" i="12"/>
  <c r="AB22" i="12"/>
  <c r="AC22" i="12"/>
  <c r="AD22" i="12"/>
  <c r="AE22" i="12"/>
  <c r="AF23" i="12"/>
  <c r="AG23" i="12"/>
  <c r="AH23" i="12"/>
  <c r="AI23" i="12"/>
  <c r="AJ23" i="12"/>
  <c r="AK23" i="12"/>
  <c r="AL23" i="12"/>
  <c r="AM23" i="12"/>
  <c r="AN23" i="12"/>
  <c r="AO23" i="12"/>
  <c r="AP23" i="12"/>
  <c r="AQ23" i="12"/>
  <c r="AR23" i="12"/>
  <c r="I23" i="12"/>
  <c r="AS24" i="12"/>
  <c r="C33" i="12"/>
  <c r="D27" i="12"/>
  <c r="C42" i="12"/>
  <c r="D40" i="12"/>
  <c r="C49" i="12"/>
  <c r="D47" i="12"/>
  <c r="C64" i="12"/>
  <c r="D72" i="12"/>
  <c r="E68" i="12"/>
  <c r="O14" i="1"/>
  <c r="O17" i="1"/>
  <c r="P14" i="1"/>
  <c r="S14" i="1"/>
  <c r="T14" i="1"/>
  <c r="L17" i="1"/>
  <c r="M17" i="1"/>
  <c r="J22" i="1"/>
  <c r="Q22" i="1"/>
  <c r="K22" i="1"/>
  <c r="P22" i="1"/>
  <c r="S22" i="1"/>
  <c r="T22" i="1"/>
  <c r="O26" i="1"/>
  <c r="P29" i="1"/>
  <c r="P30" i="1"/>
  <c r="P31" i="1"/>
  <c r="H33" i="1"/>
  <c r="Q170" i="1"/>
  <c r="I33" i="1"/>
  <c r="J33" i="1"/>
  <c r="Q33" i="1"/>
  <c r="K33" i="1"/>
  <c r="O33" i="1"/>
  <c r="O36" i="1"/>
  <c r="O41" i="1"/>
  <c r="S33" i="1"/>
  <c r="T33" i="1"/>
  <c r="O37" i="1"/>
  <c r="L41" i="1"/>
  <c r="M41" i="1"/>
  <c r="P41" i="1"/>
  <c r="P43" i="1"/>
  <c r="H43" i="1"/>
  <c r="I43" i="1"/>
  <c r="J43" i="1"/>
  <c r="Q43" i="1"/>
  <c r="K43" i="1"/>
  <c r="O43" i="1"/>
  <c r="S43" i="1"/>
  <c r="T43" i="1"/>
  <c r="O47" i="1"/>
  <c r="O50" i="1"/>
  <c r="O51" i="1"/>
  <c r="L50" i="1"/>
  <c r="M50" i="1"/>
  <c r="P50" i="1"/>
  <c r="L51" i="1"/>
  <c r="M51" i="1"/>
  <c r="P51" i="1"/>
  <c r="J53" i="1"/>
  <c r="K53" i="1"/>
  <c r="O53" i="1"/>
  <c r="O130" i="1"/>
  <c r="O136" i="1"/>
  <c r="O142" i="1"/>
  <c r="O151" i="1"/>
  <c r="O159" i="1"/>
  <c r="O167" i="1"/>
  <c r="O172" i="1"/>
  <c r="Q53" i="1"/>
  <c r="S53" i="1"/>
  <c r="T53" i="1"/>
  <c r="O54" i="1"/>
  <c r="O58" i="1"/>
  <c r="O59" i="1"/>
  <c r="O60" i="1"/>
  <c r="O64" i="1"/>
  <c r="O65" i="1"/>
  <c r="O68" i="1"/>
  <c r="O69" i="1"/>
  <c r="O74" i="1"/>
  <c r="O75" i="1"/>
  <c r="O57" i="1"/>
  <c r="O61" i="1"/>
  <c r="L68" i="1"/>
  <c r="M68" i="1"/>
  <c r="P68" i="1"/>
  <c r="J70" i="1"/>
  <c r="K70" i="1"/>
  <c r="O70" i="1"/>
  <c r="Q70" i="1"/>
  <c r="S70" i="1"/>
  <c r="T70" i="1"/>
  <c r="O71" i="1"/>
  <c r="P75" i="1"/>
  <c r="J76" i="1"/>
  <c r="K76" i="1"/>
  <c r="O76" i="1"/>
  <c r="O80" i="1"/>
  <c r="O82" i="1"/>
  <c r="O83" i="1"/>
  <c r="Q76" i="1"/>
  <c r="S76" i="1"/>
  <c r="T76" i="1"/>
  <c r="O77" i="1"/>
  <c r="O85" i="1"/>
  <c r="O90" i="1"/>
  <c r="O96" i="1"/>
  <c r="L80" i="1"/>
  <c r="M80" i="1"/>
  <c r="H84" i="1"/>
  <c r="I84" i="1"/>
  <c r="J84" i="1"/>
  <c r="K84" i="1"/>
  <c r="O84" i="1"/>
  <c r="S84" i="1"/>
  <c r="T84" i="1"/>
  <c r="O88" i="1"/>
  <c r="O93" i="1"/>
  <c r="O94" i="1"/>
  <c r="O89" i="1"/>
  <c r="P94" i="1"/>
  <c r="H95" i="1"/>
  <c r="I95" i="1"/>
  <c r="J95" i="1"/>
  <c r="K95" i="1"/>
  <c r="O95" i="1"/>
  <c r="O99" i="1"/>
  <c r="O105" i="1"/>
  <c r="O106" i="1"/>
  <c r="Q95" i="1"/>
  <c r="S95" i="1"/>
  <c r="T95" i="1"/>
  <c r="L99" i="1"/>
  <c r="M99" i="1"/>
  <c r="P99" i="1"/>
  <c r="H101" i="1"/>
  <c r="I101" i="1"/>
  <c r="J101" i="1"/>
  <c r="K101" i="1"/>
  <c r="O101" i="1"/>
  <c r="S101" i="1"/>
  <c r="T101" i="1"/>
  <c r="L105" i="1"/>
  <c r="M105" i="1"/>
  <c r="L106" i="1"/>
  <c r="M106" i="1"/>
  <c r="P106" i="1"/>
  <c r="P109" i="1"/>
  <c r="H110" i="1"/>
  <c r="I110" i="1"/>
  <c r="J110" i="1"/>
  <c r="K110" i="1"/>
  <c r="O110" i="1"/>
  <c r="S110" i="1"/>
  <c r="T110" i="1"/>
  <c r="L114" i="1"/>
  <c r="M114" i="1"/>
  <c r="P114" i="1"/>
  <c r="L115" i="1"/>
  <c r="M115" i="1"/>
  <c r="P115" i="1"/>
  <c r="H117" i="1"/>
  <c r="I117" i="1"/>
  <c r="J117" i="1"/>
  <c r="K117" i="1"/>
  <c r="Q117" i="1"/>
  <c r="S117" i="1"/>
  <c r="T117" i="1"/>
  <c r="P121" i="1"/>
  <c r="L125" i="1"/>
  <c r="M125" i="1"/>
  <c r="P125" i="1"/>
  <c r="L126" i="1"/>
  <c r="M126" i="1"/>
  <c r="P126" i="1"/>
  <c r="H128" i="1"/>
  <c r="I128" i="1"/>
  <c r="J128" i="1"/>
  <c r="K128" i="1"/>
  <c r="O128" i="1"/>
  <c r="O135" i="1"/>
  <c r="O141" i="1"/>
  <c r="O150" i="1"/>
  <c r="O158" i="1"/>
  <c r="O166" i="1"/>
  <c r="O171" i="1"/>
  <c r="O179" i="1"/>
  <c r="O191" i="1"/>
  <c r="S128" i="1"/>
  <c r="T128" i="1"/>
  <c r="L133" i="1"/>
  <c r="M133" i="1"/>
  <c r="P133" i="1"/>
  <c r="Q133" i="1"/>
  <c r="O138" i="1"/>
  <c r="O139" i="1"/>
  <c r="O146" i="1"/>
  <c r="O148" i="1"/>
  <c r="O155" i="1"/>
  <c r="O156" i="1"/>
  <c r="O169" i="1"/>
  <c r="O183" i="1"/>
  <c r="O184" i="1"/>
  <c r="O185" i="1"/>
  <c r="O186" i="1"/>
  <c r="L138" i="1"/>
  <c r="M138" i="1"/>
  <c r="P138" i="1"/>
  <c r="P139" i="1"/>
  <c r="Q140" i="1"/>
  <c r="L146" i="1"/>
  <c r="M146" i="1"/>
  <c r="P146" i="1"/>
  <c r="P147" i="1"/>
  <c r="P148" i="1"/>
  <c r="H149" i="1"/>
  <c r="I149" i="1"/>
  <c r="J149" i="1"/>
  <c r="K149" i="1"/>
  <c r="Q149" i="1"/>
  <c r="S149" i="1"/>
  <c r="T149" i="1"/>
  <c r="P155" i="1"/>
  <c r="H157" i="1"/>
  <c r="I157" i="1"/>
  <c r="J157" i="1"/>
  <c r="K157" i="1"/>
  <c r="O165" i="1"/>
  <c r="S157" i="1"/>
  <c r="T157" i="1"/>
  <c r="H200" i="1"/>
  <c r="I205" i="1"/>
  <c r="D20" i="12"/>
  <c r="H207" i="1"/>
  <c r="K207" i="1"/>
  <c r="I212" i="1"/>
  <c r="M11" i="16"/>
  <c r="N11" i="16"/>
  <c r="M14" i="16"/>
  <c r="N14" i="16"/>
  <c r="M16" i="16"/>
  <c r="N16" i="16"/>
  <c r="M22" i="16"/>
  <c r="N22" i="16"/>
  <c r="M33" i="16"/>
  <c r="N33" i="16"/>
  <c r="M36" i="16"/>
  <c r="N36" i="16"/>
  <c r="M42" i="16"/>
  <c r="N42" i="16"/>
  <c r="M43" i="16"/>
  <c r="N43" i="16"/>
  <c r="M51" i="16"/>
  <c r="N51" i="16"/>
  <c r="N52" i="16"/>
  <c r="N53" i="16"/>
  <c r="M54" i="16"/>
  <c r="N54" i="16"/>
  <c r="N55" i="16"/>
  <c r="M58" i="16"/>
  <c r="N58" i="16"/>
  <c r="M62" i="16"/>
  <c r="N62" i="16"/>
  <c r="F53" i="15"/>
  <c r="I53" i="15"/>
  <c r="F54" i="15"/>
  <c r="I54" i="15"/>
  <c r="F55" i="15"/>
  <c r="I55" i="15"/>
  <c r="F56" i="15"/>
  <c r="I56" i="15"/>
  <c r="I57" i="15"/>
  <c r="I58" i="15"/>
  <c r="C59" i="15"/>
  <c r="C60" i="15"/>
  <c r="F59" i="15"/>
  <c r="I59" i="15"/>
  <c r="F60" i="15"/>
  <c r="I60" i="15"/>
  <c r="F61" i="15"/>
  <c r="F62" i="15"/>
  <c r="I62" i="15"/>
  <c r="I63" i="15"/>
  <c r="C64" i="15"/>
  <c r="E70" i="12"/>
  <c r="E71" i="12"/>
  <c r="E69" i="12"/>
  <c r="D60" i="12"/>
  <c r="D61" i="12"/>
  <c r="D32" i="12"/>
  <c r="D28" i="12"/>
  <c r="C13" i="12"/>
  <c r="C8" i="12"/>
  <c r="E119" i="4"/>
  <c r="D29" i="12"/>
  <c r="D30" i="12"/>
  <c r="D58" i="12"/>
  <c r="D62" i="12"/>
  <c r="J309" i="6"/>
  <c r="K309" i="6"/>
  <c r="L309" i="6"/>
  <c r="L124" i="6"/>
  <c r="I281" i="6"/>
  <c r="I113" i="6"/>
  <c r="I267" i="6"/>
  <c r="I260" i="6"/>
  <c r="I94" i="6"/>
  <c r="I174" i="6"/>
  <c r="J174" i="6"/>
  <c r="G55" i="6"/>
  <c r="M316" i="6"/>
  <c r="H210" i="1"/>
  <c r="I210" i="1"/>
  <c r="H206" i="1"/>
  <c r="I206" i="1"/>
  <c r="J140" i="1"/>
  <c r="S140" i="1"/>
  <c r="H140" i="1"/>
  <c r="T140" i="1"/>
  <c r="I140" i="1"/>
  <c r="K140" i="1"/>
  <c r="J267" i="6"/>
  <c r="J146" i="6"/>
  <c r="K146" i="6"/>
  <c r="L146" i="6"/>
  <c r="K183" i="6"/>
  <c r="L183" i="6"/>
  <c r="I232" i="6"/>
  <c r="I218" i="6"/>
  <c r="J218" i="6"/>
  <c r="M306" i="6"/>
  <c r="N306" i="6"/>
  <c r="O306" i="6"/>
  <c r="P306" i="6"/>
  <c r="P123" i="6"/>
  <c r="N285" i="6"/>
  <c r="O285" i="6"/>
  <c r="P285" i="6"/>
  <c r="E58" i="4"/>
  <c r="G132" i="4"/>
  <c r="Z133" i="4"/>
  <c r="E126" i="4"/>
  <c r="L295" i="6"/>
  <c r="M228" i="13"/>
  <c r="M231" i="13"/>
  <c r="M70" i="13"/>
  <c r="L324" i="6"/>
  <c r="M324" i="6"/>
  <c r="M37" i="6"/>
  <c r="M240" i="6"/>
  <c r="I188" i="6"/>
  <c r="N55" i="6"/>
  <c r="J145" i="6"/>
  <c r="G67" i="6"/>
  <c r="I211" i="1"/>
  <c r="G20" i="12"/>
  <c r="P33" i="1"/>
  <c r="I101" i="6"/>
  <c r="M67" i="6"/>
  <c r="L55" i="6"/>
  <c r="H50" i="6"/>
  <c r="E120" i="13"/>
  <c r="I196" i="6"/>
  <c r="J196" i="6"/>
  <c r="J67" i="6"/>
  <c r="L288" i="6"/>
  <c r="O81" i="1"/>
  <c r="N97" i="6"/>
  <c r="M78" i="6"/>
  <c r="O82" i="6"/>
  <c r="M31" i="6"/>
  <c r="F165" i="13"/>
  <c r="F24" i="24"/>
  <c r="E24" i="24"/>
  <c r="N24" i="24"/>
  <c r="O25" i="26"/>
  <c r="C25" i="26"/>
  <c r="N121" i="3"/>
  <c r="D31" i="12"/>
  <c r="H214" i="1"/>
  <c r="Q128" i="1"/>
  <c r="E70" i="4"/>
  <c r="E34" i="4"/>
  <c r="K132" i="4"/>
  <c r="C35" i="9"/>
  <c r="T132" i="4"/>
  <c r="F35" i="9"/>
  <c r="H132" i="4"/>
  <c r="B35" i="9"/>
  <c r="E156" i="5"/>
  <c r="G37" i="6"/>
  <c r="N125" i="6"/>
  <c r="T133" i="4"/>
  <c r="H133" i="4"/>
  <c r="F368" i="13"/>
  <c r="E116" i="13"/>
  <c r="O10" i="9"/>
  <c r="E121" i="13"/>
  <c r="O24" i="24"/>
  <c r="I144" i="6"/>
  <c r="J144" i="6"/>
  <c r="H23" i="6"/>
  <c r="K203" i="6"/>
  <c r="K70" i="6"/>
  <c r="J70" i="6"/>
  <c r="F344" i="13"/>
  <c r="I181" i="6"/>
  <c r="H70" i="6"/>
  <c r="M125" i="6"/>
  <c r="J225" i="6"/>
  <c r="I121" i="6"/>
  <c r="E19" i="12"/>
  <c r="E100" i="4"/>
  <c r="M120" i="6"/>
  <c r="O81" i="6"/>
  <c r="O157" i="5"/>
  <c r="P24" i="24"/>
  <c r="I66" i="26"/>
  <c r="N78" i="6"/>
  <c r="J232" i="6"/>
  <c r="I82" i="6"/>
  <c r="K78" i="6"/>
  <c r="H78" i="6"/>
  <c r="L253" i="6"/>
  <c r="L78" i="6"/>
  <c r="E23" i="13"/>
  <c r="E375" i="13"/>
  <c r="D211" i="17"/>
  <c r="D218" i="17"/>
  <c r="D208" i="17"/>
  <c r="D462" i="17"/>
  <c r="V7" i="23"/>
  <c r="AC11" i="24"/>
  <c r="D24" i="24"/>
  <c r="M24" i="24"/>
  <c r="Q24" i="24"/>
  <c r="AF24" i="24"/>
  <c r="H90" i="6"/>
  <c r="I246" i="6"/>
  <c r="L246" i="6"/>
  <c r="L90" i="6"/>
  <c r="M81" i="6"/>
  <c r="AC132" i="4"/>
  <c r="I35" i="9"/>
  <c r="L17" i="24"/>
  <c r="L24" i="24"/>
  <c r="R15" i="24"/>
  <c r="AJ15" i="24"/>
  <c r="G131" i="2"/>
  <c r="C67" i="15"/>
  <c r="M89" i="6"/>
  <c r="L23" i="6"/>
  <c r="E85" i="4"/>
  <c r="E73" i="4"/>
  <c r="M94" i="6"/>
  <c r="N70" i="6"/>
  <c r="E116" i="4"/>
  <c r="H227" i="1"/>
  <c r="H232" i="1"/>
  <c r="H223" i="1"/>
  <c r="O8" i="9"/>
  <c r="H24" i="24"/>
  <c r="M66" i="26"/>
  <c r="N50" i="6"/>
  <c r="E228" i="13"/>
  <c r="E383" i="13"/>
  <c r="E18" i="9"/>
  <c r="I55" i="6"/>
  <c r="O78" i="6"/>
  <c r="H159" i="6"/>
  <c r="G70" i="6"/>
  <c r="J124" i="6"/>
  <c r="D57" i="12"/>
  <c r="D56" i="12"/>
  <c r="D63" i="12"/>
  <c r="E130" i="3"/>
  <c r="P34" i="9"/>
  <c r="J23" i="6"/>
  <c r="L24" i="6"/>
  <c r="P124" i="6"/>
  <c r="H55" i="6"/>
  <c r="M24" i="6"/>
  <c r="E136" i="6"/>
  <c r="Q92" i="4"/>
  <c r="Q132" i="4"/>
  <c r="E35" i="9"/>
  <c r="I239" i="6"/>
  <c r="J239" i="6"/>
  <c r="J78" i="6"/>
  <c r="I78" i="6"/>
  <c r="K124" i="6"/>
  <c r="D59" i="12"/>
  <c r="C6" i="12"/>
  <c r="E84" i="4"/>
  <c r="O124" i="6"/>
  <c r="H123" i="6"/>
  <c r="I302" i="6"/>
  <c r="F37" i="6"/>
  <c r="F352" i="13"/>
  <c r="E387" i="13"/>
  <c r="I18" i="9"/>
  <c r="E343" i="13"/>
  <c r="F336" i="13"/>
  <c r="E335" i="13"/>
  <c r="E327" i="13"/>
  <c r="F304" i="13"/>
  <c r="E263" i="13"/>
  <c r="J226" i="13"/>
  <c r="I231" i="13"/>
  <c r="I70" i="13"/>
  <c r="I142" i="13"/>
  <c r="F26" i="9"/>
  <c r="E24" i="13"/>
  <c r="N142" i="13"/>
  <c r="K26" i="9"/>
  <c r="L89" i="6"/>
  <c r="N82" i="6"/>
  <c r="O101" i="6"/>
  <c r="E126" i="6"/>
  <c r="E227" i="17"/>
  <c r="J81" i="6"/>
  <c r="P53" i="1"/>
  <c r="E194" i="8"/>
  <c r="E195" i="8"/>
  <c r="H218" i="1"/>
  <c r="E53" i="4"/>
  <c r="E25" i="4"/>
  <c r="M70" i="6"/>
  <c r="L67" i="6"/>
  <c r="P142" i="13"/>
  <c r="M26" i="9"/>
  <c r="O142" i="13"/>
  <c r="L26" i="9"/>
  <c r="I24" i="12"/>
  <c r="F360" i="13"/>
  <c r="Q142" i="13"/>
  <c r="N26" i="9"/>
  <c r="E122" i="13"/>
  <c r="E128" i="4"/>
  <c r="O270" i="6"/>
  <c r="O121" i="6"/>
  <c r="N121" i="6"/>
  <c r="K232" i="6"/>
  <c r="K82" i="6"/>
  <c r="J82" i="6"/>
  <c r="M212" i="6"/>
  <c r="M75" i="6"/>
  <c r="L75" i="6"/>
  <c r="Q27" i="20"/>
  <c r="M121" i="6"/>
  <c r="O132" i="4"/>
  <c r="N133" i="4"/>
  <c r="Q133" i="4"/>
  <c r="F134" i="4"/>
  <c r="F92" i="4"/>
  <c r="E92" i="4"/>
  <c r="O123" i="6"/>
  <c r="O263" i="6"/>
  <c r="O94" i="6"/>
  <c r="N94" i="6"/>
  <c r="L94" i="6"/>
  <c r="L82" i="6"/>
  <c r="J67" i="13"/>
  <c r="F224" i="13"/>
  <c r="E223" i="13"/>
  <c r="E180" i="13"/>
  <c r="E101" i="13"/>
  <c r="E54" i="13"/>
  <c r="I125" i="6"/>
  <c r="J316" i="6"/>
  <c r="E113" i="13"/>
  <c r="J116" i="6"/>
  <c r="K323" i="6"/>
  <c r="K145" i="6"/>
  <c r="K23" i="6"/>
  <c r="J122" i="6"/>
  <c r="K295" i="6"/>
  <c r="K122" i="6"/>
  <c r="K218" i="6"/>
  <c r="N92" i="4"/>
  <c r="N132" i="4"/>
  <c r="D35" i="9"/>
  <c r="J260" i="6"/>
  <c r="J281" i="6"/>
  <c r="I8" i="12"/>
  <c r="I19" i="12"/>
  <c r="H13" i="12"/>
  <c r="D8" i="12"/>
  <c r="AD156" i="5"/>
  <c r="E104" i="4"/>
  <c r="M97" i="6"/>
  <c r="N101" i="6"/>
  <c r="N75" i="6"/>
  <c r="G38" i="6"/>
  <c r="H173" i="6"/>
  <c r="E351" i="13"/>
  <c r="F328" i="13"/>
  <c r="E303" i="13"/>
  <c r="E287" i="13"/>
  <c r="E239" i="13"/>
  <c r="K227" i="13"/>
  <c r="L227" i="13"/>
  <c r="L231" i="13"/>
  <c r="L70" i="13"/>
  <c r="L142" i="13"/>
  <c r="I26" i="9"/>
  <c r="G49" i="13"/>
  <c r="E49" i="13"/>
  <c r="F207" i="13"/>
  <c r="F173" i="13"/>
  <c r="G69" i="15"/>
  <c r="H230" i="1"/>
  <c r="E131" i="3"/>
  <c r="H217" i="1"/>
  <c r="B34" i="9"/>
  <c r="O34" i="9"/>
  <c r="J66" i="26"/>
  <c r="N75" i="26"/>
  <c r="K24" i="6"/>
  <c r="K37" i="6"/>
  <c r="N120" i="6"/>
  <c r="M82" i="6"/>
  <c r="P125" i="6"/>
  <c r="L120" i="6"/>
  <c r="K267" i="6"/>
  <c r="K121" i="6"/>
  <c r="J121" i="6"/>
  <c r="H166" i="6"/>
  <c r="H208" i="1"/>
  <c r="I208" i="1"/>
  <c r="G23" i="6"/>
  <c r="I122" i="6"/>
  <c r="D39" i="12"/>
  <c r="D38" i="12"/>
  <c r="D41" i="12"/>
  <c r="P21" i="12"/>
  <c r="I21" i="12"/>
  <c r="C5" i="12"/>
  <c r="C18" i="12"/>
  <c r="C11" i="12"/>
  <c r="C17" i="12"/>
  <c r="C7" i="12"/>
  <c r="C16" i="12"/>
  <c r="C9" i="12"/>
  <c r="C14" i="12"/>
  <c r="F38" i="13"/>
  <c r="E38" i="13"/>
  <c r="F199" i="13"/>
  <c r="H37" i="13"/>
  <c r="E37" i="13"/>
  <c r="F190" i="13"/>
  <c r="F181" i="13"/>
  <c r="E31" i="13"/>
  <c r="E359" i="13"/>
  <c r="O116" i="6"/>
  <c r="H226" i="1"/>
  <c r="C74" i="15"/>
  <c r="G19" i="12"/>
  <c r="G66" i="26"/>
  <c r="M226" i="6"/>
  <c r="M101" i="6"/>
  <c r="I70" i="6"/>
  <c r="J188" i="6"/>
  <c r="N81" i="6"/>
  <c r="O120" i="6"/>
  <c r="O125" i="6"/>
  <c r="L70" i="6"/>
  <c r="F142" i="13"/>
  <c r="C26" i="9"/>
  <c r="L121" i="6"/>
  <c r="AB157" i="5"/>
  <c r="I81" i="6"/>
  <c r="L274" i="6"/>
  <c r="L97" i="6"/>
  <c r="I274" i="6"/>
  <c r="C12" i="12"/>
  <c r="C15" i="12"/>
  <c r="D48" i="12"/>
  <c r="D49" i="12"/>
  <c r="H210" i="6"/>
  <c r="M23" i="6"/>
  <c r="F320" i="13"/>
  <c r="E198" i="13"/>
  <c r="E90" i="13"/>
  <c r="E89" i="13"/>
  <c r="E82" i="13"/>
  <c r="E75" i="13"/>
  <c r="E72" i="12"/>
  <c r="D33" i="12"/>
  <c r="I22" i="12"/>
  <c r="E93" i="4"/>
  <c r="O89" i="6"/>
  <c r="E311" i="13"/>
  <c r="E295" i="13"/>
  <c r="E247" i="13"/>
  <c r="P116" i="6"/>
  <c r="Q190" i="1"/>
  <c r="C227" i="17"/>
  <c r="C449" i="17"/>
  <c r="E443" i="17"/>
  <c r="C443" i="17"/>
  <c r="C460" i="17"/>
  <c r="E287" i="17"/>
  <c r="C287" i="17"/>
  <c r="C453" i="17"/>
  <c r="E423" i="17"/>
  <c r="C423" i="17"/>
  <c r="C459" i="17"/>
  <c r="M309" i="6"/>
  <c r="M124" i="6"/>
  <c r="N89" i="6"/>
  <c r="M90" i="6"/>
  <c r="M142" i="13"/>
  <c r="J26" i="9"/>
  <c r="M323" i="6"/>
  <c r="M116" i="6"/>
  <c r="G151" i="6"/>
  <c r="G179" i="6"/>
  <c r="I288" i="6"/>
  <c r="E26" i="4"/>
  <c r="M55" i="6"/>
  <c r="F288" i="13"/>
  <c r="E271" i="13"/>
  <c r="F264" i="13"/>
  <c r="E255" i="13"/>
  <c r="F248" i="13"/>
  <c r="F240" i="13"/>
  <c r="F215" i="13"/>
  <c r="E164" i="13"/>
  <c r="E94" i="13"/>
  <c r="E78" i="13"/>
  <c r="E125" i="4"/>
  <c r="E262" i="17"/>
  <c r="C262" i="17"/>
  <c r="C451" i="17"/>
  <c r="E385" i="17"/>
  <c r="C385" i="17"/>
  <c r="C456" i="17"/>
  <c r="E344" i="17"/>
  <c r="C344" i="17"/>
  <c r="C455" i="17"/>
  <c r="E397" i="17"/>
  <c r="C397" i="17"/>
  <c r="C457" i="17"/>
  <c r="V5" i="23"/>
  <c r="V9" i="23"/>
  <c r="AA24" i="24"/>
  <c r="P32" i="26"/>
  <c r="K214" i="1"/>
  <c r="Q157" i="1"/>
  <c r="E78" i="4"/>
  <c r="O97" i="6"/>
  <c r="F312" i="13"/>
  <c r="F296" i="13"/>
  <c r="F280" i="13"/>
  <c r="E279" i="13"/>
  <c r="F272" i="13"/>
  <c r="F256" i="13"/>
  <c r="E214" i="13"/>
  <c r="E206" i="13"/>
  <c r="E189" i="13"/>
  <c r="E172" i="13"/>
  <c r="E97" i="13"/>
  <c r="E81" i="13"/>
  <c r="E122" i="4"/>
  <c r="E124" i="13"/>
  <c r="E272" i="17"/>
  <c r="C272" i="17"/>
  <c r="C452" i="17"/>
  <c r="E249" i="17"/>
  <c r="C249" i="17"/>
  <c r="C450" i="17"/>
  <c r="E407" i="17"/>
  <c r="C407" i="17"/>
  <c r="C458" i="17"/>
  <c r="E306" i="17"/>
  <c r="C306" i="17"/>
  <c r="C454" i="17"/>
  <c r="AB24" i="24"/>
  <c r="AJ12" i="24"/>
  <c r="G17" i="24"/>
  <c r="G24" i="24"/>
  <c r="H66" i="26"/>
  <c r="L66" i="26"/>
  <c r="F6" i="27"/>
  <c r="N324" i="6"/>
  <c r="N116" i="6"/>
  <c r="L122" i="6"/>
  <c r="M296" i="6"/>
  <c r="M122" i="6"/>
  <c r="N283" i="6"/>
  <c r="E283" i="6"/>
  <c r="E347" i="6"/>
  <c r="F17" i="9"/>
  <c r="P250" i="6"/>
  <c r="P90" i="6"/>
  <c r="K174" i="6"/>
  <c r="E174" i="6"/>
  <c r="O180" i="1"/>
  <c r="O192" i="1"/>
  <c r="E132" i="4"/>
  <c r="Q340" i="6"/>
  <c r="Q124" i="6"/>
  <c r="Q129" i="6"/>
  <c r="N124" i="6"/>
  <c r="N123" i="6"/>
  <c r="O298" i="6"/>
  <c r="O122" i="6"/>
  <c r="N122" i="6"/>
  <c r="E196" i="8"/>
  <c r="E197" i="8"/>
  <c r="H219" i="1"/>
  <c r="C69" i="15"/>
  <c r="M282" i="6"/>
  <c r="M113" i="6"/>
  <c r="L113" i="6"/>
  <c r="O113" i="6"/>
  <c r="E284" i="6"/>
  <c r="E348" i="6"/>
  <c r="G17" i="9"/>
  <c r="E285" i="6"/>
  <c r="E349" i="6"/>
  <c r="H17" i="9"/>
  <c r="P113" i="6"/>
  <c r="L50" i="6"/>
  <c r="M183" i="6"/>
  <c r="O100" i="1"/>
  <c r="O102" i="1"/>
  <c r="K303" i="6"/>
  <c r="N90" i="3"/>
  <c r="B142" i="2"/>
  <c r="N70" i="3"/>
  <c r="B143" i="2"/>
  <c r="N39" i="3"/>
  <c r="P41" i="2"/>
  <c r="N24" i="3"/>
  <c r="B141" i="2"/>
  <c r="AE37" i="5"/>
  <c r="AE28" i="5"/>
  <c r="Z132" i="4"/>
  <c r="H35" i="9"/>
  <c r="T138" i="4"/>
  <c r="N138" i="4"/>
  <c r="Q137" i="4"/>
  <c r="K137" i="4"/>
  <c r="F161" i="5"/>
  <c r="AL156" i="5"/>
  <c r="AM158" i="5"/>
  <c r="AI156" i="5"/>
  <c r="AB156" i="5"/>
  <c r="O156" i="5"/>
  <c r="F156" i="5"/>
  <c r="X156" i="5"/>
  <c r="I207" i="1"/>
  <c r="E20" i="12"/>
  <c r="D15" i="12"/>
  <c r="N101" i="3"/>
  <c r="B148" i="2"/>
  <c r="N75" i="3"/>
  <c r="B139" i="2"/>
  <c r="N67" i="3"/>
  <c r="B145" i="2"/>
  <c r="N50" i="3"/>
  <c r="B149" i="2"/>
  <c r="N25" i="3"/>
  <c r="B140" i="2"/>
  <c r="D227" i="8"/>
  <c r="W132" i="4"/>
  <c r="G35" i="9"/>
  <c r="W138" i="4"/>
  <c r="Q138" i="4"/>
  <c r="K138" i="4"/>
  <c r="T137" i="4"/>
  <c r="N137" i="4"/>
  <c r="H137" i="4"/>
  <c r="E161" i="5"/>
  <c r="AM27" i="5"/>
  <c r="AM156" i="5"/>
  <c r="AJ27" i="5"/>
  <c r="AJ156" i="5"/>
  <c r="AC27" i="5"/>
  <c r="AC156" i="5"/>
  <c r="H229" i="1"/>
  <c r="N90" i="6"/>
  <c r="P81" i="6"/>
  <c r="L31" i="6"/>
  <c r="F179" i="6"/>
  <c r="F340" i="6"/>
  <c r="G216" i="6"/>
  <c r="F23" i="6"/>
  <c r="E386" i="13"/>
  <c r="H18" i="9"/>
  <c r="E385" i="13"/>
  <c r="G18" i="9"/>
  <c r="E384" i="13"/>
  <c r="F18" i="9"/>
  <c r="E380" i="13"/>
  <c r="H202" i="1"/>
  <c r="H203" i="1"/>
  <c r="B147" i="2"/>
  <c r="D445" i="17"/>
  <c r="AJ13" i="24"/>
  <c r="O26" i="26"/>
  <c r="AI10" i="24"/>
  <c r="AI24" i="24"/>
  <c r="H5" i="27"/>
  <c r="I5" i="27"/>
  <c r="J5" i="27"/>
  <c r="P121" i="2"/>
  <c r="P122" i="2"/>
  <c r="V4" i="23"/>
  <c r="V6" i="23"/>
  <c r="V8" i="23"/>
  <c r="P33" i="26"/>
  <c r="N68" i="26"/>
  <c r="F7" i="27"/>
  <c r="K6" i="24"/>
  <c r="AJ6" i="24"/>
  <c r="K7" i="24"/>
  <c r="AJ7" i="24"/>
  <c r="D22" i="20"/>
  <c r="P30" i="26"/>
  <c r="D5" i="20"/>
  <c r="D11" i="20"/>
  <c r="F5" i="20"/>
  <c r="F11" i="20"/>
  <c r="H5" i="20"/>
  <c r="P6" i="20"/>
  <c r="G132" i="2"/>
  <c r="D33" i="9"/>
  <c r="O33" i="9"/>
  <c r="P103" i="2"/>
  <c r="P99" i="2"/>
  <c r="P96" i="2"/>
  <c r="P92" i="2"/>
  <c r="P91" i="2"/>
  <c r="P84" i="2"/>
  <c r="P83" i="2"/>
  <c r="P80" i="2"/>
  <c r="P77" i="2"/>
  <c r="P72" i="2"/>
  <c r="P69" i="2"/>
  <c r="P57" i="2"/>
  <c r="P52" i="2"/>
  <c r="P40" i="2"/>
  <c r="P34" i="2"/>
  <c r="P26" i="2"/>
  <c r="P25" i="2"/>
  <c r="N124" i="3"/>
  <c r="P125" i="2"/>
  <c r="P115" i="2"/>
  <c r="P132" i="2"/>
  <c r="N116" i="3"/>
  <c r="N123" i="3"/>
  <c r="P127" i="2"/>
  <c r="G67" i="15"/>
  <c r="G66" i="15"/>
  <c r="K5" i="24"/>
  <c r="AJ5" i="24"/>
  <c r="K9" i="24"/>
  <c r="AJ9" i="24"/>
  <c r="H45" i="26"/>
  <c r="H46" i="26"/>
  <c r="H51" i="26"/>
  <c r="J45" i="26"/>
  <c r="J46" i="26"/>
  <c r="K8" i="24"/>
  <c r="AJ8" i="24"/>
  <c r="J16" i="27"/>
  <c r="J17" i="27"/>
  <c r="N48" i="26"/>
  <c r="H6" i="27"/>
  <c r="I6" i="27"/>
  <c r="J6" i="27"/>
  <c r="G7" i="27"/>
  <c r="G11" i="27"/>
  <c r="H11" i="27"/>
  <c r="I11" i="27"/>
  <c r="J11" i="27"/>
  <c r="G45" i="26"/>
  <c r="I45" i="26"/>
  <c r="I46" i="26"/>
  <c r="I51" i="26"/>
  <c r="K45" i="26"/>
  <c r="M45" i="26"/>
  <c r="M46" i="26"/>
  <c r="M51" i="26"/>
  <c r="H10" i="27"/>
  <c r="I10" i="27"/>
  <c r="J10" i="27"/>
  <c r="H12" i="27"/>
  <c r="I12" i="27"/>
  <c r="J12" i="27"/>
  <c r="D21" i="20"/>
  <c r="P15" i="20"/>
  <c r="P24" i="26"/>
  <c r="O24" i="26"/>
  <c r="C24" i="26"/>
  <c r="O23" i="26"/>
  <c r="C23" i="26"/>
  <c r="P25" i="26"/>
  <c r="O30" i="26"/>
  <c r="B25" i="26"/>
  <c r="G34" i="26"/>
  <c r="P34" i="26"/>
  <c r="P23" i="26"/>
  <c r="K4" i="24"/>
  <c r="AJ4" i="24"/>
  <c r="AC10" i="24"/>
  <c r="AC24" i="24"/>
  <c r="J7" i="20"/>
  <c r="J11" i="20"/>
  <c r="P27" i="20"/>
  <c r="E11" i="20"/>
  <c r="G11" i="20"/>
  <c r="I11" i="20"/>
  <c r="Q9" i="20"/>
  <c r="P26" i="20"/>
  <c r="H11" i="20"/>
  <c r="P4" i="20"/>
  <c r="C7" i="20"/>
  <c r="C11" i="20"/>
  <c r="P35" i="20"/>
  <c r="P33" i="9"/>
  <c r="G142" i="13"/>
  <c r="D26" i="9"/>
  <c r="F194" i="8"/>
  <c r="H216" i="1"/>
  <c r="P340" i="6"/>
  <c r="AD159" i="5"/>
  <c r="Q26" i="20"/>
  <c r="I23" i="6"/>
  <c r="D64" i="12"/>
  <c r="O12" i="9"/>
  <c r="C70" i="15"/>
  <c r="H7" i="27"/>
  <c r="I7" i="27"/>
  <c r="J7" i="27"/>
  <c r="J8" i="27"/>
  <c r="E146" i="13"/>
  <c r="I25" i="12"/>
  <c r="C68" i="15"/>
  <c r="K196" i="6"/>
  <c r="K67" i="6"/>
  <c r="E82" i="6"/>
  <c r="H9" i="12"/>
  <c r="I89" i="6"/>
  <c r="E59" i="12"/>
  <c r="I67" i="6"/>
  <c r="I159" i="6"/>
  <c r="H31" i="6"/>
  <c r="I90" i="6"/>
  <c r="J246" i="6"/>
  <c r="I50" i="6"/>
  <c r="J181" i="6"/>
  <c r="F132" i="4"/>
  <c r="F133" i="4"/>
  <c r="O129" i="6"/>
  <c r="E57" i="12"/>
  <c r="N66" i="26"/>
  <c r="J302" i="6"/>
  <c r="I123" i="6"/>
  <c r="E78" i="6"/>
  <c r="J101" i="6"/>
  <c r="K225" i="6"/>
  <c r="C462" i="17"/>
  <c r="E70" i="6"/>
  <c r="E143" i="13"/>
  <c r="O35" i="9"/>
  <c r="K226" i="13"/>
  <c r="J231" i="13"/>
  <c r="J70" i="13"/>
  <c r="J142" i="13"/>
  <c r="G26" i="9"/>
  <c r="J89" i="6"/>
  <c r="K239" i="6"/>
  <c r="K89" i="6"/>
  <c r="E89" i="6"/>
  <c r="N130" i="3"/>
  <c r="J209" i="1"/>
  <c r="J211" i="1"/>
  <c r="J205" i="1"/>
  <c r="J207" i="1"/>
  <c r="G24" i="6"/>
  <c r="H151" i="6"/>
  <c r="E67" i="13"/>
  <c r="E121" i="6"/>
  <c r="E132" i="2"/>
  <c r="D19" i="12"/>
  <c r="E124" i="6"/>
  <c r="J113" i="6"/>
  <c r="K281" i="6"/>
  <c r="K81" i="6"/>
  <c r="L218" i="6"/>
  <c r="L81" i="6"/>
  <c r="J125" i="6"/>
  <c r="K316" i="6"/>
  <c r="E122" i="6"/>
  <c r="I210" i="6"/>
  <c r="H75" i="6"/>
  <c r="I97" i="6"/>
  <c r="J274" i="6"/>
  <c r="H222" i="1"/>
  <c r="H228" i="1"/>
  <c r="C19" i="12"/>
  <c r="H38" i="6"/>
  <c r="I173" i="6"/>
  <c r="K260" i="6"/>
  <c r="K94" i="6"/>
  <c r="J94" i="6"/>
  <c r="L323" i="6"/>
  <c r="L116" i="6"/>
  <c r="K116" i="6"/>
  <c r="P129" i="6"/>
  <c r="M25" i="9"/>
  <c r="E282" i="6"/>
  <c r="H233" i="1"/>
  <c r="H224" i="1"/>
  <c r="E145" i="13"/>
  <c r="J288" i="6"/>
  <c r="I120" i="6"/>
  <c r="J55" i="6"/>
  <c r="K188" i="6"/>
  <c r="K55" i="6"/>
  <c r="E55" i="6"/>
  <c r="D42" i="12"/>
  <c r="I166" i="6"/>
  <c r="H37" i="6"/>
  <c r="E227" i="13"/>
  <c r="E382" i="13"/>
  <c r="D18" i="9"/>
  <c r="H8" i="12"/>
  <c r="H12" i="12"/>
  <c r="H11" i="12"/>
  <c r="H6" i="12"/>
  <c r="H10" i="12"/>
  <c r="H17" i="12"/>
  <c r="H7" i="12"/>
  <c r="H18" i="12"/>
  <c r="H14" i="12"/>
  <c r="H15" i="12"/>
  <c r="H5" i="12"/>
  <c r="H16" i="12"/>
  <c r="H142" i="13"/>
  <c r="E26" i="9"/>
  <c r="L25" i="9"/>
  <c r="E180" i="6"/>
  <c r="E344" i="6"/>
  <c r="C17" i="9"/>
  <c r="F129" i="6"/>
  <c r="E23" i="6"/>
  <c r="G340" i="6"/>
  <c r="O107" i="1"/>
  <c r="O108" i="1"/>
  <c r="O109" i="1"/>
  <c r="O114" i="1"/>
  <c r="O115" i="1"/>
  <c r="O116" i="1"/>
  <c r="O121" i="1"/>
  <c r="O111" i="1"/>
  <c r="N25" i="9"/>
  <c r="Q28" i="20"/>
  <c r="P35" i="9"/>
  <c r="C71" i="15"/>
  <c r="H220" i="1"/>
  <c r="O340" i="6"/>
  <c r="N113" i="6"/>
  <c r="N340" i="6"/>
  <c r="N129" i="6"/>
  <c r="B18" i="9"/>
  <c r="I233" i="1"/>
  <c r="I236" i="1"/>
  <c r="C78" i="15"/>
  <c r="B150" i="2"/>
  <c r="R158" i="5"/>
  <c r="E7" i="9"/>
  <c r="E8" i="9"/>
  <c r="T158" i="5"/>
  <c r="G7" i="9"/>
  <c r="G8" i="9"/>
  <c r="V158" i="5"/>
  <c r="I7" i="9"/>
  <c r="I8" i="9"/>
  <c r="P158" i="5"/>
  <c r="Q158" i="5"/>
  <c r="D7" i="9"/>
  <c r="D8" i="9"/>
  <c r="S158" i="5"/>
  <c r="F7" i="9"/>
  <c r="F8" i="9"/>
  <c r="W158" i="5"/>
  <c r="J7" i="9"/>
  <c r="J8" i="9"/>
  <c r="U158" i="5"/>
  <c r="H7" i="9"/>
  <c r="H8" i="9"/>
  <c r="L158" i="5"/>
  <c r="H5" i="9"/>
  <c r="H6" i="9"/>
  <c r="N158" i="5"/>
  <c r="J5" i="9"/>
  <c r="J6" i="9"/>
  <c r="H158" i="5"/>
  <c r="D5" i="9"/>
  <c r="D6" i="9"/>
  <c r="I158" i="5"/>
  <c r="E5" i="9"/>
  <c r="E6" i="9"/>
  <c r="M158" i="5"/>
  <c r="I5" i="9"/>
  <c r="I6" i="9"/>
  <c r="K158" i="5"/>
  <c r="G5" i="9"/>
  <c r="G6" i="9"/>
  <c r="G158" i="5"/>
  <c r="J158" i="5"/>
  <c r="F5" i="9"/>
  <c r="F6" i="9"/>
  <c r="I232" i="1"/>
  <c r="C75" i="15"/>
  <c r="C76" i="15"/>
  <c r="AJ158" i="5"/>
  <c r="AE27" i="5"/>
  <c r="AE156" i="5"/>
  <c r="L303" i="6"/>
  <c r="M50" i="6"/>
  <c r="E346" i="6"/>
  <c r="E17" i="9"/>
  <c r="K38" i="6"/>
  <c r="G68" i="15"/>
  <c r="P131" i="2"/>
  <c r="J13" i="27"/>
  <c r="J18" i="27"/>
  <c r="G46" i="26"/>
  <c r="G51" i="26"/>
  <c r="N51" i="26"/>
  <c r="C17" i="26"/>
  <c r="N45" i="26"/>
  <c r="Q7" i="20"/>
  <c r="E67" i="6"/>
  <c r="E116" i="6"/>
  <c r="K181" i="6"/>
  <c r="K50" i="6"/>
  <c r="J50" i="6"/>
  <c r="E81" i="6"/>
  <c r="E226" i="13"/>
  <c r="K231" i="13"/>
  <c r="K70" i="13"/>
  <c r="E70" i="13"/>
  <c r="E50" i="6"/>
  <c r="K101" i="6"/>
  <c r="L225" i="6"/>
  <c r="L101" i="6"/>
  <c r="J90" i="6"/>
  <c r="K246" i="6"/>
  <c r="K90" i="6"/>
  <c r="I31" i="6"/>
  <c r="J159" i="6"/>
  <c r="F232" i="13"/>
  <c r="K302" i="6"/>
  <c r="K123" i="6"/>
  <c r="J123" i="6"/>
  <c r="H19" i="12"/>
  <c r="J120" i="6"/>
  <c r="K288" i="6"/>
  <c r="K120" i="6"/>
  <c r="I151" i="6"/>
  <c r="H24" i="6"/>
  <c r="H129" i="6"/>
  <c r="E25" i="9"/>
  <c r="H340" i="6"/>
  <c r="E94" i="6"/>
  <c r="K125" i="6"/>
  <c r="L316" i="6"/>
  <c r="L125" i="6"/>
  <c r="K113" i="6"/>
  <c r="E281" i="6"/>
  <c r="G129" i="6"/>
  <c r="D25" i="9"/>
  <c r="I38" i="6"/>
  <c r="J173" i="6"/>
  <c r="J38" i="6"/>
  <c r="E38" i="6"/>
  <c r="E173" i="6"/>
  <c r="I75" i="6"/>
  <c r="J210" i="6"/>
  <c r="E113" i="6"/>
  <c r="J166" i="6"/>
  <c r="J37" i="6"/>
  <c r="I37" i="6"/>
  <c r="K274" i="6"/>
  <c r="K97" i="6"/>
  <c r="J97" i="6"/>
  <c r="E97" i="6"/>
  <c r="C7" i="9"/>
  <c r="W160" i="5"/>
  <c r="K25" i="9"/>
  <c r="C25" i="9"/>
  <c r="K142" i="13"/>
  <c r="M303" i="6"/>
  <c r="L123" i="6"/>
  <c r="L129" i="6"/>
  <c r="L340" i="6"/>
  <c r="C5" i="9"/>
  <c r="N160" i="5"/>
  <c r="Q5" i="20"/>
  <c r="Q11" i="20"/>
  <c r="K11" i="20"/>
  <c r="R11" i="20"/>
  <c r="E101" i="6"/>
  <c r="E120" i="6"/>
  <c r="E90" i="6"/>
  <c r="J31" i="6"/>
  <c r="K159" i="6"/>
  <c r="K31" i="6"/>
  <c r="E381" i="13"/>
  <c r="E231" i="13"/>
  <c r="E378" i="13"/>
  <c r="E37" i="6"/>
  <c r="E125" i="6"/>
  <c r="E134" i="6"/>
  <c r="E42" i="9"/>
  <c r="E43" i="9"/>
  <c r="J75" i="6"/>
  <c r="K210" i="6"/>
  <c r="E343" i="6"/>
  <c r="E179" i="6"/>
  <c r="E178" i="6"/>
  <c r="J151" i="6"/>
  <c r="I24" i="6"/>
  <c r="I340" i="6"/>
  <c r="E345" i="6"/>
  <c r="D17" i="9"/>
  <c r="E286" i="6"/>
  <c r="I25" i="9"/>
  <c r="E144" i="13"/>
  <c r="E147" i="13"/>
  <c r="E142" i="13"/>
  <c r="K148" i="13"/>
  <c r="K152" i="13"/>
  <c r="C8" i="9"/>
  <c r="P8" i="9"/>
  <c r="O7" i="9"/>
  <c r="O5" i="9"/>
  <c r="C6" i="9"/>
  <c r="M123" i="6"/>
  <c r="M129" i="6"/>
  <c r="M340" i="6"/>
  <c r="H26" i="9"/>
  <c r="O26" i="9"/>
  <c r="F143" i="13"/>
  <c r="E123" i="6"/>
  <c r="E31" i="6"/>
  <c r="E340" i="6"/>
  <c r="C18" i="9"/>
  <c r="O18" i="9"/>
  <c r="E388" i="13"/>
  <c r="K75" i="6"/>
  <c r="K340" i="6"/>
  <c r="I129" i="6"/>
  <c r="F25" i="9"/>
  <c r="B17" i="9"/>
  <c r="O17" i="9"/>
  <c r="E351" i="6"/>
  <c r="J24" i="6"/>
  <c r="J129" i="6"/>
  <c r="G25" i="9"/>
  <c r="J340" i="6"/>
  <c r="F341" i="6"/>
  <c r="E133" i="6"/>
  <c r="P6" i="9"/>
  <c r="J25" i="9"/>
  <c r="L148" i="13"/>
  <c r="L152" i="13"/>
  <c r="G148" i="13"/>
  <c r="G152" i="13"/>
  <c r="F148" i="13"/>
  <c r="I148" i="13"/>
  <c r="I152" i="13"/>
  <c r="H148" i="13"/>
  <c r="H152" i="13"/>
  <c r="P148" i="13"/>
  <c r="P152" i="13"/>
  <c r="N148" i="13"/>
  <c r="N152" i="13"/>
  <c r="Q148" i="13"/>
  <c r="Q152" i="13"/>
  <c r="O148" i="13"/>
  <c r="O152" i="13"/>
  <c r="M148" i="13"/>
  <c r="M152" i="13"/>
  <c r="J148" i="13"/>
  <c r="J152" i="13"/>
  <c r="E24" i="6"/>
  <c r="K129" i="6"/>
  <c r="H25" i="9"/>
  <c r="O25" i="9"/>
  <c r="E75" i="6"/>
  <c r="E132" i="6"/>
  <c r="C42" i="9"/>
  <c r="C43" i="9"/>
  <c r="Q149" i="13"/>
  <c r="F152" i="13"/>
  <c r="R152" i="13"/>
  <c r="D42" i="9"/>
  <c r="F130" i="6"/>
  <c r="E131" i="6"/>
  <c r="E129" i="6"/>
  <c r="D43" i="9"/>
  <c r="M135" i="6"/>
  <c r="G135" i="6"/>
  <c r="N135" i="6"/>
  <c r="H135" i="6"/>
  <c r="Q135" i="6"/>
  <c r="F135" i="6"/>
  <c r="I135" i="6"/>
  <c r="P135" i="6"/>
  <c r="J135" i="6"/>
  <c r="O135" i="6"/>
  <c r="K135" i="6"/>
  <c r="L135" i="6"/>
  <c r="B42" i="9"/>
  <c r="E135" i="6"/>
  <c r="L139" i="6"/>
  <c r="I9" i="9"/>
  <c r="I10" i="9"/>
  <c r="I12" i="9"/>
  <c r="M9" i="9"/>
  <c r="M10" i="9"/>
  <c r="M12" i="9"/>
  <c r="P139" i="6"/>
  <c r="H139" i="6"/>
  <c r="E9" i="9"/>
  <c r="E10" i="9"/>
  <c r="E12" i="9"/>
  <c r="H9" i="9"/>
  <c r="H10" i="9"/>
  <c r="H12" i="9"/>
  <c r="K139" i="6"/>
  <c r="I139" i="6"/>
  <c r="F9" i="9"/>
  <c r="F10" i="9"/>
  <c r="F12" i="9"/>
  <c r="N139" i="6"/>
  <c r="K9" i="9"/>
  <c r="K10" i="9"/>
  <c r="K12" i="9"/>
  <c r="Q35" i="20"/>
  <c r="P42" i="9"/>
  <c r="L9" i="9"/>
  <c r="L10" i="9"/>
  <c r="L12" i="9"/>
  <c r="O139" i="6"/>
  <c r="F139" i="6"/>
  <c r="C9" i="9"/>
  <c r="Q136" i="6"/>
  <c r="D9" i="9"/>
  <c r="D10" i="9"/>
  <c r="D12" i="9"/>
  <c r="G139" i="6"/>
  <c r="B43" i="9"/>
  <c r="O42" i="9"/>
  <c r="G9" i="9"/>
  <c r="G10" i="9"/>
  <c r="G12" i="9"/>
  <c r="J139" i="6"/>
  <c r="N9" i="9"/>
  <c r="N10" i="9"/>
  <c r="N12" i="9"/>
  <c r="Q139" i="6"/>
  <c r="J9" i="9"/>
  <c r="J10" i="9"/>
  <c r="J12" i="9"/>
  <c r="M139" i="6"/>
  <c r="O9" i="9"/>
  <c r="C10" i="9"/>
  <c r="R139" i="6"/>
  <c r="P10" i="9"/>
  <c r="P12" i="9"/>
  <c r="C12" i="9"/>
  <c r="Q12" i="9"/>
  <c r="D8" i="28"/>
  <c r="D5" i="28"/>
  <c r="D6" i="28"/>
  <c r="C147" i="22"/>
  <c r="C148" i="22"/>
  <c r="C155" i="22"/>
  <c r="C156" i="22"/>
  <c r="C150" i="22"/>
  <c r="C153" i="22"/>
  <c r="C152" i="22"/>
  <c r="C154" i="22"/>
  <c r="C157" i="22"/>
  <c r="C151" i="22"/>
  <c r="C83" i="22"/>
  <c r="C85" i="22"/>
  <c r="C80" i="22"/>
  <c r="C78" i="22"/>
  <c r="C84" i="22"/>
  <c r="C82" i="22"/>
  <c r="C79" i="22"/>
  <c r="U13" i="25"/>
  <c r="U23" i="25"/>
  <c r="V10" i="25"/>
  <c r="W21" i="25"/>
  <c r="W10" i="25"/>
  <c r="W24" i="25"/>
  <c r="U8" i="25"/>
  <c r="V9" i="25"/>
  <c r="U19" i="25"/>
  <c r="U11" i="25"/>
  <c r="B29" i="20"/>
  <c r="X10" i="25"/>
  <c r="W18" i="25"/>
  <c r="V19" i="25"/>
  <c r="X9" i="25"/>
  <c r="Y23" i="25"/>
  <c r="B17" i="22"/>
  <c r="B44" i="22"/>
  <c r="B267" i="22"/>
  <c r="V17" i="25"/>
  <c r="W17" i="25"/>
  <c r="Y18" i="25"/>
  <c r="U22" i="25"/>
  <c r="X22" i="25"/>
  <c r="U9" i="25"/>
  <c r="U24" i="25"/>
  <c r="C61" i="22"/>
  <c r="W19" i="25"/>
  <c r="X19" i="25"/>
  <c r="V13" i="25"/>
  <c r="W16" i="25"/>
  <c r="X17" i="25"/>
  <c r="X18" i="25"/>
  <c r="V18" i="25"/>
  <c r="U10" i="25"/>
  <c r="U14" i="25"/>
  <c r="V11" i="25"/>
  <c r="W9" i="25"/>
  <c r="W13" i="25"/>
  <c r="X11" i="25"/>
  <c r="Y9" i="25"/>
  <c r="Y13" i="25"/>
  <c r="V8" i="25"/>
  <c r="X8" i="25"/>
  <c r="Y10" i="25"/>
  <c r="W23" i="25"/>
  <c r="X24" i="25"/>
  <c r="Y21" i="25"/>
  <c r="W8" i="25"/>
  <c r="W22" i="25"/>
  <c r="X23" i="25"/>
  <c r="Y14" i="25"/>
  <c r="Y24" i="25"/>
  <c r="U21" i="25"/>
  <c r="X13" i="25"/>
  <c r="X21" i="25"/>
  <c r="Y8" i="25"/>
  <c r="Y22" i="25"/>
  <c r="Y19" i="25"/>
  <c r="Y11" i="25"/>
  <c r="C31" i="20"/>
  <c r="X16" i="25"/>
  <c r="Y16" i="25"/>
  <c r="Y17" i="25"/>
  <c r="B30" i="20"/>
  <c r="C158" i="22"/>
  <c r="AA18" i="25"/>
  <c r="AA17" i="25"/>
  <c r="AA23" i="25"/>
  <c r="AA24" i="25"/>
  <c r="AA9" i="25"/>
  <c r="AA10" i="25"/>
  <c r="AA11" i="25"/>
  <c r="AA19" i="25"/>
  <c r="AA22" i="25"/>
  <c r="AA21" i="25"/>
  <c r="AA8" i="25"/>
  <c r="AA16" i="25"/>
  <c r="AA13" i="25"/>
  <c r="AA14" i="25"/>
  <c r="D78" i="22" l="1"/>
  <c r="D73" i="30"/>
  <c r="D11" i="28"/>
  <c r="C198" i="22"/>
  <c r="C202" i="22"/>
  <c r="C207" i="22"/>
  <c r="C201" i="22"/>
  <c r="C200" i="22"/>
  <c r="C206" i="22"/>
  <c r="C199" i="22"/>
  <c r="C204" i="22"/>
  <c r="C208" i="22"/>
  <c r="C205" i="22"/>
  <c r="C37" i="22"/>
  <c r="C41" i="22"/>
  <c r="C33" i="22"/>
  <c r="C34" i="22"/>
  <c r="C43" i="22"/>
  <c r="C38" i="22"/>
  <c r="C31" i="22"/>
  <c r="C32" i="22"/>
  <c r="C42" i="22"/>
  <c r="C35" i="22"/>
  <c r="C36" i="22"/>
  <c r="C39" i="22"/>
  <c r="C40" i="22"/>
  <c r="C14" i="22"/>
  <c r="C10" i="22"/>
  <c r="C9" i="22"/>
  <c r="C13" i="22"/>
  <c r="C11" i="22"/>
  <c r="C15" i="22"/>
  <c r="C12" i="22"/>
  <c r="C16" i="22"/>
  <c r="F11" i="28"/>
  <c r="C122" i="22"/>
  <c r="B231" i="22"/>
  <c r="D22" i="31"/>
  <c r="G23" i="31" s="1"/>
  <c r="D14" i="31"/>
  <c r="F15" i="31" s="1"/>
  <c r="F5" i="31"/>
  <c r="F6" i="31" s="1"/>
  <c r="I28" i="31"/>
  <c r="B236" i="22"/>
  <c r="B233" i="22"/>
  <c r="H11" i="28"/>
  <c r="J11" i="28"/>
  <c r="G11" i="28"/>
  <c r="B234" i="22"/>
  <c r="B239" i="22"/>
  <c r="B230" i="22"/>
  <c r="B235" i="22"/>
  <c r="B240" i="22"/>
  <c r="B237" i="22"/>
  <c r="B238" i="22"/>
  <c r="H14" i="28"/>
  <c r="C101" i="22"/>
  <c r="C11" i="28"/>
  <c r="E11" i="28"/>
  <c r="C103" i="22"/>
  <c r="C102" i="22"/>
  <c r="C121" i="22"/>
  <c r="C123" i="22"/>
  <c r="J20" i="33"/>
  <c r="I11" i="28"/>
  <c r="C177" i="22"/>
  <c r="C183" i="22" s="1"/>
  <c r="C86" i="22"/>
  <c r="I60" i="33"/>
  <c r="M60" i="33"/>
  <c r="C209" i="22" l="1"/>
  <c r="C17" i="22"/>
  <c r="C44" i="22"/>
  <c r="E15" i="31"/>
  <c r="F23" i="31"/>
  <c r="E23" i="31"/>
  <c r="G15" i="31"/>
  <c r="F25" i="31"/>
  <c r="E25" i="31"/>
  <c r="G25" i="31"/>
  <c r="B241" i="22"/>
  <c r="C105" i="22"/>
  <c r="C125" i="22"/>
  <c r="D26" i="33" l="1"/>
  <c r="M27" i="33" s="1"/>
  <c r="E25" i="33"/>
  <c r="F30" i="31"/>
  <c r="E31" i="31"/>
  <c r="G31" i="31"/>
  <c r="F31" i="31" l="1"/>
  <c r="F35" i="31"/>
  <c r="F32" i="31"/>
  <c r="F33" i="31"/>
  <c r="F36" i="31"/>
  <c r="F34" i="31"/>
  <c r="F29"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fkenney</author>
  </authors>
  <commentList>
    <comment ref="A1" authorId="0" shapeId="0" xr:uid="{00000000-0006-0000-0400-000001000000}">
      <text>
        <r>
          <rPr>
            <b/>
            <sz val="8"/>
            <color indexed="81"/>
            <rFont val="Tahoma"/>
            <family val="2"/>
          </rPr>
          <t>fkenney:</t>
        </r>
        <r>
          <rPr>
            <sz val="8"/>
            <color indexed="81"/>
            <rFont val="Tahoma"/>
            <family val="2"/>
          </rPr>
          <t xml:space="preserve">
</t>
        </r>
        <r>
          <rPr>
            <sz val="14"/>
            <color indexed="81"/>
            <rFont val="Tahoma"/>
            <family val="2"/>
          </rPr>
          <t>NEED TO ADD ACTUALS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fkenney</author>
  </authors>
  <commentList>
    <comment ref="C27" authorId="0" shapeId="0" xr:uid="{00000000-0006-0000-0E00-000001000000}">
      <text>
        <r>
          <rPr>
            <b/>
            <sz val="9"/>
            <color indexed="81"/>
            <rFont val="Tahoma"/>
            <family val="2"/>
          </rPr>
          <t>fkenney:</t>
        </r>
        <r>
          <rPr>
            <sz val="9"/>
            <color indexed="81"/>
            <rFont val="Tahoma"/>
            <family val="2"/>
          </rPr>
          <t xml:space="preserve">
NEHP, Omni, VTF, CNC,   NEP, ASK, Vt Trans, Biotek, PG, Durasol, Airboss, SBE, NPS, Seldon, rev</t>
        </r>
      </text>
    </comment>
    <comment ref="C28" authorId="0" shapeId="0" xr:uid="{00000000-0006-0000-0E00-000002000000}">
      <text>
        <r>
          <rPr>
            <b/>
            <sz val="9"/>
            <color indexed="81"/>
            <rFont val="Tahoma"/>
            <family val="2"/>
          </rPr>
          <t>fkenney:</t>
        </r>
        <r>
          <rPr>
            <sz val="9"/>
            <color indexed="81"/>
            <rFont val="Tahoma"/>
            <family val="2"/>
          </rPr>
          <t xml:space="preserve">
GMCR, Tatas, Comm Yogurt, MMW, GMCR</t>
        </r>
      </text>
    </comment>
    <comment ref="C29" authorId="0" shapeId="0" xr:uid="{00000000-0006-0000-0E00-000003000000}">
      <text>
        <r>
          <rPr>
            <b/>
            <sz val="9"/>
            <color indexed="81"/>
            <rFont val="Tahoma"/>
            <family val="2"/>
          </rPr>
          <t>fkenney:</t>
        </r>
        <r>
          <rPr>
            <sz val="9"/>
            <color indexed="81"/>
            <rFont val="Tahoma"/>
            <family val="2"/>
          </rPr>
          <t xml:space="preserve">
Burton, Terry</t>
        </r>
      </text>
    </comment>
    <comment ref="C30" authorId="0" shapeId="0" xr:uid="{00000000-0006-0000-0E00-000004000000}">
      <text>
        <r>
          <rPr>
            <b/>
            <sz val="8"/>
            <color indexed="81"/>
            <rFont val="Tahoma"/>
            <family val="2"/>
          </rPr>
          <t>fkenney:</t>
        </r>
        <r>
          <rPr>
            <sz val="8"/>
            <color indexed="81"/>
            <rFont val="Tahoma"/>
            <family val="2"/>
          </rPr>
          <t xml:space="preserve">
MWG</t>
        </r>
      </text>
    </comment>
    <comment ref="C32" authorId="0" shapeId="0" xr:uid="{00000000-0006-0000-0E00-000005000000}">
      <text>
        <r>
          <rPr>
            <b/>
            <sz val="9"/>
            <color indexed="81"/>
            <rFont val="Tahoma"/>
            <family val="2"/>
          </rPr>
          <t>fkenney:</t>
        </r>
        <r>
          <rPr>
            <sz val="9"/>
            <color indexed="81"/>
            <rFont val="Tahoma"/>
            <family val="2"/>
          </rPr>
          <t xml:space="preserve">
Albany, VCFA, URMC, Dominion</t>
        </r>
      </text>
    </comment>
    <comment ref="C38" authorId="0" shapeId="0" xr:uid="{00000000-0006-0000-0E00-000006000000}">
      <text>
        <r>
          <rPr>
            <b/>
            <sz val="9"/>
            <color indexed="81"/>
            <rFont val="Tahoma"/>
            <family val="2"/>
          </rPr>
          <t>fkenney:</t>
        </r>
        <r>
          <rPr>
            <sz val="9"/>
            <color indexed="81"/>
            <rFont val="Tahoma"/>
            <family val="2"/>
          </rPr>
          <t xml:space="preserve">
Tatas, VCFA, MMW</t>
        </r>
      </text>
    </comment>
    <comment ref="C39" authorId="0" shapeId="0" xr:uid="{00000000-0006-0000-0E00-000007000000}">
      <text>
        <r>
          <rPr>
            <b/>
            <sz val="9"/>
            <color indexed="81"/>
            <rFont val="Tahoma"/>
            <family val="2"/>
          </rPr>
          <t>fkenney:</t>
        </r>
        <r>
          <rPr>
            <sz val="9"/>
            <color indexed="81"/>
            <rFont val="Tahoma"/>
            <family val="2"/>
          </rPr>
          <t xml:space="preserve">
</t>
        </r>
      </text>
    </comment>
    <comment ref="C40" authorId="0" shapeId="0" xr:uid="{00000000-0006-0000-0E00-000008000000}">
      <text>
        <r>
          <rPr>
            <b/>
            <sz val="9"/>
            <color indexed="81"/>
            <rFont val="Tahoma"/>
            <family val="2"/>
          </rPr>
          <t>fkenney:</t>
        </r>
        <r>
          <rPr>
            <sz val="9"/>
            <color indexed="81"/>
            <rFont val="Tahoma"/>
            <family val="2"/>
          </rPr>
          <t xml:space="preserve">
VTF, Albany, Comm Yogurt, URMC, Dominion, BEMAG, ASK, PG, Airboss, Terry</t>
        </r>
      </text>
    </comment>
    <comment ref="C41" authorId="0" shapeId="0" xr:uid="{00000000-0006-0000-0E00-000009000000}">
      <text>
        <r>
          <rPr>
            <b/>
            <sz val="9"/>
            <color indexed="81"/>
            <rFont val="Tahoma"/>
            <family val="2"/>
          </rPr>
          <t>fkenney:</t>
        </r>
        <r>
          <rPr>
            <sz val="9"/>
            <color indexed="81"/>
            <rFont val="Tahoma"/>
            <family val="2"/>
          </rPr>
          <t xml:space="preserve">
NEHP, Omni, GMCR, Burton, CNC,NEP, Biotek, Durasol, SBE, NPS, GMCR, Seldon, MWG, Rev</t>
        </r>
      </text>
    </comment>
    <comment ref="C47" authorId="0" shapeId="0" xr:uid="{00000000-0006-0000-0E00-00000A000000}">
      <text>
        <r>
          <rPr>
            <b/>
            <sz val="9"/>
            <color indexed="81"/>
            <rFont val="Tahoma"/>
            <family val="2"/>
          </rPr>
          <t>fkenney:</t>
        </r>
        <r>
          <rPr>
            <sz val="9"/>
            <color indexed="81"/>
            <rFont val="Tahoma"/>
            <family val="2"/>
          </rPr>
          <t xml:space="preserve">
NEHP, Omni, GMCR, Burton, Tatas, CNC, VCFA, Comm Yogurt, URMC, NEP, Biotek, PG, MMW, SBE, Terry, NPS, GMCR, Seldon, MWG</t>
        </r>
      </text>
    </comment>
    <comment ref="C48" authorId="0" shapeId="0" xr:uid="{00000000-0006-0000-0E00-00000B000000}">
      <text>
        <r>
          <rPr>
            <b/>
            <sz val="9"/>
            <color indexed="81"/>
            <rFont val="Tahoma"/>
            <family val="2"/>
          </rPr>
          <t>fkenney:</t>
        </r>
        <r>
          <rPr>
            <sz val="9"/>
            <color indexed="81"/>
            <rFont val="Tahoma"/>
            <family val="2"/>
          </rPr>
          <t xml:space="preserve">
VTF, Albany,  dominion, ASK, Vt Trans, Airboss,  Rev, Durasol</t>
        </r>
      </text>
    </comment>
    <comment ref="C56" authorId="0" shapeId="0" xr:uid="{00000000-0006-0000-0E00-00000C000000}">
      <text>
        <r>
          <rPr>
            <b/>
            <sz val="9"/>
            <color indexed="81"/>
            <rFont val="Tahoma"/>
            <family val="2"/>
          </rPr>
          <t>fkenney:</t>
        </r>
        <r>
          <rPr>
            <sz val="9"/>
            <color indexed="81"/>
            <rFont val="Tahoma"/>
            <family val="2"/>
          </rPr>
          <t xml:space="preserve">
NEHP, Omni, VTF, Albany, Tatas, CNC, VCFA, Comm Yogurt, URMC, dominion, ASK, Vt Trans, PG, MMW, Airboss, Terry</t>
        </r>
      </text>
    </comment>
    <comment ref="C57" authorId="0" shapeId="0" xr:uid="{00000000-0006-0000-0E00-00000D000000}">
      <text>
        <r>
          <rPr>
            <b/>
            <sz val="8"/>
            <color indexed="81"/>
            <rFont val="Tahoma"/>
            <family val="2"/>
          </rPr>
          <t>fkenney:</t>
        </r>
        <r>
          <rPr>
            <sz val="8"/>
            <color indexed="81"/>
            <rFont val="Tahoma"/>
            <family val="2"/>
          </rPr>
          <t xml:space="preserve">
Durasol,Seldon, SBE</t>
        </r>
      </text>
    </comment>
    <comment ref="C58" authorId="0" shapeId="0" xr:uid="{00000000-0006-0000-0E00-00000E000000}">
      <text>
        <r>
          <rPr>
            <b/>
            <sz val="9"/>
            <color indexed="81"/>
            <rFont val="Tahoma"/>
            <family val="2"/>
          </rPr>
          <t>fkenney:</t>
        </r>
        <r>
          <rPr>
            <sz val="9"/>
            <color indexed="81"/>
            <rFont val="Tahoma"/>
            <family val="2"/>
          </rPr>
          <t xml:space="preserve">
NEP, MWG</t>
        </r>
      </text>
    </comment>
    <comment ref="C60" authorId="0" shapeId="0" xr:uid="{00000000-0006-0000-0E00-00000F000000}">
      <text>
        <r>
          <rPr>
            <b/>
            <sz val="9"/>
            <color indexed="81"/>
            <rFont val="Tahoma"/>
            <family val="2"/>
          </rPr>
          <t>fkenney:</t>
        </r>
        <r>
          <rPr>
            <sz val="9"/>
            <color indexed="81"/>
            <rFont val="Tahoma"/>
            <family val="2"/>
          </rPr>
          <t xml:space="preserve">
NPS, Rev</t>
        </r>
      </text>
    </comment>
    <comment ref="C61" authorId="0" shapeId="0" xr:uid="{00000000-0006-0000-0E00-000010000000}">
      <text>
        <r>
          <rPr>
            <b/>
            <sz val="8"/>
            <color indexed="81"/>
            <rFont val="Tahoma"/>
            <family val="2"/>
          </rPr>
          <t>fkenney: Biotek</t>
        </r>
      </text>
    </comment>
    <comment ref="C62" authorId="0" shapeId="0" xr:uid="{00000000-0006-0000-0E00-000011000000}">
      <text>
        <r>
          <rPr>
            <b/>
            <sz val="9"/>
            <color indexed="81"/>
            <rFont val="Tahoma"/>
            <family val="2"/>
          </rPr>
          <t>fkenney:</t>
        </r>
        <r>
          <rPr>
            <sz val="9"/>
            <color indexed="81"/>
            <rFont val="Tahoma"/>
            <family val="2"/>
          </rPr>
          <t xml:space="preserve">
Burton</t>
        </r>
      </text>
    </comment>
    <comment ref="C63" authorId="0" shapeId="0" xr:uid="{00000000-0006-0000-0E00-000012000000}">
      <text>
        <r>
          <rPr>
            <b/>
            <sz val="9"/>
            <color indexed="81"/>
            <rFont val="Tahoma"/>
            <family val="2"/>
          </rPr>
          <t>fkenney:</t>
        </r>
        <r>
          <rPr>
            <sz val="9"/>
            <color indexed="81"/>
            <rFont val="Tahoma"/>
            <family val="2"/>
          </rPr>
          <t xml:space="preserve">
GMCR, GMCR</t>
        </r>
      </text>
    </comment>
    <comment ref="D68" authorId="0" shapeId="0" xr:uid="{00000000-0006-0000-0E00-000013000000}">
      <text>
        <r>
          <rPr>
            <b/>
            <sz val="9"/>
            <color indexed="81"/>
            <rFont val="Tahoma"/>
            <family val="2"/>
          </rPr>
          <t>fkenney:</t>
        </r>
        <r>
          <rPr>
            <sz val="9"/>
            <color indexed="81"/>
            <rFont val="Tahoma"/>
            <family val="2"/>
          </rPr>
          <t xml:space="preserve">
NEHP, Tatas, NEP, Seldon, MWG</t>
        </r>
      </text>
    </comment>
    <comment ref="D69" authorId="0" shapeId="0" xr:uid="{00000000-0006-0000-0E00-000014000000}">
      <text>
        <r>
          <rPr>
            <b/>
            <sz val="9"/>
            <color indexed="81"/>
            <rFont val="Tahoma"/>
            <family val="2"/>
          </rPr>
          <t>fkenney:</t>
        </r>
        <r>
          <rPr>
            <sz val="9"/>
            <color indexed="81"/>
            <rFont val="Tahoma"/>
            <family val="2"/>
          </rPr>
          <t xml:space="preserve">
Biotek, NPS</t>
        </r>
      </text>
    </comment>
    <comment ref="D70" authorId="0" shapeId="0" xr:uid="{00000000-0006-0000-0E00-000015000000}">
      <text>
        <r>
          <rPr>
            <b/>
            <sz val="9"/>
            <color indexed="81"/>
            <rFont val="Tahoma"/>
            <family val="2"/>
          </rPr>
          <t>fkenney:
Omni, VTF, GMCR, Burton, Albany, CNC, VCFA, URMC, Dominion, ASK, BEMAG, PG, MMW, durasol, airBoss, Terry, GMCR</t>
        </r>
      </text>
    </comment>
    <comment ref="D71" authorId="0" shapeId="0" xr:uid="{00000000-0006-0000-0E00-000016000000}">
      <text>
        <r>
          <rPr>
            <b/>
            <sz val="9"/>
            <color indexed="81"/>
            <rFont val="Tahoma"/>
            <family val="2"/>
          </rPr>
          <t>fkenney:</t>
        </r>
        <r>
          <rPr>
            <sz val="9"/>
            <color indexed="81"/>
            <rFont val="Tahoma"/>
            <family val="2"/>
          </rPr>
          <t xml:space="preserve">
Comm Yogurt, SBE, Rev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fred kenney</author>
  </authors>
  <commentList>
    <comment ref="AC9" authorId="0" shapeId="0" xr:uid="{00000000-0006-0000-1300-000001000000}">
      <text>
        <r>
          <rPr>
            <b/>
            <sz val="8"/>
            <color indexed="81"/>
            <rFont val="Tahoma"/>
            <family val="2"/>
          </rPr>
          <t>fred kenney:</t>
        </r>
        <r>
          <rPr>
            <sz val="8"/>
            <color indexed="81"/>
            <rFont val="Tahoma"/>
            <family val="2"/>
          </rPr>
          <t xml:space="preserve">
Excludes PV cost of PTA, but prior to exclusion of BGG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fred kenney</author>
  </authors>
  <commentList>
    <comment ref="L13" authorId="0" shapeId="0" xr:uid="{00000000-0006-0000-1500-000001000000}">
      <text>
        <r>
          <rPr>
            <b/>
            <sz val="8"/>
            <color indexed="81"/>
            <rFont val="Tahoma"/>
            <family val="2"/>
          </rPr>
          <t>fred kenney:</t>
        </r>
        <r>
          <rPr>
            <sz val="8"/>
            <color indexed="81"/>
            <rFont val="Tahoma"/>
            <family val="2"/>
          </rPr>
          <t xml:space="preserve">
Total expected payroll differed from payroll targets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hwoodruff</author>
  </authors>
  <commentList>
    <comment ref="H12" authorId="0" shapeId="0" xr:uid="{00000000-0006-0000-1B00-000001000000}">
      <text>
        <r>
          <rPr>
            <b/>
            <sz val="8"/>
            <color indexed="81"/>
            <rFont val="Tahoma"/>
            <family val="2"/>
          </rPr>
          <t>hwoodruff:</t>
        </r>
        <r>
          <rPr>
            <sz val="8"/>
            <color indexed="81"/>
            <rFont val="Tahoma"/>
            <family val="2"/>
          </rPr>
          <t xml:space="preserve">
Year 0  Base Number of Jobs 66. Year 1 below base by 6.
</t>
        </r>
      </text>
    </comment>
    <comment ref="L16" authorId="0" shapeId="0" xr:uid="{00000000-0006-0000-1B00-000002000000}">
      <text>
        <r>
          <rPr>
            <b/>
            <sz val="8"/>
            <color indexed="81"/>
            <rFont val="Tahoma"/>
            <family val="2"/>
          </rPr>
          <t>hwoodruff:</t>
        </r>
        <r>
          <rPr>
            <sz val="8"/>
            <color indexed="81"/>
            <rFont val="Tahoma"/>
            <family val="2"/>
          </rPr>
          <t xml:space="preserve">
1/2 year wages Start date May 1, 2008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jjones</author>
  </authors>
  <commentList>
    <comment ref="I22" authorId="0" shapeId="0" xr:uid="{00000000-0006-0000-1C00-000001000000}">
      <text>
        <r>
          <rPr>
            <b/>
            <sz val="8"/>
            <color indexed="81"/>
            <rFont val="Tahoma"/>
            <family val="2"/>
          </rPr>
          <t>jjones:</t>
        </r>
        <r>
          <rPr>
            <sz val="8"/>
            <color indexed="81"/>
            <rFont val="Tahoma"/>
            <family val="2"/>
          </rPr>
          <t xml:space="preserve">
$841,222</t>
        </r>
      </text>
    </comment>
    <comment ref="L22" authorId="0" shapeId="0" xr:uid="{00000000-0006-0000-1C00-000002000000}">
      <text>
        <r>
          <rPr>
            <b/>
            <sz val="8"/>
            <color indexed="81"/>
            <rFont val="Tahoma"/>
            <family val="2"/>
          </rPr>
          <t>jjones:</t>
        </r>
        <r>
          <rPr>
            <sz val="8"/>
            <color indexed="81"/>
            <rFont val="Tahoma"/>
            <family val="2"/>
          </rPr>
          <t xml:space="preserve">
$852,861</t>
        </r>
      </text>
    </comment>
    <comment ref="M22" authorId="0" shapeId="0" xr:uid="{00000000-0006-0000-1C00-000003000000}">
      <text>
        <r>
          <rPr>
            <b/>
            <sz val="8"/>
            <color indexed="81"/>
            <rFont val="Tahoma"/>
            <family val="2"/>
          </rPr>
          <t>jjones:</t>
        </r>
        <r>
          <rPr>
            <sz val="8"/>
            <color indexed="81"/>
            <rFont val="Tahoma"/>
            <family val="2"/>
          </rPr>
          <t xml:space="preserve">
$3,520,155</t>
        </r>
      </text>
    </comment>
  </commentList>
</comments>
</file>

<file path=xl/sharedStrings.xml><?xml version="1.0" encoding="utf-8"?>
<sst xmlns="http://schemas.openxmlformats.org/spreadsheetml/2006/main" count="7930" uniqueCount="1815">
  <si>
    <t>CAP</t>
  </si>
  <si>
    <t>BALANCE</t>
  </si>
  <si>
    <t>AUTHORIZATIONS</t>
  </si>
  <si>
    <t>Month/name</t>
  </si>
  <si>
    <t>Type</t>
  </si>
  <si>
    <t>Status</t>
  </si>
  <si>
    <t>Amount</t>
  </si>
  <si>
    <t>Final</t>
  </si>
  <si>
    <t>VEGI</t>
  </si>
  <si>
    <t>APP</t>
  </si>
  <si>
    <t>Region</t>
  </si>
  <si>
    <t>Month</t>
  </si>
  <si>
    <t>% of Cap</t>
  </si>
  <si>
    <t xml:space="preserve"> Monahan SFI, LLC</t>
  </si>
  <si>
    <t>Initial</t>
  </si>
  <si>
    <t xml:space="preserve"> OPI/WIC: CPM</t>
  </si>
  <si>
    <t>PTS</t>
  </si>
  <si>
    <t>ADD</t>
  </si>
  <si>
    <t>BENN</t>
  </si>
  <si>
    <t>CHIT</t>
  </si>
  <si>
    <t>CAL</t>
  </si>
  <si>
    <t>ESSEX</t>
  </si>
  <si>
    <t>F/GI</t>
  </si>
  <si>
    <t>LAM</t>
  </si>
  <si>
    <t>ORG</t>
  </si>
  <si>
    <t>ORL</t>
  </si>
  <si>
    <t>RUT</t>
  </si>
  <si>
    <t>WASH</t>
  </si>
  <si>
    <t>WINDH</t>
  </si>
  <si>
    <t>WINDS</t>
  </si>
  <si>
    <t>NEK</t>
  </si>
  <si>
    <t>LOCATION</t>
  </si>
  <si>
    <t>Dorset</t>
  </si>
  <si>
    <t>Middlebury</t>
  </si>
  <si>
    <t>Windsor</t>
  </si>
  <si>
    <t>Number</t>
  </si>
  <si>
    <t>Burlington</t>
  </si>
  <si>
    <t>Williston</t>
  </si>
  <si>
    <t>Monthly Total</t>
  </si>
  <si>
    <t xml:space="preserve"> Ink Jet Machinery of Vermont</t>
  </si>
  <si>
    <t>Rehab Gym, Inc.</t>
  </si>
  <si>
    <t>Colchester</t>
  </si>
  <si>
    <t>App</t>
  </si>
  <si>
    <t>Incentive</t>
  </si>
  <si>
    <t>Active</t>
  </si>
  <si>
    <t>n/a</t>
  </si>
  <si>
    <t>Denied</t>
  </si>
  <si>
    <t>March 2007</t>
  </si>
  <si>
    <t>February 2007</t>
  </si>
  <si>
    <t>January 2007</t>
  </si>
  <si>
    <t xml:space="preserve"> Burton Corporation</t>
  </si>
  <si>
    <t xml:space="preserve"> NEHP, Inc.</t>
  </si>
  <si>
    <t xml:space="preserve"> Qimonda North America Corp.</t>
  </si>
  <si>
    <t xml:space="preserve">Net Revenue </t>
  </si>
  <si>
    <t>Benefit</t>
  </si>
  <si>
    <t>Type of</t>
  </si>
  <si>
    <t>Project</t>
  </si>
  <si>
    <t xml:space="preserve">  Average Wage of New Qualifying Jobs</t>
  </si>
  <si>
    <t>R/E</t>
  </si>
  <si>
    <t>Startup</t>
  </si>
  <si>
    <t>Plant Restart</t>
  </si>
  <si>
    <t xml:space="preserve"> Applejack Art Partners</t>
  </si>
  <si>
    <t xml:space="preserve"> Omni Measurement Systems</t>
  </si>
  <si>
    <t xml:space="preserve"> Vermont Timber Frames</t>
  </si>
  <si>
    <t>Manchester</t>
  </si>
  <si>
    <t>Milton</t>
  </si>
  <si>
    <t>Bennington</t>
  </si>
  <si>
    <t>Recruitment</t>
  </si>
  <si>
    <t xml:space="preserve">Monthly Total </t>
  </si>
  <si>
    <t>Total</t>
  </si>
  <si>
    <t>Check</t>
  </si>
  <si>
    <t xml:space="preserve">Total </t>
  </si>
  <si>
    <t>Capex</t>
  </si>
  <si>
    <t>Cost</t>
  </si>
  <si>
    <t>Diff</t>
  </si>
  <si>
    <t>Allowed</t>
  </si>
  <si>
    <t>Credit</t>
  </si>
  <si>
    <t xml:space="preserve">(Before </t>
  </si>
  <si>
    <t>%</t>
  </si>
  <si>
    <t>Nominal Benefits</t>
  </si>
  <si>
    <t>Nominal Costs</t>
  </si>
  <si>
    <t>BBG</t>
  </si>
  <si>
    <t>PV</t>
  </si>
  <si>
    <t>Costs</t>
  </si>
  <si>
    <t xml:space="preserve">Net </t>
  </si>
  <si>
    <t>Revenue</t>
  </si>
  <si>
    <t>of</t>
  </si>
  <si>
    <t>Incentives</t>
  </si>
  <si>
    <t>NEW QUALIFYING JOBS</t>
  </si>
  <si>
    <t xml:space="preserve">Year </t>
  </si>
  <si>
    <t>April 2007 (May 3 meeting)</t>
  </si>
  <si>
    <t>NEW QUALIFYING PAYROLL</t>
  </si>
  <si>
    <t>QUALIFIED CAPITAL INVESTMENTS</t>
  </si>
  <si>
    <t>M&amp;E</t>
  </si>
  <si>
    <t>Fac</t>
  </si>
  <si>
    <t>Facility</t>
  </si>
  <si>
    <t>New</t>
  </si>
  <si>
    <t xml:space="preserve">Qual </t>
  </si>
  <si>
    <t>Jobs</t>
  </si>
  <si>
    <t>Qualifying</t>
  </si>
  <si>
    <t>Payroll</t>
  </si>
  <si>
    <t>BGG</t>
  </si>
  <si>
    <t>Rate</t>
  </si>
  <si>
    <t>Present Value</t>
  </si>
  <si>
    <t>Running Total</t>
  </si>
  <si>
    <t>check</t>
  </si>
  <si>
    <t>Running Totals</t>
  </si>
  <si>
    <t>HIGH</t>
  </si>
  <si>
    <t>LOW</t>
  </si>
  <si>
    <t xml:space="preserve"> (Note: this amount represents qualified payroll created because of incentive that does not generate an incentive) </t>
  </si>
  <si>
    <t xml:space="preserve">  Net Fiscal Return to the State (2007 - 2015)</t>
  </si>
  <si>
    <t xml:space="preserve">  Total Present Value Costs, Including Incentives (2007 - 2015)</t>
  </si>
  <si>
    <t>Sector</t>
  </si>
  <si>
    <t>% of Total</t>
  </si>
  <si>
    <t>Information</t>
  </si>
  <si>
    <t>Financial</t>
  </si>
  <si>
    <t>Prof/Bus Services</t>
  </si>
  <si>
    <t>Manuf- Durable</t>
  </si>
  <si>
    <t>Manuf- Nondurable</t>
  </si>
  <si>
    <t>Trade,Trans, Util</t>
  </si>
  <si>
    <t>May 2007</t>
  </si>
  <si>
    <t>Green Mountain Coffee Roasters</t>
  </si>
  <si>
    <t>Ink Jet</t>
  </si>
  <si>
    <t>Monahan</t>
  </si>
  <si>
    <t>Burton</t>
  </si>
  <si>
    <t>NEHP</t>
  </si>
  <si>
    <t>Qimonda</t>
  </si>
  <si>
    <t>Omni</t>
  </si>
  <si>
    <t>VTF</t>
  </si>
  <si>
    <t>GMCR</t>
  </si>
  <si>
    <t>Sector Distribution (businesses)</t>
  </si>
  <si>
    <t>% of Incen</t>
  </si>
  <si>
    <t>Inactive</t>
  </si>
  <si>
    <t>June 2007</t>
  </si>
  <si>
    <t xml:space="preserve"> Battenkill Technologies, Inc.</t>
  </si>
  <si>
    <t>(Before BGG)</t>
  </si>
  <si>
    <t xml:space="preserve">Medical </t>
  </si>
  <si>
    <t>Coverage</t>
  </si>
  <si>
    <t>Economic Impact</t>
  </si>
  <si>
    <t>Fiscal Impact</t>
  </si>
  <si>
    <t>Description</t>
  </si>
  <si>
    <t>Wage/Salary</t>
  </si>
  <si>
    <t>Extended Payroll</t>
  </si>
  <si>
    <t>Company</t>
  </si>
  <si>
    <t>Administration</t>
  </si>
  <si>
    <t>Production</t>
  </si>
  <si>
    <t>Administrative Assistant</t>
  </si>
  <si>
    <t>Product Development</t>
  </si>
  <si>
    <t>Operations</t>
  </si>
  <si>
    <t>Engineering</t>
  </si>
  <si>
    <t>Production Supervisor</t>
  </si>
  <si>
    <t>Maintenance</t>
  </si>
  <si>
    <t>Production Management</t>
  </si>
  <si>
    <t>Cleaners</t>
  </si>
  <si>
    <t>Service</t>
  </si>
  <si>
    <t>Drivers</t>
  </si>
  <si>
    <t>Roasting</t>
  </si>
  <si>
    <t>Customer Service</t>
  </si>
  <si>
    <t>Professional</t>
  </si>
  <si>
    <t>Sales and marketing</t>
  </si>
  <si>
    <t>Pipefitter</t>
  </si>
  <si>
    <t>Designer</t>
  </si>
  <si>
    <t>Production / Operations Manager</t>
  </si>
  <si>
    <t>Manufacturing Engineer</t>
  </si>
  <si>
    <t>Quality Control Engineer</t>
  </si>
  <si>
    <t>Assembly Technician</t>
  </si>
  <si>
    <t>Inventory / Purchasing Manager</t>
  </si>
  <si>
    <t>Customer Service / Sales Support</t>
  </si>
  <si>
    <t>Research &amp; Development Engineer</t>
  </si>
  <si>
    <t>Production Manager</t>
  </si>
  <si>
    <t>CAD Designer</t>
  </si>
  <si>
    <t>CHECK</t>
  </si>
  <si>
    <t>Code</t>
  </si>
  <si>
    <t>07-01</t>
  </si>
  <si>
    <t>07-02</t>
  </si>
  <si>
    <t>07-03</t>
  </si>
  <si>
    <t>07-04</t>
  </si>
  <si>
    <t>07-05</t>
  </si>
  <si>
    <t>07-07</t>
  </si>
  <si>
    <t>07-06</t>
  </si>
  <si>
    <t>07-08</t>
  </si>
  <si>
    <t>07-09</t>
  </si>
  <si>
    <t>07-10</t>
  </si>
  <si>
    <t>07-11</t>
  </si>
  <si>
    <t>07-12</t>
  </si>
  <si>
    <t>07-13</t>
  </si>
  <si>
    <t>July 2007</t>
  </si>
  <si>
    <t xml:space="preserve"> Green Mountain Coffee Roasters</t>
  </si>
  <si>
    <t xml:space="preserve"> Energizer Battery Manufacturing, Inc.</t>
  </si>
  <si>
    <t>St Albans</t>
  </si>
  <si>
    <t>Energizer</t>
  </si>
  <si>
    <t>07-14</t>
  </si>
  <si>
    <t>Aggregate New Revenues to State (Present Value Dollars)</t>
  </si>
  <si>
    <t>Aggregate Costs to State Other Than Incentive Payments (Present Value Dollars)</t>
  </si>
  <si>
    <t>Authorization</t>
  </si>
  <si>
    <t>Period</t>
  </si>
  <si>
    <t>4/1/07 - 12/31/11</t>
  </si>
  <si>
    <t>5/3/07 - 12/31/11</t>
  </si>
  <si>
    <t>6/6/07 - 12/31/11</t>
  </si>
  <si>
    <t>5/24/07 - 12/31/11</t>
  </si>
  <si>
    <t>Comments</t>
  </si>
  <si>
    <t>Final App approved Feb 2007</t>
  </si>
  <si>
    <t xml:space="preserve"> Town of Windsor - OPI/WIC: CPM</t>
  </si>
  <si>
    <t>Rescinded Sept 6, 2007</t>
  </si>
  <si>
    <t>Final App Approved June 2007</t>
  </si>
  <si>
    <t>Did not meet But For, Guidelines</t>
  </si>
  <si>
    <t>Rescinded</t>
  </si>
  <si>
    <t>Staff</t>
  </si>
  <si>
    <t>Visit</t>
  </si>
  <si>
    <t>0=No; 1=Yes</t>
  </si>
  <si>
    <t>Bennies</t>
  </si>
  <si>
    <t>AT APP</t>
  </si>
  <si>
    <t>Start Up</t>
  </si>
  <si>
    <t>Plant Re-Start</t>
  </si>
  <si>
    <t>Retention/Expansion</t>
  </si>
  <si>
    <t xml:space="preserve">Type </t>
  </si>
  <si>
    <t>Type of Development Project</t>
  </si>
  <si>
    <t>Size of Applicant Company</t>
  </si>
  <si>
    <t>Size Category</t>
  </si>
  <si>
    <t>0 - 20</t>
  </si>
  <si>
    <t>(At Time of Application)</t>
  </si>
  <si>
    <t>21 - 50</t>
  </si>
  <si>
    <t>51 - 75</t>
  </si>
  <si>
    <t>76 - 100</t>
  </si>
  <si>
    <t>101 - 150</t>
  </si>
  <si>
    <t>151 - 200</t>
  </si>
  <si>
    <t>201 - 500</t>
  </si>
  <si>
    <t>500+</t>
  </si>
  <si>
    <t>Not Vermont Based</t>
  </si>
  <si>
    <r>
      <t>Vermont Based</t>
    </r>
    <r>
      <rPr>
        <vertAlign val="superscript"/>
        <sz val="10"/>
        <rFont val="Arial"/>
        <family val="2"/>
      </rPr>
      <t>*</t>
    </r>
  </si>
  <si>
    <t>* If recruited company will be headquartered in VT, considered Vermont-Based</t>
  </si>
  <si>
    <t>Type of Expansion Project</t>
  </si>
  <si>
    <t>No Facility Expansion</t>
  </si>
  <si>
    <t>Acquisition/Reuse of Exisiting Facility</t>
  </si>
  <si>
    <t>Expansion of Current, Existing Facility</t>
  </si>
  <si>
    <t>Construction of New Facility</t>
  </si>
  <si>
    <t>WEIGHTED AVERAGE WAGE</t>
  </si>
  <si>
    <t>Average Benefits % of Payroll</t>
  </si>
  <si>
    <t>WEIGHTED AVERAGE COMPENSATION</t>
  </si>
  <si>
    <t xml:space="preserve">  Average Compensation for New Qualifying Jobs</t>
  </si>
  <si>
    <t>Date</t>
  </si>
  <si>
    <t>Company Name</t>
  </si>
  <si>
    <t>Considered</t>
  </si>
  <si>
    <t>2007 - 2011</t>
  </si>
  <si>
    <t>Active - Final</t>
  </si>
  <si>
    <t xml:space="preserve"> Rehab Gym, Inc.</t>
  </si>
  <si>
    <t>Approved - Active</t>
  </si>
  <si>
    <t xml:space="preserve"> Olympic Precision, Inc/WIC/Town of Windsor</t>
  </si>
  <si>
    <t>Rescinded Oct 25, 2007</t>
  </si>
  <si>
    <t>NAICS</t>
  </si>
  <si>
    <t>#</t>
  </si>
  <si>
    <t>Desc</t>
  </si>
  <si>
    <t>Manuf - Dur- Misc</t>
  </si>
  <si>
    <t>Manuf - Dur- Wood</t>
  </si>
  <si>
    <t>manuf - Nondur - food</t>
  </si>
  <si>
    <t>Manuf- Dur</t>
  </si>
  <si>
    <t>Vermont - Based?</t>
  </si>
  <si>
    <t>Trade/Trans/Util- Merch Wholesaler- Sport/rec</t>
  </si>
  <si>
    <t>State</t>
  </si>
  <si>
    <t>Incorp</t>
  </si>
  <si>
    <t xml:space="preserve">Parent </t>
  </si>
  <si>
    <t>Location</t>
  </si>
  <si>
    <t>0 = No, 1 = Yes</t>
  </si>
  <si>
    <t>VT</t>
  </si>
  <si>
    <t>Recruitment?</t>
  </si>
  <si>
    <t>From</t>
  </si>
  <si>
    <t>Where</t>
  </si>
  <si>
    <t>Corporate Type</t>
  </si>
  <si>
    <t>FYE</t>
  </si>
  <si>
    <t>Expansion type</t>
  </si>
  <si>
    <t>Expansion</t>
  </si>
  <si>
    <t>Actual</t>
  </si>
  <si>
    <t>LLC</t>
  </si>
  <si>
    <t>Jun</t>
  </si>
  <si>
    <t>Expand Current - In Ind/comm Park</t>
  </si>
  <si>
    <t>Expand Current - Not In Ind/comm Park</t>
  </si>
  <si>
    <t>Acquisition/Reuse - In Indus/Comm park</t>
  </si>
  <si>
    <t>Acquisition/Reuse - Not In Indus/Comm park</t>
  </si>
  <si>
    <t>New Construction - Not In Ind/Comm Park</t>
  </si>
  <si>
    <t>New Construction - In Ind/Comm Park</t>
  </si>
  <si>
    <t>Dec</t>
  </si>
  <si>
    <t>Del</t>
  </si>
  <si>
    <t>C</t>
  </si>
  <si>
    <t>Sept</t>
  </si>
  <si>
    <t>So. Burl</t>
  </si>
  <si>
    <t>S</t>
  </si>
  <si>
    <t>Renovate current space</t>
  </si>
  <si>
    <t>223 Avenue D, Suite 10, Williston</t>
  </si>
  <si>
    <t>Lease facility in Catamount Ind Park, Milton</t>
  </si>
  <si>
    <t>115 catamount Dr, Milton</t>
  </si>
  <si>
    <t>NY</t>
  </si>
  <si>
    <t>Acquire/reuse former Miller Building, Benn</t>
  </si>
  <si>
    <t>141 Morse Road, Benington</t>
  </si>
  <si>
    <t>Acquire/reuse exisitng facility in Chit Cty</t>
  </si>
  <si>
    <t>30 Gauthier Drive, Essex Junct</t>
  </si>
  <si>
    <t>Expand current facility in Waterbury/Pilgrim Park</t>
  </si>
  <si>
    <t>Pilgrim Park, Waterbury</t>
  </si>
  <si>
    <t>Jan</t>
  </si>
  <si>
    <t>Acquire/reuse existing facility in Burlington</t>
  </si>
  <si>
    <t>152 Industrial Way, Burlington</t>
  </si>
  <si>
    <t>Mascoma Corporation</t>
  </si>
  <si>
    <t>Maximum</t>
  </si>
  <si>
    <t>WRJ</t>
  </si>
  <si>
    <t>Preliminary</t>
  </si>
  <si>
    <t>Application?</t>
  </si>
  <si>
    <t>0 = No; 1 = Yes</t>
  </si>
  <si>
    <t>Prelim</t>
  </si>
  <si>
    <t>Est</t>
  </si>
  <si>
    <t>Estimated</t>
  </si>
  <si>
    <t>Initial Incentive</t>
  </si>
  <si>
    <t>Final Incentive</t>
  </si>
  <si>
    <t>Difference</t>
  </si>
  <si>
    <t>Net Revenue Benefit</t>
  </si>
  <si>
    <t>Estimate</t>
  </si>
  <si>
    <t>Final Approved Oct 2007</t>
  </si>
  <si>
    <t>Initial Approved Feb 2007</t>
  </si>
  <si>
    <t>October 2007</t>
  </si>
  <si>
    <t>Initial Approved May 2007</t>
  </si>
  <si>
    <t>Vt</t>
  </si>
  <si>
    <t>Final Aproved Oct 2007</t>
  </si>
  <si>
    <t>Essex/Waterbury</t>
  </si>
  <si>
    <t>Mascoma</t>
  </si>
  <si>
    <t>Quality Assurance</t>
  </si>
  <si>
    <t>warehouse</t>
  </si>
  <si>
    <t>Trainers</t>
  </si>
  <si>
    <t>Facilities</t>
  </si>
  <si>
    <t>Maintenance Super</t>
  </si>
  <si>
    <t>Site manager</t>
  </si>
  <si>
    <t>Sales Administrator</t>
  </si>
  <si>
    <t>Finance Manager</t>
  </si>
  <si>
    <t>Maximum Incentive Payout</t>
  </si>
  <si>
    <t>Estimated Incentive Payout Based on Application Data</t>
  </si>
  <si>
    <t>total</t>
  </si>
  <si>
    <t xml:space="preserve">  New Qualifying Jobs Projected (Created between 2007 - 2012)</t>
  </si>
  <si>
    <t xml:space="preserve">  New Qualifying Payroll Projected (Created between 2007 - 2012)</t>
  </si>
  <si>
    <t xml:space="preserve">  Qualified Capital Investment Projected (Invested between 2007 - 2012)</t>
  </si>
  <si>
    <t xml:space="preserve">  Total Revenue Benefits to the State (Present Value) (2007 - 2012)</t>
  </si>
  <si>
    <t xml:space="preserve">  Total Revenue Costs to the State (Present Value) (2007 - 2016)</t>
  </si>
  <si>
    <t>08-01</t>
  </si>
  <si>
    <t>Vermont Company?</t>
  </si>
  <si>
    <t>Total Estimated Incentive Authorized</t>
  </si>
  <si>
    <t>2008 Total Estimated Incentive Authorized</t>
  </si>
  <si>
    <t>2007 Total Estimated Incentive Authorized</t>
  </si>
  <si>
    <t xml:space="preserve">  Net Fiscal Return to the State (2007 - 2016)</t>
  </si>
  <si>
    <t xml:space="preserve">  Total Pre Incentive Net Revenue Impact (2007 - 2012) </t>
  </si>
  <si>
    <t xml:space="preserve">  Total Incentive Amount Before Background Growth (2007-2012)</t>
  </si>
  <si>
    <t xml:space="preserve">  Total Background Growth (2007 -2012)</t>
  </si>
  <si>
    <t>TOTAL</t>
  </si>
  <si>
    <t>Estimated Incentives to be Paid Based on Application Data (Nominal Dollars)</t>
  </si>
  <si>
    <t>VERMONT EMPLOYMENT GROWTH INCENTIVE AUTHORIZATIONS  - Detailed Summary</t>
  </si>
  <si>
    <t>VERMONT EMPLOYMENT GROWTH INCENTIVE AUTHORIZATIONS - JOBS</t>
  </si>
  <si>
    <t>VERMONT EMPLOYMENT GROWTH INCENTIVE AUTHORIZATIONS  - PAYROLL</t>
  </si>
  <si>
    <t>VERMONT EMPLOYMENT GROWTH INCENTIVE AUTHORIZATIONS  - CAPEX</t>
  </si>
  <si>
    <t>VERMONT EMPLOYMENT GROWTH INCENTIVE AUTHORIZATIONS  - COST-BENEFIT</t>
  </si>
  <si>
    <t xml:space="preserve">Discount </t>
  </si>
  <si>
    <t>rate</t>
  </si>
  <si>
    <t>VERMONT EMPLOYMENT GROWTH INCENTIVE AUTHORIZATIONS   - MAXIMUM INCENTIVES</t>
  </si>
  <si>
    <t>TOTALS</t>
  </si>
  <si>
    <t>Vt Res</t>
  </si>
  <si>
    <t>At App</t>
  </si>
  <si>
    <t>After App</t>
  </si>
  <si>
    <t>Related</t>
  </si>
  <si>
    <t>Entity?</t>
  </si>
  <si>
    <t>Entity</t>
  </si>
  <si>
    <t>Purpose of</t>
  </si>
  <si>
    <t xml:space="preserve">Name of </t>
  </si>
  <si>
    <t>Timberline Panel Company; Empire Building Products</t>
  </si>
  <si>
    <t>VTF wholly owns TPC and holds 60% of EBP- All VT employees will be employed by VTF</t>
  </si>
  <si>
    <t xml:space="preserve">  Costs to the State Before Incentive (Present Value) (2007-2012)</t>
  </si>
  <si>
    <t xml:space="preserve">  Total Present Value of Maximum Incentives (2007 - 2015)</t>
  </si>
  <si>
    <t>Minimum</t>
  </si>
  <si>
    <t>Application Count</t>
  </si>
  <si>
    <t>Waterbury/Essex</t>
  </si>
  <si>
    <t>VERMONT EMPLOYMENT GROWTH INCENTIVE - AVERAGE WAGE</t>
  </si>
  <si>
    <t>Aggregate Annual Incentive Payments (Present Value Dollars)</t>
  </si>
  <si>
    <t>Aggregate Net New Revenues to State Because of Incentives (Present Value Dollars)</t>
  </si>
  <si>
    <t>VERMONT EMPLOYMENT GROWTH INCENTIVE - AUTHORIZATION SUMMARY</t>
  </si>
  <si>
    <t>VERMONT EMPLOYMENT GROWTH INCENTIVE AUTHORIZATIONS  - ESTIMATED INCENTIVES</t>
  </si>
  <si>
    <t>VERMONT EMPLOYMENT GROWTH INCENTIVE - MISC APPLICANT INFO</t>
  </si>
  <si>
    <t>Maximum Incentives Possible (Nominal Dollars)</t>
  </si>
  <si>
    <t>DETAIL OF PAYOUTS:</t>
  </si>
  <si>
    <t>DETAIL OF MAX PAYOUTS:</t>
  </si>
  <si>
    <t>PAYOUT</t>
  </si>
  <si>
    <t>Albany College of Pharmacy</t>
  </si>
  <si>
    <t>Know Your Source, LLC</t>
  </si>
  <si>
    <t>Tata's Natural Alchemy</t>
  </si>
  <si>
    <t>Whiting/Shoreham</t>
  </si>
  <si>
    <t>Albany</t>
  </si>
  <si>
    <t>Tata's</t>
  </si>
  <si>
    <t>December 2007</t>
  </si>
  <si>
    <t>Start-up</t>
  </si>
  <si>
    <t>Total Incentives Considered To Date</t>
  </si>
  <si>
    <t>Total Incenitves Denied To Date</t>
  </si>
  <si>
    <t>Net Incentives Authorized to Date</t>
  </si>
  <si>
    <t>2007 Cap Balance</t>
  </si>
  <si>
    <t>2008 Cap Balance</t>
  </si>
  <si>
    <t>Total Incentives:</t>
  </si>
  <si>
    <t>Annual Incentives/Caps:</t>
  </si>
  <si>
    <t>2007 Authorizations (Earned 2007 - 2011; Paid out 2008 - 2015)</t>
  </si>
  <si>
    <t>2008 Authorizations (Earned 2008 - 2012; Paid out 2009 - 2016)</t>
  </si>
  <si>
    <t>December 6, 2007</t>
  </si>
  <si>
    <t>January 25, 2007</t>
  </si>
  <si>
    <t>February 15, 2007</t>
  </si>
  <si>
    <t>March 22, 2007</t>
  </si>
  <si>
    <t>May 3, 2007 (April meeting)</t>
  </si>
  <si>
    <t>May 24, 2007</t>
  </si>
  <si>
    <t>June 28, 2007</t>
  </si>
  <si>
    <t>July 26, 2007</t>
  </si>
  <si>
    <t>October 25, 2007</t>
  </si>
  <si>
    <t>08-02</t>
  </si>
  <si>
    <t>08-03</t>
  </si>
  <si>
    <t>Did not Meet BF, Guideline 2</t>
  </si>
  <si>
    <t>Tata's Natural Alchemy, LLC</t>
  </si>
  <si>
    <t>Whiting</t>
  </si>
  <si>
    <t>2007</t>
  </si>
  <si>
    <t>08-04</t>
  </si>
  <si>
    <t xml:space="preserve"> Albany College of Pharmacy</t>
  </si>
  <si>
    <t xml:space="preserve"> Know Your Source, LLC</t>
  </si>
  <si>
    <t>Applications Considered</t>
  </si>
  <si>
    <t>VEGI  - DISTRIBUTION: Active Only</t>
  </si>
  <si>
    <t>Dollar</t>
  </si>
  <si>
    <t>Value</t>
  </si>
  <si>
    <t>% of Incen. By #</t>
  </si>
  <si>
    <t>by $</t>
  </si>
  <si>
    <t>Regional Distribution (By Applications)</t>
  </si>
  <si>
    <t>Tatas</t>
  </si>
  <si>
    <t>Faculty/Research</t>
  </si>
  <si>
    <t>Operations Assistant</t>
  </si>
  <si>
    <t>Distribution Manager</t>
  </si>
  <si>
    <t>Prof &amp; Bus Services- Education</t>
  </si>
  <si>
    <t>manuf - Nondur - Organic Chemicals</t>
  </si>
  <si>
    <t>NFP</t>
  </si>
  <si>
    <t>Renovate currently owned Farm Blgs</t>
  </si>
  <si>
    <t>Acq/Reuse Exisiting facility in WaterTower Hill</t>
  </si>
  <si>
    <t>315 Angel Road, Whiting</t>
  </si>
  <si>
    <t>261 Mountain Drive, Watertower Hill (former Bombardier Blg), Colchester</t>
  </si>
  <si>
    <t>New Qualifying Jobs to be Created</t>
  </si>
  <si>
    <t>New Qualifying Payroll to be Created</t>
  </si>
  <si>
    <t>New Qualifying Capital Investments to be Made</t>
  </si>
  <si>
    <t xml:space="preserve"> </t>
  </si>
  <si>
    <t>Ret./Expansion</t>
  </si>
  <si>
    <t>Sig</t>
  </si>
  <si>
    <t>Page</t>
  </si>
  <si>
    <t>Filed</t>
  </si>
  <si>
    <t>2007 claim filing</t>
  </si>
  <si>
    <t>Base</t>
  </si>
  <si>
    <t>Info</t>
  </si>
  <si>
    <t>Form</t>
  </si>
  <si>
    <t>Requested</t>
  </si>
  <si>
    <t xml:space="preserve">Base </t>
  </si>
  <si>
    <t xml:space="preserve">Form </t>
  </si>
  <si>
    <t xml:space="preserve">Claim </t>
  </si>
  <si>
    <t>Yes</t>
  </si>
  <si>
    <t>No</t>
  </si>
  <si>
    <t>N/A</t>
  </si>
  <si>
    <t>Will</t>
  </si>
  <si>
    <t>Meet</t>
  </si>
  <si>
    <t>Year 1</t>
  </si>
  <si>
    <t>Targets?</t>
  </si>
  <si>
    <t>2008</t>
  </si>
  <si>
    <t>2009</t>
  </si>
  <si>
    <t>2010</t>
  </si>
  <si>
    <t>2011</t>
  </si>
  <si>
    <t>2012</t>
  </si>
  <si>
    <t>Rescinded Jan 24, 2008</t>
  </si>
  <si>
    <t xml:space="preserve"> Tata's Natural Alchemy</t>
  </si>
  <si>
    <t xml:space="preserve"> CNC North, Inc.</t>
  </si>
  <si>
    <t>Springfield</t>
  </si>
  <si>
    <t>08-05</t>
  </si>
  <si>
    <t>2/1/08 - 12/31/12</t>
  </si>
  <si>
    <t>Rescinded January 24, 2008</t>
  </si>
  <si>
    <t>CNC</t>
  </si>
  <si>
    <t>Electrical technicians</t>
  </si>
  <si>
    <t>Mechanical Technicians</t>
  </si>
  <si>
    <t>Office Support</t>
  </si>
  <si>
    <t>Mechanical Engineer</t>
  </si>
  <si>
    <t>January 24, 2008</t>
  </si>
  <si>
    <t>CNC North</t>
  </si>
  <si>
    <t>CNC North, Inc.</t>
  </si>
  <si>
    <t>TBD</t>
  </si>
  <si>
    <t>APPLICATION OF AUTHORIZED INCENTIVES AGAINST ANNUAL GROSS CAP</t>
  </si>
  <si>
    <t>APPLICATION OF AUTHORIZED INCENTIVES AGAINST ANNUAL NET NEGATIVE CAP</t>
  </si>
  <si>
    <t>Incentives Approved Against Net negative Cap</t>
  </si>
  <si>
    <t>Gross Cap</t>
  </si>
  <si>
    <t>Gross Cap Balance</t>
  </si>
  <si>
    <t>Net Negative Cap</t>
  </si>
  <si>
    <t>Net Negative Cap Balance</t>
  </si>
  <si>
    <t>FEIN</t>
  </si>
  <si>
    <t>030367941</t>
  </si>
  <si>
    <t>030269736</t>
  </si>
  <si>
    <t>030359325</t>
  </si>
  <si>
    <t>030337545</t>
  </si>
  <si>
    <t>030339228</t>
  </si>
  <si>
    <t>Activity</t>
  </si>
  <si>
    <t xml:space="preserve">commencement </t>
  </si>
  <si>
    <t xml:space="preserve">Initial </t>
  </si>
  <si>
    <t xml:space="preserve">Approval </t>
  </si>
  <si>
    <t>2/1/2007 - Dec 31, 2011</t>
  </si>
  <si>
    <t>may 3, 2007 - Dec 31, 2011</t>
  </si>
  <si>
    <t>April 1, 2007 - dec 31, 2011</t>
  </si>
  <si>
    <t>may 24, 2007 - dec 31, 2011</t>
  </si>
  <si>
    <t>June 6, 2007 - dec 31, 2011</t>
  </si>
  <si>
    <t>NOTE: ACD is different on Final app = July 17, 2007; Auth period started on date final app submitted</t>
  </si>
  <si>
    <t>February 1, 2008 - Dec 31, 2012</t>
  </si>
  <si>
    <t>Rescinded Mar 27, 2008</t>
  </si>
  <si>
    <t xml:space="preserve"> Helix Global Solutions, Inc.</t>
  </si>
  <si>
    <t>Rescinded March 27, 2008</t>
  </si>
  <si>
    <t>March 6, 2008 (Feb meeting)</t>
  </si>
  <si>
    <t xml:space="preserve"> Helix Global Solutions, nc. </t>
  </si>
  <si>
    <t>Initial Approved Jan 2008</t>
  </si>
  <si>
    <t>Final Approved Mar 2008</t>
  </si>
  <si>
    <t>08-06</t>
  </si>
  <si>
    <t>Helix</t>
  </si>
  <si>
    <t xml:space="preserve"> Helix Global Solutions</t>
  </si>
  <si>
    <t>FT EMP</t>
  </si>
  <si>
    <t>QUAL</t>
  </si>
  <si>
    <t>March 6, 2008 (Feb Meeting)</t>
  </si>
  <si>
    <t>January  24, 2008</t>
  </si>
  <si>
    <t>Isovolta, Inc.</t>
  </si>
  <si>
    <t xml:space="preserve"> Isovolta, Inc.</t>
  </si>
  <si>
    <t>Rutland</t>
  </si>
  <si>
    <t xml:space="preserve"> Vermont College of Fine Arts</t>
  </si>
  <si>
    <t>Active- Final</t>
  </si>
  <si>
    <t>Montpelier</t>
  </si>
  <si>
    <t>March 27, 2008</t>
  </si>
  <si>
    <t xml:space="preserve">Isovolta , Inc. </t>
  </si>
  <si>
    <t>Vermont College of Fine Arts</t>
  </si>
  <si>
    <t>5/1/08-12/31/12</t>
  </si>
  <si>
    <t>08-07</t>
  </si>
  <si>
    <t>08-08</t>
  </si>
  <si>
    <t>Isovolta</t>
  </si>
  <si>
    <t>VCFA</t>
  </si>
  <si>
    <t xml:space="preserve">March 27, 2008 </t>
  </si>
  <si>
    <t>facilities management</t>
  </si>
  <si>
    <t>Mail/Conference coordination</t>
  </si>
  <si>
    <t>Executive staff</t>
  </si>
  <si>
    <t>Academic Program Staff</t>
  </si>
  <si>
    <t>Institutional Support</t>
  </si>
  <si>
    <t>Isovolta, Inc</t>
  </si>
  <si>
    <t>March 6, 2008 (February Meeting)</t>
  </si>
  <si>
    <t>Helix Global Solutions (USA)</t>
  </si>
  <si>
    <t>Man- Dur - Machnery</t>
  </si>
  <si>
    <t>202411116</t>
  </si>
  <si>
    <t>Acq/Reuse- Lease existing facility</t>
  </si>
  <si>
    <t xml:space="preserve">No Springfield </t>
  </si>
  <si>
    <t>CAN</t>
  </si>
  <si>
    <t>Educ- Colleges and Univ</t>
  </si>
  <si>
    <t>NonProfit</t>
  </si>
  <si>
    <t>208384273</t>
  </si>
  <si>
    <t>No expansion</t>
  </si>
  <si>
    <t>36 College St, Mont</t>
  </si>
  <si>
    <t>May 1, 2008 - Dec 31, 2012</t>
  </si>
  <si>
    <t>Rescinded Jun 26, 2008</t>
  </si>
  <si>
    <t>2008-2012</t>
  </si>
  <si>
    <t>Stowe</t>
  </si>
  <si>
    <t xml:space="preserve"> Commonwealth Yogurt, Inc.</t>
  </si>
  <si>
    <t xml:space="preserve"> Utility Risk Management Corp</t>
  </si>
  <si>
    <t>Rescinded June 26, 2008</t>
  </si>
  <si>
    <t>rescinded June 26, 2008</t>
  </si>
  <si>
    <t>June 26, 2008</t>
  </si>
  <si>
    <t>08-09</t>
  </si>
  <si>
    <t>08-10</t>
  </si>
  <si>
    <t>08-11</t>
  </si>
  <si>
    <t>Commonwealth Yogurt</t>
  </si>
  <si>
    <t>Final Approved June 2008</t>
  </si>
  <si>
    <t>11/1/08-12/31/12</t>
  </si>
  <si>
    <t>Utility Risk Management Corp</t>
  </si>
  <si>
    <t>7/1/08-12/31/12</t>
  </si>
  <si>
    <t>Comm Yogurt</t>
  </si>
  <si>
    <t>URMC</t>
  </si>
  <si>
    <t>June 24, 2008</t>
  </si>
  <si>
    <t>Senior GIS Forester</t>
  </si>
  <si>
    <t>Transmission Engineer</t>
  </si>
  <si>
    <t>PLS Engineers</t>
  </si>
  <si>
    <t>Plant Manager</t>
  </si>
  <si>
    <t>Assistant Plant Manager</t>
  </si>
  <si>
    <t>Customer service/Logistics</t>
  </si>
  <si>
    <t>Sales</t>
  </si>
  <si>
    <t>March 27,2008</t>
  </si>
  <si>
    <t xml:space="preserve"> Vermont College of Fine arts</t>
  </si>
  <si>
    <t xml:space="preserve"> Commonwealth Yogurt</t>
  </si>
  <si>
    <t xml:space="preserve"> Utility  Risk Management Corp</t>
  </si>
  <si>
    <t xml:space="preserve"> Isovolta, Inc</t>
  </si>
  <si>
    <t xml:space="preserve"> Helix Global Solutions (USA)</t>
  </si>
  <si>
    <t>Man- Non Dur - Dairy</t>
  </si>
  <si>
    <t>PA</t>
  </si>
  <si>
    <t>Commonwealth Yogurt Investment Trust, LLC</t>
  </si>
  <si>
    <t>Hold equity, credits, investment</t>
  </si>
  <si>
    <t>Ukn</t>
  </si>
  <si>
    <t>Nov 1,2008 - Dec 31, 2012</t>
  </si>
  <si>
    <t>Inner Traditions International</t>
  </si>
  <si>
    <t>Withdrawn by applicant</t>
  </si>
  <si>
    <t>VEGI/PTS</t>
  </si>
  <si>
    <t xml:space="preserve"> Vermont Wood Energy Corp**</t>
  </si>
  <si>
    <t>** = "Green VEGI"</t>
  </si>
  <si>
    <t>July 24, 2008</t>
  </si>
  <si>
    <t>08-12</t>
  </si>
  <si>
    <t>Vermont Wood Energy Corp</t>
  </si>
  <si>
    <t>8/1/08-12/31/12</t>
  </si>
  <si>
    <t>VWEC</t>
  </si>
  <si>
    <t xml:space="preserve"> VWEC</t>
  </si>
  <si>
    <t>Bethel</t>
  </si>
  <si>
    <t>Randolph</t>
  </si>
  <si>
    <t>08-13</t>
  </si>
  <si>
    <t>08-14</t>
  </si>
  <si>
    <t>Vermont Castings Holding Company</t>
  </si>
  <si>
    <t xml:space="preserve"> Vermont Castings Holding Company**</t>
  </si>
  <si>
    <t>New England Precision</t>
  </si>
  <si>
    <t xml:space="preserve"> New England Precision, Inc./Clifford Properties, Inc.</t>
  </si>
  <si>
    <t>NEP</t>
  </si>
  <si>
    <t>September 18, 2008</t>
  </si>
  <si>
    <t>Quality Control Manager</t>
  </si>
  <si>
    <t>Vermont Castings</t>
  </si>
  <si>
    <t>Tool Maker</t>
  </si>
  <si>
    <t>Press Operator</t>
  </si>
  <si>
    <t>Sales and Marketing Manager</t>
  </si>
  <si>
    <t xml:space="preserve"> Vermont Castings</t>
  </si>
  <si>
    <t xml:space="preserve"> New England Precision</t>
  </si>
  <si>
    <t>Man- Dur - Metal parts</t>
  </si>
  <si>
    <t>030359330</t>
  </si>
  <si>
    <t>UNK</t>
  </si>
  <si>
    <t>Clifford of vermont</t>
  </si>
  <si>
    <t>RE Holding</t>
  </si>
  <si>
    <t>No expansion - within footptint</t>
  </si>
  <si>
    <t>281 Beanville Rd, randolph</t>
  </si>
  <si>
    <t>November 1, 2008 - december 31, 2012</t>
  </si>
  <si>
    <t xml:space="preserve"> Dominion Diagnostics, LLC</t>
  </si>
  <si>
    <t>2009-2013</t>
  </si>
  <si>
    <t>Burlington Area</t>
  </si>
  <si>
    <t>2009 Authorizations (Earned 2009 - 2013; Paid out 2010 - 2017)</t>
  </si>
  <si>
    <t>Final Approved October 23, 2008</t>
  </si>
  <si>
    <t>October 23, 2008</t>
  </si>
  <si>
    <t>Utility Risk Management Corporation</t>
  </si>
  <si>
    <t>Initial approved June 26, 2008</t>
  </si>
  <si>
    <t>New England Precision, Inc./Clifford Properties, Inc.</t>
  </si>
  <si>
    <t>Dominion Diagnostics, LLC</t>
  </si>
  <si>
    <t>1/1/09-12/31/13</t>
  </si>
  <si>
    <t>2009 Cap Balance</t>
  </si>
  <si>
    <t>2009 Total Estimated Incentives Authorized</t>
  </si>
  <si>
    <t>Dominion</t>
  </si>
  <si>
    <t>Battenkill</t>
  </si>
  <si>
    <t>Vt Castings</t>
  </si>
  <si>
    <t>October 232, 2008</t>
  </si>
  <si>
    <t>October  23, 2008</t>
  </si>
  <si>
    <t>Operating Officers</t>
  </si>
  <si>
    <t>Business Development</t>
  </si>
  <si>
    <t>Acessioners</t>
  </si>
  <si>
    <t>Billing</t>
  </si>
  <si>
    <t>IT</t>
  </si>
  <si>
    <t>Medical Lab Technician</t>
  </si>
  <si>
    <t>Medical technician</t>
  </si>
  <si>
    <t>Ocotber 23, 2008</t>
  </si>
  <si>
    <t xml:space="preserve"> Utility Risk Managament Corp</t>
  </si>
  <si>
    <t>2013</t>
  </si>
  <si>
    <t>Theoretical Maximum Incentives with Cap</t>
  </si>
  <si>
    <t>Earn Years</t>
  </si>
  <si>
    <t>2014</t>
  </si>
  <si>
    <t>Theoretical incentive max by cap</t>
  </si>
  <si>
    <t>Prof, sci, Tech Services - Surveying and Mapping</t>
  </si>
  <si>
    <t>Reuse of barn</t>
  </si>
  <si>
    <t>2038 Mountain Rd Stowe</t>
  </si>
  <si>
    <t>July 1, 2008 - December 31, 2012</t>
  </si>
  <si>
    <t>Medical Laboratory</t>
  </si>
  <si>
    <t>RI</t>
  </si>
  <si>
    <t>541882269</t>
  </si>
  <si>
    <t>January 1, 2009 - December 31, 2013</t>
  </si>
  <si>
    <t>09-01</t>
  </si>
  <si>
    <t>Rescinded Dec 4, 2008</t>
  </si>
  <si>
    <t>Essex</t>
  </si>
  <si>
    <t>Recruitment/SU</t>
  </si>
  <si>
    <t>St. Albans</t>
  </si>
  <si>
    <t>BioTek Instruments, Inc./Lionheart Technologies, Inc.</t>
  </si>
  <si>
    <t xml:space="preserve"> BioTek Instruments, Inc./Lionheart Technologies, Inc.</t>
  </si>
  <si>
    <t>Winooski</t>
  </si>
  <si>
    <t>09-03</t>
  </si>
  <si>
    <t>Final denied december 4, 2008</t>
  </si>
  <si>
    <t>09-02</t>
  </si>
  <si>
    <t>December 4, 2008</t>
  </si>
  <si>
    <t>09-04</t>
  </si>
  <si>
    <t>ASK-in TAG, LLC</t>
  </si>
  <si>
    <t>Initial Approved Dec. 6, 2007</t>
  </si>
  <si>
    <t>1/1/08-12/31/12</t>
  </si>
  <si>
    <t>Final approved Dec 4, 2008</t>
  </si>
  <si>
    <t>Vermont Wood Energy Corporation</t>
  </si>
  <si>
    <t>Initial Approved July 24, 2008</t>
  </si>
  <si>
    <t>BEMAG Transformers, Inc.</t>
  </si>
  <si>
    <t>09-05</t>
  </si>
  <si>
    <t>09-06</t>
  </si>
  <si>
    <t>Former</t>
  </si>
  <si>
    <t>Rescinded December 4, 2008</t>
  </si>
  <si>
    <t>ASK</t>
  </si>
  <si>
    <t>Biotek</t>
  </si>
  <si>
    <t>Bookkeeper</t>
  </si>
  <si>
    <t>Farm Manager</t>
  </si>
  <si>
    <t>Shipping/Packing associate</t>
  </si>
  <si>
    <t>Marketing Assistant</t>
  </si>
  <si>
    <t>Batching/Filling Associate</t>
  </si>
  <si>
    <t>Operations and Sourcing Manager</t>
  </si>
  <si>
    <t>Website&amp; Customer service</t>
  </si>
  <si>
    <t>R&amp;D and Special Projects</t>
  </si>
  <si>
    <t>Batching/Filling Assistant</t>
  </si>
  <si>
    <t>CFO</t>
  </si>
  <si>
    <t>President</t>
  </si>
  <si>
    <t>BioTek</t>
  </si>
  <si>
    <t>Marketing and Sales</t>
  </si>
  <si>
    <t>R&amp;D</t>
  </si>
  <si>
    <t>Quality Inspection</t>
  </si>
  <si>
    <t>Purchasing</t>
  </si>
  <si>
    <t>Stockroom</t>
  </si>
  <si>
    <t>Winders</t>
  </si>
  <si>
    <t>Operator/Laminator</t>
  </si>
  <si>
    <t>Mounting/Welding</t>
  </si>
  <si>
    <t>Tester</t>
  </si>
  <si>
    <t>Encapsulator</t>
  </si>
  <si>
    <t>ASK-in Tag</t>
  </si>
  <si>
    <t>Operators</t>
  </si>
  <si>
    <t>Technicians</t>
  </si>
  <si>
    <t>Accounting</t>
  </si>
  <si>
    <t>Managing</t>
  </si>
  <si>
    <t>ASk</t>
  </si>
  <si>
    <t>Weighted Average Wage of New Qualifying Jobs</t>
  </si>
  <si>
    <t>Average Total Compensation for New Qualifying Jobs</t>
  </si>
  <si>
    <t>BioTek Instruments</t>
  </si>
  <si>
    <t>ASK-in TAG</t>
  </si>
  <si>
    <t>Renovation/Reuse Existing Blg</t>
  </si>
  <si>
    <t>January 1, 2008 - december 31, 2012</t>
  </si>
  <si>
    <t>Manuf - Dur - All other plastics</t>
  </si>
  <si>
    <t>WI</t>
  </si>
  <si>
    <t xml:space="preserve">Reuse IBM Building </t>
  </si>
  <si>
    <t>1000 River Rde, Essex</t>
  </si>
  <si>
    <t>January 1, 2009 - december 31, 2013</t>
  </si>
  <si>
    <t>Manuf- Dur - Power, Dist, and specialty transformers</t>
  </si>
  <si>
    <t>Sole</t>
  </si>
  <si>
    <t>800 Industrial Road, St Albans</t>
  </si>
  <si>
    <t>Reuse building in St Albans Ind Prk</t>
  </si>
  <si>
    <t>Manuf - dur- medical instruments</t>
  </si>
  <si>
    <t>03-0220579</t>
  </si>
  <si>
    <t>LionHeart Technologies</t>
  </si>
  <si>
    <t>Holding Co</t>
  </si>
  <si>
    <t>Add square footage in Ind park</t>
  </si>
  <si>
    <t>100 Tigan St, Winooski</t>
  </si>
  <si>
    <t xml:space="preserve"> Project Graphics, Inc.</t>
  </si>
  <si>
    <t>Vermont</t>
  </si>
  <si>
    <t>Interaction</t>
  </si>
  <si>
    <t>January 22, 2009</t>
  </si>
  <si>
    <t>Initial Approved December 6, 2007</t>
  </si>
  <si>
    <t>1/1/09 - 12/31/13</t>
  </si>
  <si>
    <t>Final Approved January 26, 2009</t>
  </si>
  <si>
    <t>Dominion Diagnostics, Inc.</t>
  </si>
  <si>
    <t>Initial Approved October 23, 2008</t>
  </si>
  <si>
    <t>09-07</t>
  </si>
  <si>
    <t>Project Graphics, Inc.</t>
  </si>
  <si>
    <t xml:space="preserve"> Mascoma Corporation**</t>
  </si>
  <si>
    <t>Richford</t>
  </si>
  <si>
    <t>February 26, 2009</t>
  </si>
  <si>
    <t>09-08</t>
  </si>
  <si>
    <t>Maple Mountain Woodworks, LLC</t>
  </si>
  <si>
    <t>5/1/09 - 12/31/13</t>
  </si>
  <si>
    <t>richford</t>
  </si>
  <si>
    <t>MMW</t>
  </si>
  <si>
    <t>Project Graphics</t>
  </si>
  <si>
    <t>Proj Graph</t>
  </si>
  <si>
    <t>Delivery/Transportation</t>
  </si>
  <si>
    <t>Management</t>
  </si>
  <si>
    <t>PG</t>
  </si>
  <si>
    <t>Production manager</t>
  </si>
  <si>
    <t>Project Grpahics</t>
  </si>
  <si>
    <t>Print Manager</t>
  </si>
  <si>
    <t>Marketing Manager</t>
  </si>
  <si>
    <t>Production Assistants</t>
  </si>
  <si>
    <t>Finishing Assistants</t>
  </si>
  <si>
    <t>Account Executive</t>
  </si>
  <si>
    <t>Maple Mountain Woodworks</t>
  </si>
  <si>
    <t>Maple Mountain Woodowrks</t>
  </si>
  <si>
    <t>141423161</t>
  </si>
  <si>
    <t>Janury 1, 2009 - December 31, 2013</t>
  </si>
  <si>
    <t>Misc Textile Products</t>
  </si>
  <si>
    <t>CT</t>
  </si>
  <si>
    <t>dec</t>
  </si>
  <si>
    <t>061531110</t>
  </si>
  <si>
    <t>1191 Brownell Rd, Williston</t>
  </si>
  <si>
    <t xml:space="preserve">Lease existing space </t>
  </si>
  <si>
    <t>Purchase existing Space</t>
  </si>
  <si>
    <t>472 Meadowland Dr., So Burl</t>
  </si>
  <si>
    <t>February 1, 2009 - December 31, 2013</t>
  </si>
  <si>
    <t>Wood manufacturing</t>
  </si>
  <si>
    <t>reuse abandoned sawmill</t>
  </si>
  <si>
    <t>Direct Estimated Economic Impact:</t>
  </si>
  <si>
    <t>Direct Estimated Fiscal Impact</t>
  </si>
  <si>
    <t xml:space="preserve">New Payroll Considered "Background Growth" </t>
  </si>
  <si>
    <t>Related Economic Activity:</t>
  </si>
  <si>
    <t>Total Considered</t>
  </si>
  <si>
    <t>Type of Project:</t>
  </si>
  <si>
    <t xml:space="preserve">  Start Up</t>
  </si>
  <si>
    <t xml:space="preserve">  Plant Re-Start</t>
  </si>
  <si>
    <t xml:space="preserve">  Recruitment</t>
  </si>
  <si>
    <t xml:space="preserve">  Retention/Expansion</t>
  </si>
  <si>
    <t>Vermont-based</t>
  </si>
  <si>
    <t>Non vermont-Based</t>
  </si>
  <si>
    <t>Size (by # employees at application):</t>
  </si>
  <si>
    <t>Type of Expansion:</t>
  </si>
  <si>
    <t>Vermont vs. Non-Vermont owned:</t>
  </si>
  <si>
    <t xml:space="preserve"> ASK-intTag, LLC</t>
  </si>
  <si>
    <t xml:space="preserve"> Vermont Transformers, Inc.**</t>
  </si>
  <si>
    <t xml:space="preserve"> Durasol Awnings, Inc.</t>
  </si>
  <si>
    <t xml:space="preserve"> Maple Mountain Woodworks. LLC</t>
  </si>
  <si>
    <t>Demographics (Active only):</t>
  </si>
  <si>
    <t>Final Approved March 26, 2009</t>
  </si>
  <si>
    <t>ASK-intTAg, LLC</t>
  </si>
  <si>
    <t>Initial Approved December 4, 2008</t>
  </si>
  <si>
    <t>Vermont Transformers, Inc.</t>
  </si>
  <si>
    <t>Durasol Awnings, Inc.</t>
  </si>
  <si>
    <t>09-09</t>
  </si>
  <si>
    <t>Durasol</t>
  </si>
  <si>
    <t>March 26, 2009</t>
  </si>
  <si>
    <t>Vt Transformer</t>
  </si>
  <si>
    <t>VT Transformer</t>
  </si>
  <si>
    <t>Jourtneyman</t>
  </si>
  <si>
    <t>Foreman/Trainer</t>
  </si>
  <si>
    <t>Production/Installers</t>
  </si>
  <si>
    <t>Project management/sales</t>
  </si>
  <si>
    <t>Vermont Transformers</t>
  </si>
  <si>
    <t>Ask-intTAG, LLC</t>
  </si>
  <si>
    <t>Durasol Awnings. Inc.</t>
  </si>
  <si>
    <t xml:space="preserve">Manuf- Dur - </t>
  </si>
  <si>
    <t>Italy</t>
  </si>
  <si>
    <t>Reeuse Geiger building</t>
  </si>
  <si>
    <t>38 Pond Lane</t>
  </si>
  <si>
    <t>April 1, 2009 - December 31, 2013</t>
  </si>
  <si>
    <t xml:space="preserve">Actual Net New Revenues to the State Because of Incentives </t>
  </si>
  <si>
    <t>Estimated Incentives to be Earned Based on Application Data (Nominal Dollars)</t>
  </si>
  <si>
    <t>Maximum Incentives Possible to Earn (Nominal Dollars)</t>
  </si>
  <si>
    <t>Actual Incentives Earned</t>
  </si>
  <si>
    <t>Maximum Incentives Possible to be Paid Out (Nominal Dollars)</t>
  </si>
  <si>
    <t>Actual Incentives Paid Out</t>
  </si>
  <si>
    <t>COST-BENEFIT ESTIMATE</t>
  </si>
  <si>
    <t>INCENTIVE EARNING SCHEDULE ESTIMATE</t>
  </si>
  <si>
    <t>INCENTIVE PAYOUT SCHEDULE ESTIMATE</t>
  </si>
  <si>
    <t>ECONOMIC ACTIVITY PROJECTED</t>
  </si>
  <si>
    <t>Actual New Qualifying Jobs Created</t>
  </si>
  <si>
    <t>Actual New Qualifying Payroll Created</t>
  </si>
  <si>
    <t>Actual New Qualifying Capital Investments Made</t>
  </si>
  <si>
    <t>Average Health Care Premium Paid by Employer</t>
  </si>
  <si>
    <t>Approximate Value of VT Business to Business Interaction</t>
  </si>
  <si>
    <t xml:space="preserve"> Retained Full-time Jobs</t>
  </si>
  <si>
    <t>So. Burlington</t>
  </si>
  <si>
    <t xml:space="preserve"> AirBoss Defense USA, Inc.</t>
  </si>
  <si>
    <t>2009 -2013</t>
  </si>
  <si>
    <t>Rescinded May 28, 2009</t>
  </si>
  <si>
    <t>Rescinded may 28, 2009</t>
  </si>
  <si>
    <t>April 23, 2009</t>
  </si>
  <si>
    <t>Final Approved April 23, 2009</t>
  </si>
  <si>
    <t>initial Approved January 22, 2009</t>
  </si>
  <si>
    <t>2/1/09-12/31/13</t>
  </si>
  <si>
    <t>May 28, 2009</t>
  </si>
  <si>
    <t>Initial approved March 26, 2009</t>
  </si>
  <si>
    <t>4/1/09-12/31/13</t>
  </si>
  <si>
    <t>Final Approved May 28, 2009</t>
  </si>
  <si>
    <t>09-10</t>
  </si>
  <si>
    <t>AirBoss Defense USA, Inc.</t>
  </si>
  <si>
    <t>9/1/09-12/31/13</t>
  </si>
  <si>
    <t>Milton Area</t>
  </si>
  <si>
    <t>Vt Trans</t>
  </si>
  <si>
    <t>AirBoss</t>
  </si>
  <si>
    <t>Airboss</t>
  </si>
  <si>
    <t>Yr Paid</t>
  </si>
  <si>
    <t>Yr Earned</t>
  </si>
  <si>
    <t>man- Dur- Plastics and rubber products</t>
  </si>
  <si>
    <t>Can</t>
  </si>
  <si>
    <t>Reuse building in catamount IP</t>
  </si>
  <si>
    <t>Catamount IP Milton</t>
  </si>
  <si>
    <t>Brattleboro</t>
  </si>
  <si>
    <t>2010-2014</t>
  </si>
  <si>
    <t xml:space="preserve"> SBE, Inc. **</t>
  </si>
  <si>
    <t>Barre</t>
  </si>
  <si>
    <t xml:space="preserve"> Terry Precision Bicycles for Women, Inc.</t>
  </si>
  <si>
    <t>2009-2010</t>
  </si>
  <si>
    <t xml:space="preserve"> Green Mountain Coffee Roasters, Inc.</t>
  </si>
  <si>
    <t>2010 Authorizations (Earned 2010 - 2014; Paid out 2011 - 2018)</t>
  </si>
  <si>
    <t>2010 Cap Balance</t>
  </si>
  <si>
    <t>New Qualifying FT Jobs Projected (Created between 2007 - 2014)</t>
  </si>
  <si>
    <t>New Qualifying FT Payroll Projected (Created between 2007 - 2014)</t>
  </si>
  <si>
    <t>Qualified Capital Investment Projected (Invested between 2007 - 2014)</t>
  </si>
  <si>
    <t>Total Revenue Benefits to the State (P.V.) (2007 - 2014)</t>
  </si>
  <si>
    <t>Total Revenue Costs to the State, Including Incentives (P. V.) (2007 - 2018)</t>
  </si>
  <si>
    <t>Net Fiscal Return to the State (2007 - 2018)</t>
  </si>
  <si>
    <t>June 25, 2009</t>
  </si>
  <si>
    <t>Final Approved June 23, 2009</t>
  </si>
  <si>
    <t>Commonwealth Yougurt, LLC</t>
  </si>
  <si>
    <t>7/01/09-12/31/13</t>
  </si>
  <si>
    <t>09-11</t>
  </si>
  <si>
    <t>SBE, Inc.</t>
  </si>
  <si>
    <t>1/1/10-12/31/14</t>
  </si>
  <si>
    <t>09-12</t>
  </si>
  <si>
    <t>Terry Precision Bicycles for Women, Inc.</t>
  </si>
  <si>
    <t>July 23, 2009</t>
  </si>
  <si>
    <t>09-13</t>
  </si>
  <si>
    <t>Northern Power Systems, Inc.</t>
  </si>
  <si>
    <t>Green Mountain Coffee Roasters, Inc.</t>
  </si>
  <si>
    <t>10-01</t>
  </si>
  <si>
    <t>GREEN VEGI APPLICATIONS</t>
  </si>
  <si>
    <t>7/1/09-12/31/13</t>
  </si>
  <si>
    <t>Burl Area</t>
  </si>
  <si>
    <t>7/24/09-12/31/13</t>
  </si>
  <si>
    <t>7/27/09-12/31/09</t>
  </si>
  <si>
    <t>Burll Area</t>
  </si>
  <si>
    <t>2010 Total Estimated Incentives Authorized</t>
  </si>
  <si>
    <t>SBE</t>
  </si>
  <si>
    <t>Terry</t>
  </si>
  <si>
    <t>NPS</t>
  </si>
  <si>
    <t>SBE, Inc</t>
  </si>
  <si>
    <t>Terry Precision Bicycles</t>
  </si>
  <si>
    <t>Northern Power Systems</t>
  </si>
  <si>
    <t>VERMONT EMPLOYMENT GROWTH INCENTIVE AUTHORIZATIONS  - By Code</t>
  </si>
  <si>
    <t>Approved</t>
  </si>
  <si>
    <t xml:space="preserve"> NEHP</t>
  </si>
  <si>
    <t>Laborers</t>
  </si>
  <si>
    <t>Mechanics</t>
  </si>
  <si>
    <t>Engineers</t>
  </si>
  <si>
    <t>Management - Marketing</t>
  </si>
  <si>
    <t>Management - Content</t>
  </si>
  <si>
    <t>Management - Financial</t>
  </si>
  <si>
    <t>List Manager</t>
  </si>
  <si>
    <t>IT specialist</t>
  </si>
  <si>
    <t>Apparel Designer</t>
  </si>
  <si>
    <t>Warehouse</t>
  </si>
  <si>
    <t>Web/email marketing</t>
  </si>
  <si>
    <t>Apparel development</t>
  </si>
  <si>
    <t>Purchasing/Inventory</t>
  </si>
  <si>
    <t>Engineering and Administration</t>
  </si>
  <si>
    <t>GMCR II</t>
  </si>
  <si>
    <t>Human Resources</t>
  </si>
  <si>
    <t>Social Responsibility</t>
  </si>
  <si>
    <t>Finance</t>
  </si>
  <si>
    <t>Legal/Tax</t>
  </si>
  <si>
    <t>Green Mountain Coffee Roasters II</t>
  </si>
  <si>
    <t>2015</t>
  </si>
  <si>
    <t>MA</t>
  </si>
  <si>
    <t>Ma</t>
  </si>
  <si>
    <t>New building in Delta Ind Park</t>
  </si>
  <si>
    <t>Omega Drive, Delta Campus, Brattleboro</t>
  </si>
  <si>
    <t>Man- Dur - Capacitors</t>
  </si>
  <si>
    <t>73-1645998</t>
  </si>
  <si>
    <t>New building in wilson Ind Park</t>
  </si>
  <si>
    <t>Wilson Ind Park, Barre</t>
  </si>
  <si>
    <t>Merchant wholesalers- Durable goods</t>
  </si>
  <si>
    <t>1611287679</t>
  </si>
  <si>
    <t>Man-dur-wind turbines</t>
  </si>
  <si>
    <t>26-3011376</t>
  </si>
  <si>
    <t>Expand within current building</t>
  </si>
  <si>
    <t>Man-nondur-food</t>
  </si>
  <si>
    <t>03-0339228</t>
  </si>
  <si>
    <t xml:space="preserve"> Seldon Technologies, Inc. **</t>
  </si>
  <si>
    <t>10-02</t>
  </si>
  <si>
    <t>Seldon Technologies, Inc.</t>
  </si>
  <si>
    <t>August 27, 2009</t>
  </si>
  <si>
    <t>Seldon</t>
  </si>
  <si>
    <t>Seldon Technologies</t>
  </si>
  <si>
    <t>Direct Labor</t>
  </si>
  <si>
    <t>Indirect Labor</t>
  </si>
  <si>
    <t>Scientist</t>
  </si>
  <si>
    <t>Shipping</t>
  </si>
  <si>
    <t>Genral and Admin</t>
  </si>
  <si>
    <t>Check from Ben column - this sheet</t>
  </si>
  <si>
    <t>Check from c-b Sheet 7</t>
  </si>
  <si>
    <t>Man- Dur- Water filtration</t>
  </si>
  <si>
    <t>54-2096503</t>
  </si>
  <si>
    <t>Expand within exisitng blg in Ind park</t>
  </si>
  <si>
    <t>31 Depot Ave, Windsor</t>
  </si>
  <si>
    <t>check from c-b sheet 7</t>
  </si>
  <si>
    <t>check from this sheet net rev column</t>
  </si>
  <si>
    <t>Initial Approved May 24, 2009</t>
  </si>
  <si>
    <t>Final Approved September 24, 2009</t>
  </si>
  <si>
    <t>September 24, 2009</t>
  </si>
  <si>
    <t>Initial approved May 28, 2009</t>
  </si>
  <si>
    <t>Admin &amp; Logistics</t>
  </si>
  <si>
    <t>Lead hands &amp; QC</t>
  </si>
  <si>
    <t>Finance/Controller</t>
  </si>
  <si>
    <t>Maintenance (Plant)</t>
  </si>
  <si>
    <t>Packaging Operator &amp; Asst</t>
  </si>
  <si>
    <t>Powdering and Post Cure</t>
  </si>
  <si>
    <t>Injection Press Operators</t>
  </si>
  <si>
    <t>Quality Technican</t>
  </si>
  <si>
    <t>Supervisor and QC</t>
  </si>
  <si>
    <t>September 1, 2009 - December 31, 2013</t>
  </si>
  <si>
    <t>MyWebGrocer, Inc</t>
  </si>
  <si>
    <t>10-03</t>
  </si>
  <si>
    <t>October 22, 2009</t>
  </si>
  <si>
    <t>MyWebGrocer, Inc.</t>
  </si>
  <si>
    <t>Vegi</t>
  </si>
  <si>
    <t>MWG</t>
  </si>
  <si>
    <t>Account Manager/ Coordinator</t>
  </si>
  <si>
    <t>Developers</t>
  </si>
  <si>
    <t>Database Admistrator/ Project Manager</t>
  </si>
  <si>
    <t>Execs</t>
  </si>
  <si>
    <t>Retail Sales/ Sales Support</t>
  </si>
  <si>
    <t>Information Technology</t>
  </si>
  <si>
    <t>Operations Support</t>
  </si>
  <si>
    <t>October 22</t>
  </si>
  <si>
    <t>Electronic Shopping</t>
  </si>
  <si>
    <t>Expand Current - in Ind/comm Park</t>
  </si>
  <si>
    <t>354 Mountain View Drive, Colchester</t>
  </si>
  <si>
    <t xml:space="preserve"> MyWebGrocer, Inc</t>
  </si>
  <si>
    <t>Initial Approval June 25, 2009</t>
  </si>
  <si>
    <t>December 11, 2009</t>
  </si>
  <si>
    <t>Initial Approval July 23, 2009</t>
  </si>
  <si>
    <t>Inactice</t>
  </si>
  <si>
    <t>Inside Salesperson</t>
  </si>
  <si>
    <t>Inventory Management</t>
  </si>
  <si>
    <t>Wholesale Salesperson</t>
  </si>
  <si>
    <t>Staff Accountant</t>
  </si>
  <si>
    <t>December 1, 2009 - December 31, 2013</t>
  </si>
  <si>
    <t>Acquisition/Reuse - Not In Indus/Comm Park</t>
  </si>
  <si>
    <t>7/24/09-12/31/09</t>
  </si>
  <si>
    <t>Initial Approval August 27, 2009</t>
  </si>
  <si>
    <t>January 1, 2010 - December 31, 2014</t>
  </si>
  <si>
    <t>Initial Approval February 26, 2009</t>
  </si>
  <si>
    <t>Administration/ Office</t>
  </si>
  <si>
    <t>Manufacturing</t>
  </si>
  <si>
    <t xml:space="preserve"> Revision Eyewear, Ltd. </t>
  </si>
  <si>
    <t>2010-2012</t>
  </si>
  <si>
    <t>2009-2011</t>
  </si>
  <si>
    <t>2009-2012</t>
  </si>
  <si>
    <t>Active- Initial</t>
  </si>
  <si>
    <t>Final Approval December 17, 2009</t>
  </si>
  <si>
    <t>5/1/09 - 12/31/12</t>
  </si>
  <si>
    <t>10-04</t>
  </si>
  <si>
    <t>Revision Eyewear, Ltd.</t>
  </si>
  <si>
    <t>5/1/10-12/31/12</t>
  </si>
  <si>
    <t>Revoked Sept 28, 2009</t>
  </si>
  <si>
    <t>Initial Approved Jan 2007; Revoked Sept 28, 2009 - closed</t>
  </si>
  <si>
    <t>Final Approved December 17, 2009</t>
  </si>
  <si>
    <t>Initial Approved Jan 2007; revoked Sept 28, 2009</t>
  </si>
  <si>
    <t>Final Approval December 17 2009</t>
  </si>
  <si>
    <t>Revision Eyewear</t>
  </si>
  <si>
    <t>Rescinded/Revoked</t>
  </si>
  <si>
    <t>Rescinded/revoked</t>
  </si>
  <si>
    <t>Total Incentives Rescinded/Revoked to Date</t>
  </si>
  <si>
    <t>Rev</t>
  </si>
  <si>
    <t xml:space="preserve"> Indirect Job Creation</t>
  </si>
  <si>
    <t>December 17, 2009</t>
  </si>
  <si>
    <t>Indirect</t>
  </si>
  <si>
    <t>Job</t>
  </si>
  <si>
    <t>Creation</t>
  </si>
  <si>
    <t>Qual</t>
  </si>
  <si>
    <t>nonqual</t>
  </si>
  <si>
    <t>created</t>
  </si>
  <si>
    <t>FT jobs</t>
  </si>
  <si>
    <t xml:space="preserve"> Full-time Non-Qualifying Job Creation</t>
  </si>
  <si>
    <t xml:space="preserve"> Total Full-time Job Creation</t>
  </si>
  <si>
    <t xml:space="preserve">Revision Eyewear </t>
  </si>
  <si>
    <t>Revision</t>
  </si>
  <si>
    <t>Machine Operators</t>
  </si>
  <si>
    <t>Quality Control</t>
  </si>
  <si>
    <t>Technicians (Project 2)</t>
  </si>
  <si>
    <t>Shipping/Receiving</t>
  </si>
  <si>
    <t>Engineers (project 2)</t>
  </si>
  <si>
    <t>Revision Eyewear, Ltd</t>
  </si>
  <si>
    <t>Chittenden County</t>
  </si>
  <si>
    <t>Man-Dur- eyewear</t>
  </si>
  <si>
    <t>Unk at this time</t>
  </si>
  <si>
    <t xml:space="preserve">Unk </t>
  </si>
  <si>
    <t>FOR INCENTIVES AUTHORIZED THROUGH December 2009</t>
  </si>
  <si>
    <t>Less Recapture Amount</t>
  </si>
  <si>
    <t>Net Incentives Paid</t>
  </si>
  <si>
    <t>Net Incentives Earned</t>
  </si>
  <si>
    <t xml:space="preserve"> Northern Power Systems, Inc. **</t>
  </si>
  <si>
    <t>VERMONT EMPLOYMENT GROWTH INCENTIVE - Job and WAGE Analysis</t>
  </si>
  <si>
    <t>BY WAGE</t>
  </si>
  <si>
    <t>25000-29000</t>
  </si>
  <si>
    <t>30000-39000</t>
  </si>
  <si>
    <t>40000-49000</t>
  </si>
  <si>
    <t>50000-59000</t>
  </si>
  <si>
    <t>60000-69000</t>
  </si>
  <si>
    <t>70000-79000</t>
  </si>
  <si>
    <t>80000-89000</t>
  </si>
  <si>
    <t>90000+</t>
  </si>
  <si>
    <t>BY TYPE OF JOB</t>
  </si>
  <si>
    <t>SUMMARY</t>
  </si>
  <si>
    <t>$25,000 - $29,000</t>
  </si>
  <si>
    <t>$30,000 - $39,000</t>
  </si>
  <si>
    <t>$40,000 - $49,000</t>
  </si>
  <si>
    <t>$50,000 - $59,000</t>
  </si>
  <si>
    <t>$60,000 - $69,000</t>
  </si>
  <si>
    <t>$70,000 - $79,000</t>
  </si>
  <si>
    <t>$80,000 - $89,000</t>
  </si>
  <si>
    <t>$90,000+</t>
  </si>
  <si>
    <t>ADMIN/OFFICE SUPPORT</t>
  </si>
  <si>
    <t>Accounting/Legal/HR</t>
  </si>
  <si>
    <t>IT/Technical</t>
  </si>
  <si>
    <t>Management/Supervisor</t>
  </si>
  <si>
    <t>QA/QC</t>
  </si>
  <si>
    <t>Sales/Marketing</t>
  </si>
  <si>
    <t>Customer Service/Support</t>
  </si>
  <si>
    <t>Shipping/receiving/Logistics/Maint</t>
  </si>
  <si>
    <t>Academic/Teaching/Research</t>
  </si>
  <si>
    <t>SUMMARY:</t>
  </si>
  <si>
    <t>Number:</t>
  </si>
  <si>
    <t>Average Wage:</t>
  </si>
  <si>
    <t>Authorization Summary:</t>
  </si>
  <si>
    <t>Total Incentives Considered To Date:</t>
  </si>
  <si>
    <t>Total Incenitves Denied To Date:</t>
  </si>
  <si>
    <t>Net Incentives Authorized to Date:</t>
  </si>
  <si>
    <t>New Qualifying FT Jobs Projected:</t>
  </si>
  <si>
    <t>New Qualifying FT Payroll Projected:</t>
  </si>
  <si>
    <t>Weighted Average Wage of New Qualifying Jobs:</t>
  </si>
  <si>
    <t>Average Total Compensation for New Qualifying Jobs:</t>
  </si>
  <si>
    <t>Total Revenue Benefits to the State:</t>
  </si>
  <si>
    <t>Total Revenue Costs to the State, Including Incentives:</t>
  </si>
  <si>
    <t>Net Fiscal Return to the State:</t>
  </si>
  <si>
    <t xml:space="preserve"> Total Full-time Job Creation:</t>
  </si>
  <si>
    <t>TABLE 3: AGGREGATED INCENTIVE IMPACT, BY YEAR</t>
  </si>
  <si>
    <t>Related Estimated Economic Activity:</t>
  </si>
  <si>
    <t>"Green VEGI" authorizations are those approved for environmental technology companies in accordance with 32 VSA Section 5930b(g).</t>
  </si>
  <si>
    <t>Estimated Costs to State Other Than Incentive Payments:</t>
  </si>
  <si>
    <t>Estimated New Revenues to State:</t>
  </si>
  <si>
    <t>Estimated Annual Incentive Payments:</t>
  </si>
  <si>
    <t>Estimated Net New Revenues to State Because of Incentives:</t>
  </si>
  <si>
    <t>Estimated New Qualifying Jobs to be Created</t>
  </si>
  <si>
    <t>Estimated New Qualifying Payroll to be Created</t>
  </si>
  <si>
    <t>AUTHORIZED INCENTIVES AGAINST ANNUAL GROSS CAP</t>
  </si>
  <si>
    <t>AUTHORIZED INCENTIVES AGAINST ANNUAL NET NEG. CAP</t>
  </si>
  <si>
    <t>$25-$29</t>
  </si>
  <si>
    <t>$30-$39</t>
  </si>
  <si>
    <t>$40-$49</t>
  </si>
  <si>
    <t>$50-$59</t>
  </si>
  <si>
    <t>$60-$69</t>
  </si>
  <si>
    <t>$70-$79</t>
  </si>
  <si>
    <t>$80-$89</t>
  </si>
  <si>
    <t>$90+</t>
  </si>
  <si>
    <t>Quality Assurance/Control</t>
  </si>
  <si>
    <t>0-20</t>
  </si>
  <si>
    <t>21-40</t>
  </si>
  <si>
    <t>41-60</t>
  </si>
  <si>
    <t>61-80</t>
  </si>
  <si>
    <t>81-100</t>
  </si>
  <si>
    <t>Vermont Employment Growth Incentive Program  -  First Year Activity Report Data</t>
  </si>
  <si>
    <r>
      <rPr>
        <sz val="12"/>
        <color indexed="8"/>
        <rFont val="Calibri"/>
        <family val="2"/>
      </rPr>
      <t>2007</t>
    </r>
    <r>
      <rPr>
        <sz val="12"/>
        <color indexed="8"/>
        <rFont val="Calibri"/>
        <family val="2"/>
      </rPr>
      <t xml:space="preserve">
Company Name</t>
    </r>
  </si>
  <si>
    <t>Authorization Final Approval Date</t>
  </si>
  <si>
    <t>Total Vermont Wages reported WH-434 2007</t>
  </si>
  <si>
    <t>Number of W2's reported with WH-434</t>
  </si>
  <si>
    <t>Base Payroll at Activity Commencement</t>
  </si>
  <si>
    <t>Base Payroll at end of year 1 (Actual Wages)</t>
  </si>
  <si>
    <t>Number of base jobs year 0</t>
  </si>
  <si>
    <t>Number of base jobs year 1</t>
  </si>
  <si>
    <t>Base Payroll Maintained</t>
  </si>
  <si>
    <t>New Qualifying Target Payroll
2007</t>
  </si>
  <si>
    <t xml:space="preserve">2007 total annualized Wages </t>
  </si>
  <si>
    <t>2007 total actual Medicare wages paid to "NQE"</t>
  </si>
  <si>
    <t>2006 Year 1 New Job Targets</t>
  </si>
  <si>
    <t>2007 actual number of New Qualifying Jobs</t>
  </si>
  <si>
    <t>Meets 2007  New Job Targets</t>
  </si>
  <si>
    <t>Meets 2007 Payroll Targets</t>
  </si>
  <si>
    <t>Meets 2008 Capital Investment Targets</t>
  </si>
  <si>
    <t>All Forms Completed 2008 &amp; Signed</t>
  </si>
  <si>
    <t>year 1
First Incentive Payout</t>
  </si>
  <si>
    <t>2008 Payout Status</t>
  </si>
  <si>
    <t>Meets two out of three rule
to receive incentive payout</t>
  </si>
  <si>
    <t>Recaptured/Rescinded/Off-Sets</t>
  </si>
  <si>
    <t>Off set to Tax</t>
  </si>
  <si>
    <t>Off-set</t>
  </si>
  <si>
    <t>Monahan SFI</t>
  </si>
  <si>
    <t>Refund Issued</t>
  </si>
  <si>
    <t>NEHP Inc.</t>
  </si>
  <si>
    <t>Delay Status</t>
  </si>
  <si>
    <t>Omni Measurements</t>
  </si>
  <si>
    <t>The Burton Corporation</t>
  </si>
  <si>
    <t>yes</t>
  </si>
  <si>
    <t>Vermont Timber Frame</t>
  </si>
  <si>
    <t>Energizer Corporation</t>
  </si>
  <si>
    <t>Out of Program</t>
  </si>
  <si>
    <t>notes:</t>
  </si>
  <si>
    <t>Full amount of the incentive award has gone to off-set outstanding tax liability Sales and Uses $53,718.00</t>
  </si>
  <si>
    <t xml:space="preserve">Did not meet the target expectation for 2007 </t>
  </si>
  <si>
    <t>Energizer fell short on both wages and jobs. They will have the opportunity to catch up next year, Incentive is not approved for 2007</t>
  </si>
  <si>
    <t>Follow-up with company went well. All employment documentation was verified. First installment Check was issued. $ 132,613.00</t>
  </si>
  <si>
    <t>Did not meet the target expectation for 2007 , wages and jobs did not met the qualifying targets. NEHP Inc. will have the opportunity to catch-up next year.</t>
  </si>
  <si>
    <r>
      <t xml:space="preserve">Omni has earned the incentive payout for 2007. $1179.32 is outstanding p&amp;I on 2007 annual withholding reconciliation.  </t>
    </r>
    <r>
      <rPr>
        <b/>
        <i/>
        <sz val="9"/>
        <color indexed="8"/>
        <rFont val="Calibri"/>
        <family val="2"/>
      </rPr>
      <t xml:space="preserve">Balance  of $8,238.68 has </t>
    </r>
    <r>
      <rPr>
        <i/>
        <sz val="9"/>
        <color indexed="8"/>
        <rFont val="Calibri"/>
        <family val="2"/>
      </rPr>
      <t>been issued 9/26/2008</t>
    </r>
  </si>
  <si>
    <t>Ø Incentive authorized 2007</t>
  </si>
  <si>
    <t>Received the full amount of 2007 incentive payout $12,904</t>
  </si>
  <si>
    <r>
      <t>Reviewed by:</t>
    </r>
    <r>
      <rPr>
        <i/>
        <sz val="8"/>
        <color indexed="8"/>
        <rFont val="Corbel"/>
        <family val="2"/>
      </rPr>
      <t xml:space="preserve"> H. Woodruff  2008</t>
    </r>
  </si>
  <si>
    <t>Vermont Employment Growth Incentive Program  -  Second Year Activity Report Data</t>
  </si>
  <si>
    <t>Year 2</t>
  </si>
  <si>
    <r>
      <rPr>
        <sz val="12"/>
        <color indexed="8"/>
        <rFont val="Calibri"/>
        <family val="2"/>
      </rPr>
      <t>2008</t>
    </r>
    <r>
      <rPr>
        <sz val="12"/>
        <color indexed="8"/>
        <rFont val="Calibri"/>
        <family val="2"/>
      </rPr>
      <t xml:space="preserve">
Company Name</t>
    </r>
  </si>
  <si>
    <t>Total Company Vermont Wages reported WH-434 2008</t>
  </si>
  <si>
    <t>Base Payroll at end of year 2 (Actual Wages)</t>
  </si>
  <si>
    <t>Number of base jobs year 2</t>
  </si>
  <si>
    <t>2008 Year 1 Claim Maintenance Actual  Medicare Wages</t>
  </si>
  <si>
    <t xml:space="preserve">2007 Year 1 New Job </t>
  </si>
  <si>
    <t>2008 Year 1  New Jobs Maintained</t>
  </si>
  <si>
    <t>Maintains Job in 2008</t>
  </si>
  <si>
    <t xml:space="preserve">2008 New Qualifying Target Payroll </t>
  </si>
  <si>
    <t xml:space="preserve">2008 total 
Annualized Wages </t>
  </si>
  <si>
    <t>2008 total actual Medicare wages paid to "NQE"</t>
  </si>
  <si>
    <t>Target New Qualifying Jobs 2008</t>
  </si>
  <si>
    <t>Number of  New Qualifying Jobs 2008</t>
  </si>
  <si>
    <t>Meets 2008
Payroll Targets</t>
  </si>
  <si>
    <t xml:space="preserve">Meets 2008 Job Targets </t>
  </si>
  <si>
    <t>Capital  Investment Machinery &amp; Equipment</t>
  </si>
  <si>
    <t>Capital  Investment 
Plant &amp; Facility</t>
  </si>
  <si>
    <t xml:space="preserve">2008 Total Capital Investment </t>
  </si>
  <si>
    <t>year 1
Second Installment</t>
  </si>
  <si>
    <t xml:space="preserve">Year 2 First
Incentive Payout </t>
  </si>
  <si>
    <t>Recaptured/Rescinded</t>
  </si>
  <si>
    <t>Recaptured</t>
  </si>
  <si>
    <t>New Awards</t>
  </si>
  <si>
    <t>VT College of Fine Arts</t>
  </si>
  <si>
    <t xml:space="preserve">OUT OF PROGRAM </t>
  </si>
  <si>
    <t>Isovitla</t>
  </si>
  <si>
    <t>VT Castings Holdings</t>
  </si>
  <si>
    <t>Combined Totals 2008</t>
  </si>
  <si>
    <t>Worksheet Completed by: H. Woodruff, VT Department of Taxes 12/31/2009</t>
  </si>
  <si>
    <t>2008 Summary Notes:</t>
  </si>
  <si>
    <t>Year 2 - Base wages have increased from $28,477,008 to $32,345,555. Headcount is down from 594 at the end of 2007 to 569 in 2008.  Currently, Tax is unable to determine if GMCR has maintained their claim from year 1 "NQE”.  Employment data was submitted with many changes to employee job titles, job terminations or eliminations, new hires may have back filled a terminated position without tracking for replacement of base or possibly new qualifying position, some in-house transfers have become new qualifying positions for year 2 and all positions have been re-classified for livable wage standards between year 1 claim and year 2 claim.  With the number of employees that are currently with GMCR this has become a laborious task that neither the company nor the Tax Department is able to track for the validation that is required to earn the second installment of the year 1VEGI award or the year 2 incentive installment.  Capital Investments were met in year 2 by using the carry-forward amount from year 1. Claim has been placed in delayed status until further review has been completed.</t>
  </si>
  <si>
    <r>
      <t>Year 2 - Year 1 "2007 total annualized wages" have become the base wages for claim maintenance reporting in this utilization period. Wages have increased from $3,964,433 to $4,476,188 in 2008.  Headcount remained consistent, 115 at the end of 2008. Year 2 payroll and job targets were not met. Capital investments targets met in year 2. Second installment of the year 1 incentive paid out.  Mid 2009 – Company announced the Middlebury plant would be closing on November 15, 2009 – the announcement triggered the recapture, under 32 V.S.A.</t>
    </r>
    <r>
      <rPr>
        <sz val="9"/>
        <color indexed="8"/>
        <rFont val="Corbel"/>
        <family val="2"/>
      </rPr>
      <t xml:space="preserve">§5930b(d), </t>
    </r>
    <r>
      <rPr>
        <i/>
        <sz val="9"/>
        <color indexed="8"/>
        <rFont val="Calibri"/>
        <family val="2"/>
      </rPr>
      <t xml:space="preserve">of all incentive money paid out to the company over the two years of claim reporting. Bills were issued on September 28th 2009 for the recapture amount plus interest and penalties, in total $227,137.19. The Company has agreed to make repayment installments for the amount due beginning on November 1, 2009. Monahan SFI is no longer participating in the VEGI Program.
</t>
    </r>
  </si>
  <si>
    <t>Year 2 - Base wages have increased from $722,983 to $735,355. Headcount remained consistent with 12 at the end of 2008. NEHP did not meet the targets for payroll or jobs for "new Qualifying position" in either year 1 or year 2.  Claim has been placed in delayed status. Incentives have not been paid out to the company in this utilization period.</t>
  </si>
  <si>
    <t xml:space="preserve">Year 2 - Base wages have increased from $710,851 to $734,526. </t>
  </si>
  <si>
    <t>Year 2 - Base wages have not reached the year 0 activity commencement base wages for either year of reporting. Year 1 "2007 New Qualifying Payroll and Jobs" have met the target levels and are maintained throughout 2008. Ø scheduled incentive payments throughout year 1.   For the 2008 "New Qualifying Payroll and Jobs". The company did not complete all necessary employment workbooks or supply employment data for year 2 claim. Claim has been placed in delayed status. Incentives have not been paid out to this company for the 2008 utilization period.</t>
  </si>
  <si>
    <t>Year 2 - Year 1 "2007 total annualized wages" have become the base wages for claim maintenance reporting for this period. Base wage have increased from $329,290 to $554,423 in 2008.  Headcount remained consistent with 11 at the end of this year.  Year 2 - New Qualifying Positions were created in year 1 and held as carry-forward activity from 2007. All the new qualifying wages are an annualized on a salaries basis and exceed the payroll target for year 2. Capital investment targets have been met in year 2. Vermont Timber Frame has met the qualifying targets to earn the year 1 second installment payout and the year 2 first installment payout for a total payout of $20,325 in 2009 for the 2008 utilization period.</t>
  </si>
  <si>
    <t>Year1 – Began as a new authorization at the end of 2008. Year 0 base payroll established at $3,773,756 with 66 existing qualifying employees. 2008 WH-434 reconciliation appears to have been filed an error on the form reporting VT wages shown. Nonetheless, the base wages and headcount reported do not qualify and are below year 0 levels. Year 1- New Qualifying Payroll and jobs did not meet or exceed the targets.  Capital investment did not met of exceed the targets in 2007. Claim has been placed in delayed status. Incentives have not been paid out to the company in the 2008 utilization period.</t>
  </si>
  <si>
    <t xml:space="preserve">Year 1- Began as a new authorization at the end of 2008. New Start-up Company has not yet established employment levels or payroll. Claim placed in delayed status. Incentives have not been paid out to the company in this utilization period.  </t>
  </si>
  <si>
    <t>Year 1 - Began as a new authorization in the fourth quarter of 2008. Base wages in year 0 is Ø. All wages and employees are "New Qualifying Payroll and Jobs" reported on the employment workbook are annualized wages and exceed the payroll target for year 1. As well as, the headcount and capital investment targets have been met for year 1. Utility Risk Management has met the qualifying targets to earn the year 1 first incentive installment payout of $11,565.</t>
  </si>
  <si>
    <t>Year 1 - Began as a new authorization in the second quarter of 2008. Base wages in year 0 is Ø. All wages and employees are "New Qualifying Payroll and Jobs" reported on the employment workbook are annualized wages and exceed the payroll target for year 1. As well as, the headcount and capital investment targets have been met for year 1. Vermont College of Fine Arts has met the qualifying targets to earn the year 1 first incentive installment payout of $21,924.</t>
  </si>
  <si>
    <t xml:space="preserve">Year 1 - CNC North submitted an incomplete claim form this utilization period. As required by 32 V.S.A. §5930b(C)(9) the claim is considered not to be filed timely and has not been reviewed for their incentive award. </t>
  </si>
  <si>
    <t>Addison</t>
  </si>
  <si>
    <t>Chittenden</t>
  </si>
  <si>
    <t>Franklin/GI</t>
  </si>
  <si>
    <t>Lamoille</t>
  </si>
  <si>
    <t>Orange</t>
  </si>
  <si>
    <t>Washington</t>
  </si>
  <si>
    <t>Windham</t>
  </si>
  <si>
    <t>New Qualifying Employees:</t>
  </si>
  <si>
    <t>New Qualifying Payroll:</t>
  </si>
  <si>
    <t>Projected Activity:</t>
  </si>
  <si>
    <t>Claim Activity:</t>
  </si>
  <si>
    <t>Claims Expected:</t>
  </si>
  <si>
    <t>Actual Activity:</t>
  </si>
  <si>
    <t>By Class</t>
  </si>
  <si>
    <t>By Class:</t>
  </si>
  <si>
    <t>TABLE 3: STATUS OF VEGI APPLICATIONS AS OF DECEMBER 31, 2008</t>
  </si>
  <si>
    <t>STATUS</t>
  </si>
  <si>
    <t>Dollars</t>
  </si>
  <si>
    <r>
      <t xml:space="preserve">Applications Considered </t>
    </r>
    <r>
      <rPr>
        <vertAlign val="superscript"/>
        <sz val="11"/>
        <color indexed="8"/>
        <rFont val="Palatino Linotype"/>
        <family val="1"/>
      </rPr>
      <t>2</t>
    </r>
  </si>
  <si>
    <t>Applications Approved and Active</t>
  </si>
  <si>
    <t>Applications Denied</t>
  </si>
  <si>
    <t xml:space="preserve">Applications Rescinded </t>
  </si>
  <si>
    <t>Active Applications Considered in 2007, with 2008 Start</t>
  </si>
  <si>
    <t>-</t>
  </si>
  <si>
    <t>Active Applications Considered in 2008, with 2009 Start</t>
  </si>
  <si>
    <t>Net Active Applications with potential 2007 Incentive Claims</t>
  </si>
  <si>
    <t>Applicants that met 2007 Targets in 2007</t>
  </si>
  <si>
    <r>
      <t>TABLE 4:  ACTUAL ACTIVITY - 2007</t>
    </r>
    <r>
      <rPr>
        <vertAlign val="superscript"/>
        <sz val="11"/>
        <rFont val="Franklin Gothic Demi"/>
        <family val="2"/>
      </rPr>
      <t>1</t>
    </r>
  </si>
  <si>
    <t>TABLE 3: STATUS OF VEGI APPLICATIONS AS OF DECEMBER 31, 2007</t>
  </si>
  <si>
    <t>NOTE: THIS DATA UPDATED TO MATCH DATA RECEIVED FROM DEPT OF TAXES ON JULY 1, 2009</t>
  </si>
  <si>
    <t xml:space="preserve">Excluding </t>
  </si>
  <si>
    <t xml:space="preserve">Incentives to be Earned by 2007 Activity </t>
  </si>
  <si>
    <t>Targets</t>
  </si>
  <si>
    <t xml:space="preserve">Installments to be Paid in 2008 for 2007 Activity </t>
  </si>
  <si>
    <t xml:space="preserve">Not </t>
  </si>
  <si>
    <t xml:space="preserve">Net Revenue Benefit to the State (in 2007) </t>
  </si>
  <si>
    <r>
      <t>Five Companies That Met December 31, 2007 Targets:</t>
    </r>
    <r>
      <rPr>
        <vertAlign val="superscript"/>
        <sz val="11"/>
        <rFont val="Franklin Gothic Demi"/>
        <family val="2"/>
      </rPr>
      <t>3</t>
    </r>
  </si>
  <si>
    <t>Met</t>
  </si>
  <si>
    <t>ALL</t>
  </si>
  <si>
    <t xml:space="preserve">New Qualifying Jobs  </t>
  </si>
  <si>
    <t xml:space="preserve">New Qualifying Payroll </t>
  </si>
  <si>
    <t xml:space="preserve">Average Annual Wage </t>
  </si>
  <si>
    <t>Wage</t>
  </si>
  <si>
    <t xml:space="preserve">Average Compensation (wages &amp; benefits) </t>
  </si>
  <si>
    <t>Comp</t>
  </si>
  <si>
    <t xml:space="preserve">New qualifying Capital Investments </t>
  </si>
  <si>
    <t>Job target</t>
  </si>
  <si>
    <t>Payroll target</t>
  </si>
  <si>
    <t>Capex Target</t>
  </si>
  <si>
    <t>Job CF</t>
  </si>
  <si>
    <t>Payroll  CF</t>
  </si>
  <si>
    <t>Capex CF</t>
  </si>
  <si>
    <t>Payroll Target Met?</t>
  </si>
  <si>
    <t>Y</t>
  </si>
  <si>
    <t>N</t>
  </si>
  <si>
    <t>Job Target Met?</t>
  </si>
  <si>
    <t>Capex target Met?</t>
  </si>
  <si>
    <t>2 of 3 met?</t>
  </si>
  <si>
    <t>Base Payroll maintained/inc?</t>
  </si>
  <si>
    <t>Net Payroll</t>
  </si>
  <si>
    <t>Incentive %</t>
  </si>
  <si>
    <t>Total Incentive earned</t>
  </si>
  <si>
    <t>Installments 2-5</t>
  </si>
  <si>
    <t>Installment 1 Estimated</t>
  </si>
  <si>
    <t>Installment 1 paid</t>
  </si>
  <si>
    <t>Total Year 1 Incentive to be paid</t>
  </si>
  <si>
    <t>If jobs maintained</t>
  </si>
  <si>
    <t>Reported Vt Res %</t>
  </si>
  <si>
    <t>Actual Vt Res % - Yr 1</t>
  </si>
  <si>
    <t>Reported Benefits ratio</t>
  </si>
  <si>
    <t>Actual Benefits Ratio- Yr 1</t>
  </si>
  <si>
    <t>Reported Health Ins</t>
  </si>
  <si>
    <t>Actual Health Inc - Yr 1</t>
  </si>
  <si>
    <t>CAPEX DETAIL</t>
  </si>
  <si>
    <t xml:space="preserve"> CAPEX Total</t>
  </si>
  <si>
    <t>Qualifying Capex (Counts toward target)</t>
  </si>
  <si>
    <t>M&amp;E - NEW</t>
  </si>
  <si>
    <t>M&amp;E - USED</t>
  </si>
  <si>
    <t>P&amp;F - NEW</t>
  </si>
  <si>
    <t>P&amp;F - RENOVATIONS</t>
  </si>
  <si>
    <t>Non-qualifying capex</t>
  </si>
  <si>
    <t>M&amp;E - ACQUIRED</t>
  </si>
  <si>
    <t>P&amp;F- ACQUIRED</t>
  </si>
  <si>
    <t>Land</t>
  </si>
  <si>
    <t>P&amp;F - Type %</t>
  </si>
  <si>
    <t>Industrial</t>
  </si>
  <si>
    <t>Comm/non-office</t>
  </si>
  <si>
    <t>Office</t>
  </si>
  <si>
    <t>Warehouse/ship-receive</t>
  </si>
  <si>
    <t>Other</t>
  </si>
  <si>
    <t>Est. Incentive Installments to be Paid:</t>
  </si>
  <si>
    <t>Less: Recapture Amount</t>
  </si>
  <si>
    <t>ECONOMIC ACTIVITY PROJECTED AND ACTUAL</t>
  </si>
  <si>
    <t>OMNI</t>
  </si>
  <si>
    <t>Yr 1 Install</t>
  </si>
  <si>
    <t>Yr1 target</t>
  </si>
  <si>
    <t>Yr 1 BGG</t>
  </si>
  <si>
    <t>Net</t>
  </si>
  <si>
    <t>Total earned</t>
  </si>
  <si>
    <t>Total Earned</t>
  </si>
  <si>
    <t>Yrs 2-5</t>
  </si>
  <si>
    <t>Class of 2007</t>
  </si>
  <si>
    <t>Yr 2 Target</t>
  </si>
  <si>
    <t>Yr 2 BGG</t>
  </si>
  <si>
    <t>Class of 2008</t>
  </si>
  <si>
    <t>New Qualified Capital Investment Projected:</t>
  </si>
  <si>
    <t>All new payroll projected as new to Vermont due to the incentive, including for companies recruited to Vermont, is subject to a background growth calculation. This calculation discounts a portion of the new payroll that will be generated because of the incentive according to a factor for each business sector, thereby reducing the level of new payroll that is used to calculate the amount of incentive the applicant can earn. This payroll is considered "background" or "organic" or payroll that would have been created anyway.  This number represents the amount of new payroll projected to be created in Vermont because of the incentive program, but for which no incentive will be earned or paid.</t>
  </si>
  <si>
    <t xml:space="preserve">This represents an estimate of the level of interaction by applicant companies with other Vermont companies as vendors, suppliers, and customers. </t>
  </si>
  <si>
    <t>YEAR:</t>
  </si>
  <si>
    <r>
      <t xml:space="preserve">CLASS OF 2007: </t>
    </r>
    <r>
      <rPr>
        <b/>
        <sz val="12"/>
        <rFont val="Arial"/>
        <family val="2"/>
      </rPr>
      <t>(Incentives earned between 2007 and 2011 and paid out between 2008 and 2016)</t>
    </r>
  </si>
  <si>
    <r>
      <t xml:space="preserve">CLASS OF 2008: </t>
    </r>
    <r>
      <rPr>
        <b/>
        <sz val="12"/>
        <rFont val="Arial"/>
        <family val="2"/>
      </rPr>
      <t>(Incentives earned between 2008 and 2012 and paid out between 2009 and 2017)</t>
    </r>
  </si>
  <si>
    <t>Net Included in Projected and Actual Data:</t>
  </si>
  <si>
    <t xml:space="preserve">INCENTIVE EARNING SCHEDULE ESTIMATE </t>
  </si>
  <si>
    <t>Estimated Incentives to be Earned Based on Application Data (Nom. $):</t>
  </si>
  <si>
    <r>
      <t xml:space="preserve">COST-BENEFIT ESTIMATE </t>
    </r>
    <r>
      <rPr>
        <b/>
        <sz val="11"/>
        <rFont val="Arial"/>
        <family val="2"/>
      </rPr>
      <t>(Present Value $)</t>
    </r>
  </si>
  <si>
    <t>Estimated Incentives to be Paid Based on Application Data (Nominal $):</t>
  </si>
  <si>
    <t>Maximum Incentives Possible to be Paid Out (Nominal $):</t>
  </si>
  <si>
    <t>Net Revenue Benefit:</t>
  </si>
  <si>
    <t>New Qualifying Capital Investments:</t>
  </si>
  <si>
    <t>County</t>
  </si>
  <si>
    <t>Franklin</t>
  </si>
  <si>
    <t>DISTRIBUTION, BY COUNTY</t>
  </si>
  <si>
    <t>Range (000's)</t>
  </si>
  <si>
    <t xml:space="preserve">Addison </t>
  </si>
  <si>
    <t xml:space="preserve">Bennington </t>
  </si>
  <si>
    <t>Indirect jobs are estimated by the VEGI cost-benefit model according to a multiplier factor for the particular region and sector of the project. These are the jobs created at other businesses in Vermont because of the project receiving the incentive.</t>
  </si>
  <si>
    <t xml:space="preserve"> New England Supply, Inc.</t>
  </si>
  <si>
    <t xml:space="preserve"> Westminster Cracker Company, Inc. </t>
  </si>
  <si>
    <t xml:space="preserve"> Organic Trade Association</t>
  </si>
  <si>
    <t xml:space="preserve"> Dealer.com, Inc.</t>
  </si>
  <si>
    <t xml:space="preserve"> Pinnacle Sales Accelerators, LLC</t>
  </si>
  <si>
    <t>TABLE 3: ESTIMATED AND ACTUAL INCENTIVE IMPACT, BY YEAR, FOR AUTHORIZATIONS THROUGH DECEMBER 31, 2010</t>
  </si>
  <si>
    <t>Maximum Incentives Possible to Earn (Nominal $):</t>
  </si>
  <si>
    <t>Actual Net New Revenues to State (Nom: 2007 and 2008 Activity only):</t>
  </si>
  <si>
    <t>Estimated New Qualifying Capital Investments</t>
  </si>
  <si>
    <r>
      <t xml:space="preserve">CLASS OF 2009: </t>
    </r>
    <r>
      <rPr>
        <b/>
        <sz val="12"/>
        <rFont val="Arial"/>
        <family val="2"/>
      </rPr>
      <t>(Incentives earned between 2009 and 2013 and paid out between 2010 and 2018)</t>
    </r>
  </si>
  <si>
    <t xml:space="preserve"> Northern Power Systems, Inc.</t>
  </si>
  <si>
    <t xml:space="preserve"> SBE, Inc.</t>
  </si>
  <si>
    <t xml:space="preserve"> Seldon Technologies, Inc. </t>
  </si>
  <si>
    <t xml:space="preserve"> Swan Valley Cheese Company of Vermont </t>
  </si>
  <si>
    <t>Incentive Enhancements:</t>
  </si>
  <si>
    <t>Increase in Incentives Due to Enhancements:</t>
  </si>
  <si>
    <t>Green VEGI</t>
  </si>
  <si>
    <t>Decrease in Net Revenue Return Due to Enhancements:</t>
  </si>
  <si>
    <r>
      <t xml:space="preserve">CLASS OF 2010: </t>
    </r>
    <r>
      <rPr>
        <b/>
        <sz val="12"/>
        <rFont val="Arial"/>
        <family val="2"/>
      </rPr>
      <t>(Incentives earned between 2010 and 2014 and paid out between 2011 and 2019)</t>
    </r>
  </si>
  <si>
    <t>Completed Claims Filed:</t>
  </si>
  <si>
    <t>Incomplete Claims:</t>
  </si>
  <si>
    <t>Claims Approved:</t>
  </si>
  <si>
    <t>Claims Delayed:</t>
  </si>
  <si>
    <t>Incentives Paid to Companies:</t>
  </si>
  <si>
    <t>*</t>
  </si>
  <si>
    <t>Removed from Program:</t>
  </si>
  <si>
    <t>3*</t>
  </si>
  <si>
    <t>2*</t>
  </si>
  <si>
    <t>2</t>
  </si>
  <si>
    <t>13</t>
  </si>
  <si>
    <t>Benchmark</t>
  </si>
  <si>
    <t>(All outcome measures are set by aggregated data of all active authorized VEGI applications)</t>
  </si>
  <si>
    <t>For Incentive Level of:</t>
  </si>
  <si>
    <t>New Qualifying Employees (NQE):</t>
  </si>
  <si>
    <t>Net New Revenues to State</t>
  </si>
  <si>
    <t>OUTPUT:</t>
  </si>
  <si>
    <t>OUTCOME:</t>
  </si>
  <si>
    <t>Net Revenue Generated Per NQE</t>
  </si>
  <si>
    <t>Number of Applications Considered</t>
  </si>
  <si>
    <t>EFFICIENCY:</t>
  </si>
  <si>
    <t xml:space="preserve">Budgetary Cost Per NQE </t>
  </si>
  <si>
    <t>Ben Ratio</t>
  </si>
  <si>
    <t>residents</t>
  </si>
  <si>
    <t>HC</t>
  </si>
  <si>
    <t xml:space="preserve">  in order to protect the confidentiality of taxpayer information.</t>
  </si>
  <si>
    <t>New Qualifying Capital Investments</t>
  </si>
  <si>
    <r>
      <t xml:space="preserve">CLASS OF 2011: </t>
    </r>
    <r>
      <rPr>
        <b/>
        <sz val="12"/>
        <rFont val="Arial"/>
        <family val="2"/>
      </rPr>
      <t>(Incentives earned between 2011 and 2015 and paid out between 2012 and 2020)</t>
    </r>
  </si>
  <si>
    <t xml:space="preserve">  * Note: Per statute and Tax Department policy, detailed</t>
  </si>
  <si>
    <t xml:space="preserve">  data is not included when there are three or less companies </t>
  </si>
  <si>
    <t xml:space="preserve"> data is not included when there are three or less companies </t>
  </si>
  <si>
    <t>Administrative/Office</t>
  </si>
  <si>
    <t>Accounting/Bookeeping/Finance/Tax/Legal/HR</t>
  </si>
  <si>
    <t>Executives</t>
  </si>
  <si>
    <t>IT/Technology</t>
  </si>
  <si>
    <t>Managers/Supervisors</t>
  </si>
  <si>
    <t>Marketing/Sales</t>
  </si>
  <si>
    <t>Miscellaneous</t>
  </si>
  <si>
    <t>Purchasing/Inventory/Shipping/Maint</t>
  </si>
  <si>
    <t>R&amp;D/Scientific/Technical</t>
  </si>
  <si>
    <t xml:space="preserve">Census Data </t>
  </si>
  <si>
    <t>3</t>
  </si>
  <si>
    <t>4</t>
  </si>
  <si>
    <t>5</t>
  </si>
  <si>
    <r>
      <t>Direct Estimated Fiscal Impact</t>
    </r>
    <r>
      <rPr>
        <b/>
        <vertAlign val="superscript"/>
        <sz val="12"/>
        <rFont val="Arial"/>
        <family val="2"/>
      </rPr>
      <t>14</t>
    </r>
  </si>
  <si>
    <t>8</t>
  </si>
  <si>
    <t>9</t>
  </si>
  <si>
    <t>10</t>
  </si>
  <si>
    <t>11</t>
  </si>
  <si>
    <t>12</t>
  </si>
  <si>
    <t>14</t>
  </si>
  <si>
    <t>Net Claims Included in Projected and Actual Data:</t>
  </si>
  <si>
    <t>The VEGI program cannot provide incentives for job retention. However, if a Vermont company receives incentives to expand in Vermont, an additional benefit to the State is the retention of current employment.</t>
  </si>
  <si>
    <t xml:space="preserve"> Alpla, Inc.</t>
  </si>
  <si>
    <t xml:space="preserve"> Bariatrix Nutrition Corp</t>
  </si>
  <si>
    <t xml:space="preserve"> WCW, Inc.</t>
  </si>
  <si>
    <t xml:space="preserve"> VSC Holdings, Inc.</t>
  </si>
  <si>
    <t xml:space="preserve"> Concepts ETI, Inc</t>
  </si>
  <si>
    <t xml:space="preserve"> SOH Wind Engineering, LLC</t>
  </si>
  <si>
    <t xml:space="preserve"> Ellison Surface Technologies, Inc.</t>
  </si>
  <si>
    <t xml:space="preserve"> Mylan Technologies, Inc</t>
  </si>
  <si>
    <t xml:space="preserve"> Commonwealth Dairy, LLC II</t>
  </si>
  <si>
    <t xml:space="preserve"> Revision Ballistics</t>
  </si>
  <si>
    <t xml:space="preserve"> Seventh Generation</t>
  </si>
  <si>
    <t xml:space="preserve"> Performa Limited, LLC</t>
  </si>
  <si>
    <t>Average thru 2011</t>
  </si>
  <si>
    <t>CHART 1</t>
  </si>
  <si>
    <t>CHART 2</t>
  </si>
  <si>
    <t>CHART 3</t>
  </si>
  <si>
    <t>CHART 9</t>
  </si>
  <si>
    <t>CHART 10</t>
  </si>
  <si>
    <t>CHART 11</t>
  </si>
  <si>
    <t>Terminated Jan 24, 2008</t>
  </si>
  <si>
    <t>Terminated Sept 6, 2007</t>
  </si>
  <si>
    <t>Term.-Recap. Sept 28, 2009</t>
  </si>
  <si>
    <t>Terminated Oct 25, 2007</t>
  </si>
  <si>
    <t>Terminated Mar 25, 2010</t>
  </si>
  <si>
    <t>Terminated Jan 16, 2013</t>
  </si>
  <si>
    <t>Recruitment/Exp.</t>
  </si>
  <si>
    <t>Terminated Jun 26, 2008</t>
  </si>
  <si>
    <t>Terminated May 28, 2009</t>
  </si>
  <si>
    <t>Terminated Dec 8, 2011</t>
  </si>
  <si>
    <t>Active-Final</t>
  </si>
  <si>
    <t xml:space="preserve"> Mascoma Corporation</t>
  </si>
  <si>
    <t>Green</t>
  </si>
  <si>
    <t xml:space="preserve"> Vermont Castings Holding Company</t>
  </si>
  <si>
    <t>Terminated April 28, 2011</t>
  </si>
  <si>
    <t>Recruitment/Relocation</t>
  </si>
  <si>
    <t xml:space="preserve"> Vermont Wood Energy Corp</t>
  </si>
  <si>
    <t>Terminated December 5, 2013</t>
  </si>
  <si>
    <t>Recruitment/Start-up</t>
  </si>
  <si>
    <t xml:space="preserve"> Vermont Transformers, Inc.</t>
  </si>
  <si>
    <t>Terminated May 25, 2011</t>
  </si>
  <si>
    <t>Terminated May 24, 2012</t>
  </si>
  <si>
    <t>Terminated June 27, 2013</t>
  </si>
  <si>
    <t xml:space="preserve"> Business Financial Publishing, Inc.</t>
  </si>
  <si>
    <t xml:space="preserve"> The Original Vermont Wood Products, Inc. </t>
  </si>
  <si>
    <t>2011-2015</t>
  </si>
  <si>
    <t xml:space="preserve"> eCorporate English, Ltd.</t>
  </si>
  <si>
    <t>Terminated Sept 27, 2012</t>
  </si>
  <si>
    <t xml:space="preserve"> Carbon Harvest Energy, LLC/Brattleboro Carbon Harvest, LLC</t>
  </si>
  <si>
    <t>Terminated Dec 13, 2012</t>
  </si>
  <si>
    <t xml:space="preserve"> Skypoint Solar </t>
  </si>
  <si>
    <t>Rescinded Dec 8, 2011</t>
  </si>
  <si>
    <t xml:space="preserve"> Transcend Quality Manufacturing, Inc.</t>
  </si>
  <si>
    <t>Rescinded Dec 6, 2012</t>
  </si>
  <si>
    <t xml:space="preserve"> Plasan Carbon Composites, Inc.</t>
  </si>
  <si>
    <t>Rescinded Aug 30, 2012</t>
  </si>
  <si>
    <t xml:space="preserve"> Vermont Hard Cider Company, LLC</t>
  </si>
  <si>
    <t>2012-2016</t>
  </si>
  <si>
    <t xml:space="preserve"> Dynapower</t>
  </si>
  <si>
    <t xml:space="preserve"> AFCell Medical</t>
  </si>
  <si>
    <t xml:space="preserve"> Freedom Foods</t>
  </si>
  <si>
    <t>2013-2017</t>
  </si>
  <si>
    <t xml:space="preserve"> Logic Supply, Inc.</t>
  </si>
  <si>
    <t xml:space="preserve"> Farmer Mold &amp; Machine</t>
  </si>
  <si>
    <t>2014-2018</t>
  </si>
  <si>
    <t>Active-Initial</t>
  </si>
  <si>
    <t xml:space="preserve"> Cambridge Valley Machining, Inc.</t>
  </si>
  <si>
    <t>Pittsfield</t>
  </si>
  <si>
    <t>Start-upU/Plant Restart</t>
  </si>
  <si>
    <t>Swanton</t>
  </si>
  <si>
    <t>Plant Restart/Start-up</t>
  </si>
  <si>
    <t>Georgia</t>
  </si>
  <si>
    <t>Hinesburg</t>
  </si>
  <si>
    <t>Burl/Brattleboro</t>
  </si>
  <si>
    <t>Green/LBW</t>
  </si>
  <si>
    <t>Wilder</t>
  </si>
  <si>
    <t>Newport</t>
  </si>
  <si>
    <t>Educ Tax Stabil</t>
  </si>
  <si>
    <t>South Burlington</t>
  </si>
  <si>
    <t>No. Clarendon</t>
  </si>
  <si>
    <t>Recruitment/Expansion</t>
  </si>
  <si>
    <t>6</t>
  </si>
  <si>
    <t>7</t>
  </si>
  <si>
    <t>15</t>
  </si>
  <si>
    <t>Breakdown by Green VEGI, Subsection 5 and Lookback Waived categories may not equal Total Applications Considered because applications may fit into more than one category.</t>
  </si>
  <si>
    <t>TABLE 6:  PROJECTED AND ACTUAL ACTIVITY - BY CLASS</t>
  </si>
  <si>
    <t>Cap Balance</t>
  </si>
  <si>
    <t xml:space="preserve"> However, data is rolled into the Table 5 Summary.</t>
  </si>
  <si>
    <r>
      <t xml:space="preserve">CLASS OF 2012: </t>
    </r>
    <r>
      <rPr>
        <b/>
        <sz val="12"/>
        <rFont val="Arial"/>
        <family val="2"/>
      </rPr>
      <t>(Incentives earned between 2012 and 2016 and paid out between 2013 and 2021)</t>
    </r>
  </si>
  <si>
    <t>1*</t>
  </si>
  <si>
    <t>Annual Breakdown:</t>
  </si>
  <si>
    <t>Total:</t>
  </si>
  <si>
    <t>REASONS FOR TERMINATION/RESCISSION:</t>
  </si>
  <si>
    <t>Reason</t>
  </si>
  <si>
    <t>No Final Application submitted. Initial application rescinded. No incentives authorized.</t>
  </si>
  <si>
    <t>Project commenced, but for a certain year, Performance Requirements were never met. Incentives terminated.</t>
  </si>
  <si>
    <t>Project commenced, but company closed or reduced employment below 90%. Incentives terminated.</t>
  </si>
  <si>
    <t>Project commenced, but in a subsequent year company failed to file a VEGI claim. Incentives terminated.</t>
  </si>
  <si>
    <t>Detail of Rescissions:</t>
  </si>
  <si>
    <t>Project occurred in another state</t>
  </si>
  <si>
    <t>Project did not occur at all</t>
  </si>
  <si>
    <t>Project could not find capital</t>
  </si>
  <si>
    <t>No Final Application, but project started in Vermont anyway</t>
  </si>
  <si>
    <t>Detail of Terminations:</t>
  </si>
  <si>
    <t>Did not meet Performance Requirements by end of grace period</t>
  </si>
  <si>
    <t>No Incentives earned</t>
  </si>
  <si>
    <t>Failed to file claim</t>
  </si>
  <si>
    <t>Earned Incentives</t>
  </si>
  <si>
    <t>NEK = Orleans, Essex &amp; Caledonia</t>
  </si>
  <si>
    <t>Total Incentives Rescinded/Terminated to Date:</t>
  </si>
  <si>
    <t>Addison: 0</t>
  </si>
  <si>
    <t>Lamoille: 0</t>
  </si>
  <si>
    <t>APPLICATION STATUS:</t>
  </si>
  <si>
    <t>Maximum Incentive Considered</t>
  </si>
  <si>
    <t xml:space="preserve">Fiscal benefits and costs are estimated by an economic model. Majority of costs and benefits occur during the first five years of each project. The costs include not only the cost of the incentive, but also other revenue costs to the state such as new students in school and other services incurred by adding new people and buildings. Cost to pay incentive, if earned, continues for four years after the incentives are earned. Therefore, State of Vermont receives the benefit of each project before all incentive costs are incurred.  The revenue benefits of the new jobs and payroll continue to accrue to the state after the five year earning period, but that benefit is not accounted for in the modeling. Therefore, the net revenue benefit is conservative.    </t>
  </si>
  <si>
    <t>Terminated/</t>
  </si>
  <si>
    <t>Terminated Dec 17, 2014</t>
  </si>
  <si>
    <t>Terminated July 24, 2014</t>
  </si>
  <si>
    <t>FOR APPLICATIONS CONSIDERED THROUGH DECEMBER 31, 2014</t>
  </si>
  <si>
    <t>Terminated Jan 22, 2014</t>
  </si>
  <si>
    <t>Terminated Jul 24, 2014</t>
  </si>
  <si>
    <t>Rescinded Dec 5, 2013</t>
  </si>
  <si>
    <t xml:space="preserve"> JBM Sherman Carmel</t>
  </si>
  <si>
    <t xml:space="preserve"> Vermont Packinghouse</t>
  </si>
  <si>
    <t>Rescinded Dec 17, 2014</t>
  </si>
  <si>
    <t>Recruitement/Start-up</t>
  </si>
  <si>
    <t xml:space="preserve"> G.S. Blodget Corp.</t>
  </si>
  <si>
    <t xml:space="preserve"> Keurig Green Mountain</t>
  </si>
  <si>
    <t xml:space="preserve"> Twincraft, Inc</t>
  </si>
  <si>
    <t>LBW</t>
  </si>
  <si>
    <t>2015-2019</t>
  </si>
  <si>
    <t>Northfield</t>
  </si>
  <si>
    <t xml:space="preserve"> Flex-A-Seal, Inc</t>
  </si>
  <si>
    <t>Essex Jct</t>
  </si>
  <si>
    <t xml:space="preserve"> National Hanger Company, Inc</t>
  </si>
  <si>
    <t>N. Bennington</t>
  </si>
  <si>
    <t>Statewide</t>
  </si>
  <si>
    <r>
      <t xml:space="preserve">CLASS OF 2013: </t>
    </r>
    <r>
      <rPr>
        <b/>
        <sz val="12"/>
        <rFont val="Arial"/>
        <family val="2"/>
      </rPr>
      <t>(Incentives earned between 2013 and 2017 and paid out between 2014 and 2022)</t>
    </r>
  </si>
  <si>
    <t>% of Incent By #</t>
  </si>
  <si>
    <t>Dollar Value</t>
  </si>
  <si>
    <t>% of Incet by $</t>
  </si>
  <si>
    <t>76-100:  2</t>
  </si>
  <si>
    <t>151-200:  3</t>
  </si>
  <si>
    <t>500+:  5</t>
  </si>
  <si>
    <t>26-49%:  0</t>
  </si>
  <si>
    <t>Plant Re-Start:  2</t>
  </si>
  <si>
    <t>Recruitment:  6</t>
  </si>
  <si>
    <t>Start Up:  3</t>
  </si>
  <si>
    <r>
      <t>Rescinded/
Terminated</t>
    </r>
    <r>
      <rPr>
        <b/>
        <vertAlign val="superscript"/>
        <sz val="12"/>
        <rFont val="Arial"/>
        <family val="2"/>
      </rPr>
      <t>5</t>
    </r>
  </si>
  <si>
    <r>
      <t>Total Applications Considered:</t>
    </r>
    <r>
      <rPr>
        <b/>
        <vertAlign val="superscript"/>
        <sz val="12"/>
        <rFont val="Arial"/>
        <family val="2"/>
      </rPr>
      <t>6</t>
    </r>
  </si>
  <si>
    <r>
      <t xml:space="preserve"> Retained Full-time Jobs:</t>
    </r>
    <r>
      <rPr>
        <vertAlign val="superscript"/>
        <sz val="11"/>
        <rFont val="Arial"/>
        <family val="2"/>
      </rPr>
      <t>8</t>
    </r>
  </si>
  <si>
    <r>
      <t xml:space="preserve"> Full-time Non-Qualifying Job Creation:</t>
    </r>
    <r>
      <rPr>
        <vertAlign val="superscript"/>
        <sz val="11"/>
        <rFont val="Arial"/>
        <family val="2"/>
      </rPr>
      <t>9</t>
    </r>
  </si>
  <si>
    <r>
      <t xml:space="preserve"> Indirect Job Creation:</t>
    </r>
    <r>
      <rPr>
        <vertAlign val="superscript"/>
        <sz val="11"/>
        <rFont val="Arial"/>
        <family val="2"/>
      </rPr>
      <t>10</t>
    </r>
  </si>
  <si>
    <r>
      <t xml:space="preserve"> New Payroll Considered Background Growth: </t>
    </r>
    <r>
      <rPr>
        <vertAlign val="superscript"/>
        <sz val="11"/>
        <rFont val="Arial"/>
        <family val="2"/>
      </rPr>
      <t>11</t>
    </r>
  </si>
  <si>
    <r>
      <t xml:space="preserve"> Average Health Care Premium Paid by Employer:</t>
    </r>
    <r>
      <rPr>
        <vertAlign val="superscript"/>
        <sz val="11"/>
        <rFont val="Arial"/>
        <family val="2"/>
      </rPr>
      <t>12</t>
    </r>
  </si>
  <si>
    <r>
      <t xml:space="preserve"> Approximate Value of VT Biz-to-Biz Interactions:</t>
    </r>
    <r>
      <rPr>
        <vertAlign val="superscript"/>
        <sz val="11"/>
        <rFont val="Arial"/>
        <family val="2"/>
      </rPr>
      <t>13</t>
    </r>
  </si>
  <si>
    <t>The date indicated is the date the Final Application was considered OR THE Initial Application if a Final Application has not yet been filed. An Initial Application may have been considered at an earlier date.</t>
  </si>
  <si>
    <t>Includes Initial and Final Applications.</t>
  </si>
  <si>
    <t>VEGI incentives can only be authorized for new jobs that exceed a statutory wage threshold (160% or 140% of Vermont Minimum Wage, depending on the location).  This number represents the new full-time jobs projected which will pay a wage at or under the VEGI wage threshold. The jobs occur because of the incentive, but cannot be counted toward the incentive calculation.</t>
  </si>
  <si>
    <t>See Chart 3 for more detail on the level of health care premium paid by employers.  This number represents the average percentage of the employee health care premium paid by the applicant companies.</t>
  </si>
  <si>
    <t>TABLE 4:  APPLICATION STATUS DETAIL</t>
  </si>
  <si>
    <t>Closure of Business</t>
  </si>
  <si>
    <t>Recapture of Incentives Required</t>
  </si>
  <si>
    <t>Subtotal</t>
  </si>
  <si>
    <t xml:space="preserve">TABLE 2:  SUMMARY OF INCENTIVE AUTHORIZATION DATA </t>
  </si>
  <si>
    <t>TABLE 6:  PROJECTED AND ACTUAL ACTIVITY - SUMMARY</t>
  </si>
  <si>
    <t>TABLE 5:  PROJECTED WAGES AND BENEFITS</t>
  </si>
  <si>
    <t xml:space="preserve">  Number of Jobs</t>
  </si>
  <si>
    <t xml:space="preserve">  Percentage of Total Jobs</t>
  </si>
  <si>
    <t>Medical Premium</t>
  </si>
  <si>
    <t>Life Insurance</t>
  </si>
  <si>
    <t>Short-Term/Long-Term Disability Ins.</t>
  </si>
  <si>
    <t>Accidental Death/Dismemberment Ins.</t>
  </si>
  <si>
    <t>Retirement Contribution</t>
  </si>
  <si>
    <t>Paid Leave</t>
  </si>
  <si>
    <t>Dental Premium</t>
  </si>
  <si>
    <t>Vision Premium</t>
  </si>
  <si>
    <t>Number 
Offering Benefit</t>
  </si>
  <si>
    <t>Percentage 
Offering Benefit</t>
  </si>
  <si>
    <t>Average Percentage of Benefit Paid by Employers</t>
  </si>
  <si>
    <t>Wage Levels: (In $000's)</t>
  </si>
  <si>
    <t>Benefits Paid by Employers:</t>
  </si>
  <si>
    <t>Actual Net New Revenues to the State Because of Incentives (To Date)</t>
  </si>
  <si>
    <t>Actual Incentives Paid Out  (To date)</t>
  </si>
  <si>
    <t>VEGI PROGRAM</t>
  </si>
  <si>
    <t>PROJECTED</t>
  </si>
  <si>
    <t>ACTUAL</t>
  </si>
  <si>
    <t>MORE JOBS</t>
  </si>
  <si>
    <t>MORE PAYROLL</t>
  </si>
  <si>
    <t>`</t>
  </si>
  <si>
    <t xml:space="preserve">   MORE CAPEX</t>
  </si>
  <si>
    <t>MORE REVENUE</t>
  </si>
  <si>
    <t>EMPLOYMENT MULTIPLIER = 2.2 JOBS</t>
  </si>
  <si>
    <t>FOR EVERY JOB A VEGI COMPANY CREATES 2.2 JOBS ARE CREATED IN THE VERMONT ECONOMY</t>
  </si>
  <si>
    <t xml:space="preserve"> AGrown (AEG Holdings, LLC)</t>
  </si>
  <si>
    <t>TOTAL FINAL APPLICATIONS CONSIDERED:</t>
  </si>
  <si>
    <t>AVERAGE FINAL APPLICATIONS PER YEAR:</t>
  </si>
  <si>
    <r>
      <t>Approved - Complete and
Active</t>
    </r>
    <r>
      <rPr>
        <b/>
        <vertAlign val="superscript"/>
        <sz val="12"/>
        <rFont val="Arial"/>
        <family val="2"/>
      </rPr>
      <t>4</t>
    </r>
  </si>
  <si>
    <t>Earned Partial Incentives</t>
  </si>
  <si>
    <t>NOTE: BENEFITS AS REPORTED BY APPLICANT.  IN SOME CASES, A BENEFIT MAY BE OFFERED BUT APPLICANT DID NOT REPORT IT.</t>
  </si>
  <si>
    <t>Authorization Period</t>
  </si>
  <si>
    <t>Incentive Earned Y/N</t>
  </si>
  <si>
    <t>Type of Project</t>
  </si>
  <si>
    <t>2007-2011</t>
  </si>
  <si>
    <t>Complete</t>
  </si>
  <si>
    <t>Terminated December 17, 2014</t>
  </si>
  <si>
    <t>Terminated Oct 22, 2015</t>
  </si>
  <si>
    <t xml:space="preserve"> Commonwealth Dairy, LLC </t>
  </si>
  <si>
    <t xml:space="preserve"> BioTek Instruments, Inc./Lionheart Technologies, Inc. </t>
  </si>
  <si>
    <t xml:space="preserve"> Dealer.com II</t>
  </si>
  <si>
    <t>Terminated Jun 23, 2015</t>
  </si>
  <si>
    <t xml:space="preserve"> Cabot Hosiery Mills, Inc</t>
  </si>
  <si>
    <t xml:space="preserve"> Precyse Solutions, LLC</t>
  </si>
  <si>
    <t xml:space="preserve"> Revision Military, LTD </t>
  </si>
  <si>
    <t xml:space="preserve"> Vermed</t>
  </si>
  <si>
    <t>Bellows Falls</t>
  </si>
  <si>
    <t xml:space="preserve"> Maponics, LLC</t>
  </si>
  <si>
    <t>White River Jct</t>
  </si>
  <si>
    <t xml:space="preserve"> Revision Ballistics, LTD </t>
  </si>
  <si>
    <t xml:space="preserve"> GW Plastics, Inc.</t>
  </si>
  <si>
    <t xml:space="preserve"> Triad Design Services, Inc.</t>
  </si>
  <si>
    <t>2016-2020</t>
  </si>
  <si>
    <t xml:space="preserve"> GS Precision, Inc.</t>
  </si>
  <si>
    <t>St. Johnsbury</t>
  </si>
  <si>
    <t xml:space="preserve"> Britton Lumber Company, Inc.</t>
  </si>
  <si>
    <t>Fairlee</t>
  </si>
  <si>
    <t xml:space="preserve"> Kingdom Pellets, LLC</t>
  </si>
  <si>
    <t>Lunenburg</t>
  </si>
  <si>
    <t>Minimum Net Revenue Benefit</t>
  </si>
  <si>
    <r>
      <t>Date Considered</t>
    </r>
    <r>
      <rPr>
        <b/>
        <vertAlign val="superscript"/>
        <sz val="9"/>
        <rFont val="Arial"/>
        <family val="2"/>
      </rPr>
      <t>1</t>
    </r>
  </si>
  <si>
    <r>
      <t>Term. Reason</t>
    </r>
    <r>
      <rPr>
        <b/>
        <vertAlign val="superscript"/>
        <sz val="9"/>
        <rFont val="Arial"/>
        <family val="2"/>
      </rPr>
      <t>2</t>
    </r>
  </si>
  <si>
    <r>
      <t>Enhancement</t>
    </r>
    <r>
      <rPr>
        <b/>
        <vertAlign val="superscript"/>
        <sz val="9"/>
        <rFont val="Arial"/>
        <family val="2"/>
      </rPr>
      <t>3</t>
    </r>
  </si>
  <si>
    <t>Five Year Sub Total:</t>
  </si>
  <si>
    <r>
      <t>Annual Incentives/Caps:</t>
    </r>
    <r>
      <rPr>
        <b/>
        <vertAlign val="superscript"/>
        <sz val="11"/>
        <rFont val="Arial"/>
        <family val="2"/>
      </rPr>
      <t>15</t>
    </r>
  </si>
  <si>
    <t>2007 Cap</t>
  </si>
  <si>
    <t>Approvals</t>
  </si>
  <si>
    <t>Net Cap Balance</t>
  </si>
  <si>
    <t>2008 Cap</t>
  </si>
  <si>
    <t>2009 Cap</t>
  </si>
  <si>
    <t>2010 Cap</t>
  </si>
  <si>
    <t>2011 Cap</t>
  </si>
  <si>
    <t>2012 Cap</t>
  </si>
  <si>
    <t>2013 Cap</t>
  </si>
  <si>
    <t>2014 Cap</t>
  </si>
  <si>
    <t>2016 Cap</t>
  </si>
  <si>
    <r>
      <t>Annual LMA Enhancement Cap:</t>
    </r>
    <r>
      <rPr>
        <b/>
        <vertAlign val="superscript"/>
        <sz val="11"/>
        <rFont val="Arial"/>
        <family val="2"/>
      </rPr>
      <t>16</t>
    </r>
  </si>
  <si>
    <t>16</t>
  </si>
  <si>
    <r>
      <t>Actual</t>
    </r>
    <r>
      <rPr>
        <b/>
        <vertAlign val="superscript"/>
        <sz val="14"/>
        <rFont val="Arial"/>
        <family val="2"/>
      </rPr>
      <t>17</t>
    </r>
  </si>
  <si>
    <t>Five Year Subtotal:</t>
  </si>
  <si>
    <t>Incomplete Claims/Did not file/Closed:</t>
  </si>
  <si>
    <t>Completed Program:</t>
  </si>
  <si>
    <t>0-20:  12</t>
  </si>
  <si>
    <t>No Facility Expansion:   7</t>
  </si>
  <si>
    <t>NEK = Caledonia &amp; Essex/Orleans</t>
  </si>
  <si>
    <t>Bennington: 2</t>
  </si>
  <si>
    <t>Chart 6: Data pulled from VEGI Authorization Summary</t>
  </si>
  <si>
    <t>Chart 7: Data pulled from VEGI Authorization Summary</t>
  </si>
  <si>
    <t>Chart 8: Data pulled from VEGI Authorization Summary</t>
  </si>
  <si>
    <t>Chart 9: Data pulled from VEGI Authorization summary</t>
  </si>
  <si>
    <t>Chart 10: Data pulled VEGI Authorization Summary</t>
  </si>
  <si>
    <t>Chart 11:  Data pulled VEGI Authorization Summary</t>
  </si>
  <si>
    <t>CHART 12</t>
  </si>
  <si>
    <t>CHART 13</t>
  </si>
  <si>
    <t>TABLE 1:  VERMONT EMPLOYMENT GROWTH INCENTIVE</t>
  </si>
  <si>
    <t>TABLE 1: VERMONT EMPLOYMENT GROWTH INCENTIVE</t>
  </si>
  <si>
    <t>TABLE 3:  ANNUAL AUTHORIZATION AND LMA ENHANCEMENT CAPS</t>
  </si>
  <si>
    <r>
      <rPr>
        <b/>
        <sz val="12"/>
        <rFont val="Helvetica"/>
      </rPr>
      <t>Rescinded:</t>
    </r>
    <r>
      <rPr>
        <sz val="12"/>
        <rFont val="Helvetica"/>
      </rPr>
      <t xml:space="preserve">  Initial Application approval was rescinded; no Final Application filed.  No incentives ever authorized, earned or paid. </t>
    </r>
    <r>
      <rPr>
        <b/>
        <sz val="12"/>
        <rFont val="Helvetica"/>
      </rPr>
      <t>Terminated:</t>
    </r>
    <r>
      <rPr>
        <sz val="12"/>
        <rFont val="Helvetica"/>
      </rPr>
      <t xml:space="preserve">  Authority to earn authorized incentives has been revoked.  Incentives may have been earned.</t>
    </r>
  </si>
  <si>
    <t>ENDNOTES</t>
  </si>
  <si>
    <t>Chart 6: NEW QUALIFYING JOBS</t>
  </si>
  <si>
    <t>Chart 7: NEW QUALIFYING PAYROLL</t>
  </si>
  <si>
    <t>Chart 8: NEW QUALIFYING CAPITAL INVESTMENTS</t>
  </si>
  <si>
    <t>Chart 9: INCENTIVE PAYMENTS</t>
  </si>
  <si>
    <t>Chart 10: NET REVENUE TO THE STATE</t>
  </si>
  <si>
    <t>Contact to Application Percentage</t>
  </si>
  <si>
    <t>Contact to Project Percentage</t>
  </si>
  <si>
    <t>Program cap is $10,000,000 for each calendar year, unless increased by a vote of the Emergency Board. Cap balances do not carry forward to the next year.  Emergency Board voted to increase the program Cap in 2010, 2011, 2012 and 2015.</t>
  </si>
  <si>
    <r>
      <rPr>
        <b/>
        <sz val="12"/>
        <rFont val="Helvetica"/>
      </rPr>
      <t>1</t>
    </r>
    <r>
      <rPr>
        <sz val="12"/>
        <rFont val="Helvetica"/>
      </rPr>
      <t xml:space="preserve">=No final application was submitted, the initial application was rescinded and no incentives were authorized.  </t>
    </r>
    <r>
      <rPr>
        <b/>
        <sz val="12"/>
        <rFont val="Helvetica"/>
      </rPr>
      <t>2</t>
    </r>
    <r>
      <rPr>
        <sz val="12"/>
        <rFont val="Helvetica"/>
      </rPr>
      <t xml:space="preserve">=Project commenced, but for a certain year, performance requirements were never met and incentives were terminated for that and future years. Some incentives may have been earned and paid out.  </t>
    </r>
    <r>
      <rPr>
        <b/>
        <sz val="12"/>
        <rFont val="Helvetica"/>
      </rPr>
      <t>3</t>
    </r>
    <r>
      <rPr>
        <sz val="12"/>
        <rFont val="Helvetica"/>
      </rPr>
      <t xml:space="preserve">=Project commenced, but company closed or reduced employment below 90% and incentives were terminated.  </t>
    </r>
    <r>
      <rPr>
        <b/>
        <sz val="12"/>
        <rFont val="Helvetica"/>
      </rPr>
      <t>4</t>
    </r>
    <r>
      <rPr>
        <sz val="12"/>
        <rFont val="Helvetica"/>
      </rPr>
      <t xml:space="preserve">=Project commenced, but in a subsequent year company failed to file a VEGI claim and incentives were terminated.  </t>
    </r>
    <r>
      <rPr>
        <b/>
        <sz val="12"/>
        <rFont val="Helvetica"/>
      </rPr>
      <t>5</t>
    </r>
    <r>
      <rPr>
        <sz val="12"/>
        <rFont val="Helvetica"/>
      </rPr>
      <t>=Project denied and no incentives were authorized.</t>
    </r>
  </si>
  <si>
    <r>
      <t>"</t>
    </r>
    <r>
      <rPr>
        <b/>
        <sz val="12"/>
        <rFont val="Helvetica"/>
      </rPr>
      <t>Green"</t>
    </r>
    <r>
      <rPr>
        <sz val="12"/>
        <rFont val="Helvetica"/>
        <family val="2"/>
      </rPr>
      <t xml:space="preserve"> indicates incentive enhancement for environmental technology companies. See 32 VSA 5930b(g). </t>
    </r>
    <r>
      <rPr>
        <b/>
        <sz val="12"/>
        <rFont val="Helvetica"/>
      </rPr>
      <t xml:space="preserve"> LMA Enhancement</t>
    </r>
    <r>
      <rPr>
        <sz val="12"/>
        <rFont val="Helvetica"/>
        <family val="2"/>
      </rPr>
      <t xml:space="preserve"> indicates incentive enhancement for projects in high unemployment, low economic activity areas. See 32 VSA 5930b(b)(5).   </t>
    </r>
    <r>
      <rPr>
        <b/>
        <sz val="12"/>
        <rFont val="Helvetica"/>
      </rPr>
      <t xml:space="preserve">LBW </t>
    </r>
    <r>
      <rPr>
        <sz val="12"/>
        <rFont val="Helvetica"/>
        <family val="2"/>
      </rPr>
      <t xml:space="preserve">or Look Back Waived indicates a waiver was approved of incentive reduction due to drop in employment just prior to approval date. See 32 VSA 5930a(c)(1).  </t>
    </r>
    <r>
      <rPr>
        <b/>
        <sz val="12"/>
        <rFont val="Helvetica"/>
      </rPr>
      <t>Ed Tax Stabil</t>
    </r>
    <r>
      <rPr>
        <sz val="12"/>
        <rFont val="Helvetica"/>
        <family val="2"/>
      </rPr>
      <t xml:space="preserve"> indicates applicant chose stabilization of incremental Education Property Tax as incentive instead of, or in addition to, cash payments.</t>
    </r>
  </si>
  <si>
    <t>LMA Enhancement cap is $1,000,000 for each calendar year, unless increased by a vote of the Emergency Board. Cap balances do not carry forward to the next year.  Emergency Board voted to increase the LMA Enhancement Cap in 2015 and 2016.</t>
  </si>
  <si>
    <t>LMA</t>
  </si>
  <si>
    <t>LMA/Green</t>
  </si>
  <si>
    <t>LMA Enhancement</t>
  </si>
  <si>
    <t>Percent of Total Applications</t>
  </si>
  <si>
    <t>Regular VEGI Applications:</t>
  </si>
  <si>
    <r>
      <t>"Green VEGI" Applications:</t>
    </r>
    <r>
      <rPr>
        <vertAlign val="superscript"/>
        <sz val="10"/>
        <rFont val="Arial"/>
        <family val="2"/>
      </rPr>
      <t>7</t>
    </r>
  </si>
  <si>
    <t>LMA Enhanced Applications:</t>
  </si>
  <si>
    <t>Lookback Waived Applications:</t>
  </si>
  <si>
    <t>Some data not available until next year.</t>
  </si>
  <si>
    <t>Applications Through December 31, 2016</t>
  </si>
  <si>
    <t>Date Initial Application Considered</t>
  </si>
  <si>
    <t>12/6/207</t>
  </si>
  <si>
    <t>Term-Recap November 25, 2013</t>
  </si>
  <si>
    <t>Term-Recap February 15, 2013</t>
  </si>
  <si>
    <t>Terminated June 23, 2016</t>
  </si>
  <si>
    <t>Term-Recap. Jan 16, 2013</t>
  </si>
  <si>
    <t>16/2010</t>
  </si>
  <si>
    <t>Terminated Sept 22, 2016</t>
  </si>
  <si>
    <t>Rescinded Sept 22, 2016</t>
  </si>
  <si>
    <t xml:space="preserve"> Composites BHS, Inc.</t>
  </si>
  <si>
    <t>Rescinded May 26, 2016</t>
  </si>
  <si>
    <t xml:space="preserve"> Imerys Talc Vermont, Inc.</t>
  </si>
  <si>
    <t>Ludlow</t>
  </si>
  <si>
    <t xml:space="preserve"> LTK Consulting Services, Inc. </t>
  </si>
  <si>
    <t>Vermont Aerospace-AIAC</t>
  </si>
  <si>
    <t>Lyndon</t>
  </si>
  <si>
    <t xml:space="preserve"> Autumn Harp</t>
  </si>
  <si>
    <t xml:space="preserve"> Bariatrix Nutrition Corp II</t>
  </si>
  <si>
    <t xml:space="preserve"> Caledonia Spirits/Lineage Realty</t>
  </si>
  <si>
    <t xml:space="preserve"> Chroma Technology Corp</t>
  </si>
  <si>
    <t xml:space="preserve"> Vermont Precision Tool</t>
  </si>
  <si>
    <t>2017-2021</t>
  </si>
  <si>
    <t xml:space="preserve"> Westminster Cracker Company</t>
  </si>
  <si>
    <t>FOR ALL APPLICATIONS CONSIDERED THROUGH DECEMBER 31, 2016</t>
  </si>
  <si>
    <t>TOTAL PROJECTED ECONOMIC ACTIVITY, 2007 - 2021</t>
  </si>
  <si>
    <t>FOR APPLICATIONS CONSIDERED THROUGH DECEMBER 31, 2016</t>
  </si>
  <si>
    <t>TOTAL PROJECTED INCENTIVE PAYMENTS, 2007 - 2026</t>
  </si>
  <si>
    <t>2017 Cap</t>
  </si>
  <si>
    <t>Initial Approvals</t>
  </si>
  <si>
    <t>Final Approvals</t>
  </si>
  <si>
    <t>Active as of 12/31/2016</t>
  </si>
  <si>
    <t>Active as of 11/03/2016</t>
  </si>
  <si>
    <t>2010 Cap1</t>
  </si>
  <si>
    <t>2011 Cap2</t>
  </si>
  <si>
    <t>2012 Cap3</t>
  </si>
  <si>
    <t>2015 Cap4</t>
  </si>
  <si>
    <t>2015 Cap5</t>
  </si>
  <si>
    <t>2016 Cap6</t>
  </si>
  <si>
    <t>1. Cap increased by Emergency Board on January 2, 2010, primarily for Dealer.com and Skypoint Solar</t>
  </si>
  <si>
    <t>2. Cap increased by Emergency Board on July 21, 2011 specifically for Skypoint Solar</t>
  </si>
  <si>
    <t>3. Cap increased by Emergency Board on July 20, 2012 to accommodate application volume</t>
  </si>
  <si>
    <t xml:space="preserve">4. Cap increased by Emergency Board on July 24, 2014 for 1366 Technology </t>
  </si>
  <si>
    <t>5. LMA Cap increased by Emergency Board on October 19, 2015 for 2015</t>
  </si>
  <si>
    <t>6. LMA Cap increased by Emergency Board on December 1, 2015 for 2016</t>
  </si>
  <si>
    <t>Vermont Economic Progress Council January 2017</t>
  </si>
  <si>
    <t>Averages (Not including 2017)</t>
  </si>
  <si>
    <t>Average</t>
  </si>
  <si>
    <t>All Average</t>
  </si>
  <si>
    <t>10-16 Average</t>
  </si>
  <si>
    <t>FOR ALL ACTIVE APPLICATIONS CONSIDERED THROUGH DECEMBER 31, 2016</t>
  </si>
  <si>
    <t xml:space="preserve">NOTE: ALL DATA IN THIS TABLE BASED ON 48 ACTIVE COMPANIES ONLY. </t>
  </si>
  <si>
    <t>Tab 11. JobWageAnalysis</t>
  </si>
  <si>
    <t xml:space="preserve">Tab 12. Employee Benefits </t>
  </si>
  <si>
    <t>0-25%:  0</t>
  </si>
  <si>
    <t>50-75%:  18</t>
  </si>
  <si>
    <t>76-100%:  29</t>
  </si>
  <si>
    <t>Tab 2. AppSummaryData.  Demographics; Size</t>
  </si>
  <si>
    <t>21-50:  7</t>
  </si>
  <si>
    <t>51-75:  7</t>
  </si>
  <si>
    <t>101-150:  6</t>
  </si>
  <si>
    <t>201-500:  6</t>
  </si>
  <si>
    <t>Tab 2. AppSummaryData. Demographics; Type of Project</t>
  </si>
  <si>
    <t>Retention/Expansion:  37</t>
  </si>
  <si>
    <t>Tab 2. AppSummaryData.  Demographics; Type of Expansion</t>
  </si>
  <si>
    <t>Acquisition/Reuse of an Exisiting Facility:  20</t>
  </si>
  <si>
    <t>Construction of New Facility:   7</t>
  </si>
  <si>
    <t>Expansion of Appicant's Current Facility:   14</t>
  </si>
  <si>
    <t>Chart 12: Pulled from: https://factfinder.census.gov/faces/tableservices/jsf/pages/productview.xhtml?src=CF</t>
  </si>
  <si>
    <t>Data pulled from   http://www.vtlmi.info/profile2016.pdf</t>
  </si>
  <si>
    <t>Report Total</t>
  </si>
  <si>
    <t>Other in report only</t>
  </si>
  <si>
    <t>Table 38: Tax Revenues for VT Counties (Personal Income Tax Amount for CY2014) - Page 48</t>
  </si>
  <si>
    <t>Chart 14: Data pulled from VEGI Authorization Summary Tab 5.Distribution</t>
  </si>
  <si>
    <t>Chittenden: 19</t>
  </si>
  <si>
    <t>Franklin/GI: 3</t>
  </si>
  <si>
    <t>NEK: 5</t>
  </si>
  <si>
    <t>Orange: 1</t>
  </si>
  <si>
    <t>Rutland: 2</t>
  </si>
  <si>
    <t>Washington: 4</t>
  </si>
  <si>
    <t>Windham: 6</t>
  </si>
  <si>
    <t>Windsor: 6</t>
  </si>
  <si>
    <t>Chart 15: Data pulled from VEGI Authorization Summary Tab 5.Distribution</t>
  </si>
  <si>
    <t>Chart 16: Data pulled from VEGI Authorization Summary.  Tab 9.Jobs</t>
  </si>
  <si>
    <t>AS OF DECEMBER 31, 2016</t>
  </si>
  <si>
    <t>SUMMARY OF APPLICATION STATUS/INCENTIVE LEVELS</t>
  </si>
  <si>
    <t xml:space="preserve">NUMBER </t>
  </si>
  <si>
    <t>VALUE</t>
  </si>
  <si>
    <t>All Applications Submitted</t>
  </si>
  <si>
    <t xml:space="preserve">  Withdrawn</t>
  </si>
  <si>
    <t xml:space="preserve">  Denied</t>
  </si>
  <si>
    <t xml:space="preserve">  Rescinded</t>
  </si>
  <si>
    <t xml:space="preserve">Net Incentives Authorized </t>
  </si>
  <si>
    <t xml:space="preserve">  Terminated Incentives</t>
  </si>
  <si>
    <t>Net Incentives Available</t>
  </si>
  <si>
    <r>
      <t>Date Final Application Considered</t>
    </r>
    <r>
      <rPr>
        <b/>
        <vertAlign val="superscript"/>
        <sz val="9"/>
        <rFont val="Arial"/>
        <family val="2"/>
      </rPr>
      <t>1</t>
    </r>
  </si>
  <si>
    <t>Y-Partial</t>
  </si>
  <si>
    <t>Y-Recaptured</t>
  </si>
  <si>
    <t>PERCENT</t>
  </si>
  <si>
    <t>Incentive Earned Yes/No</t>
  </si>
  <si>
    <t>PROJECTED vs. ACTUAL ECONOMIC ACTIVITY 2007-2015</t>
  </si>
  <si>
    <t>Through 2015</t>
  </si>
  <si>
    <t xml:space="preserve">   LESS</t>
  </si>
  <si>
    <t>VEGI COMPANIES SPEND $180 MILLION EACH YEAR WITH OTHER VERMONT COMPANIES</t>
  </si>
  <si>
    <t>ECONOMIC MULTIPLIER = $180 MILLION/YEAR</t>
  </si>
  <si>
    <t>All Applications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</si>
</sst>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4" formatCode="_(&quot;$&quot;* #,##0.00_);_(&quot;$&quot;* \(#,##0.00\);_(&quot;$&quot;* &quot;-&quot;??_);_(@_)"/>
    <numFmt numFmtId="43" formatCode="_(* #,##0.00_);_(* \(#,##0.00\);_(* &quot;-&quot;??_);_(@_)"/>
    <numFmt numFmtId="164" formatCode="&quot;$&quot;#,##0"/>
    <numFmt numFmtId="165" formatCode="&quot;$&quot;#,##0.000"/>
    <numFmt numFmtId="166" formatCode="0.0%"/>
    <numFmt numFmtId="167" formatCode="_(&quot;$&quot;* #,##0_);_(&quot;$&quot;* \(#,##0\);_(&quot;$&quot;* &quot;-&quot;??_);_(@_)"/>
    <numFmt numFmtId="168" formatCode="&quot;$&quot;#,##0.00"/>
    <numFmt numFmtId="169" formatCode="m/d/yy;@"/>
    <numFmt numFmtId="170" formatCode="&quot;$&quot;#,##0.00000"/>
    <numFmt numFmtId="171" formatCode="&quot;$&quot;#,##0.0"/>
    <numFmt numFmtId="172" formatCode="_(* #,##0_);_(* \(#,##0\);_(* &quot;-&quot;??_);_(@_)"/>
    <numFmt numFmtId="173" formatCode="[$-409]d\-mmm\-yy;@"/>
    <numFmt numFmtId="174" formatCode="_(&quot;$&quot;* #,##0.0000_);_(&quot;$&quot;* \(#,##0.0000\);_(&quot;$&quot;* &quot;-&quot;??_);_(@_)"/>
    <numFmt numFmtId="175" formatCode="0.000"/>
  </numFmts>
  <fonts count="1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i/>
      <sz val="10"/>
      <name val="Arial"/>
      <family val="2"/>
    </font>
    <font>
      <b/>
      <sz val="16"/>
      <name val="Arial"/>
      <family val="2"/>
    </font>
    <font>
      <sz val="8"/>
      <color indexed="81"/>
      <name val="Tahoma"/>
      <family val="2"/>
    </font>
    <font>
      <b/>
      <sz val="8"/>
      <color indexed="81"/>
      <name val="Tahoma"/>
      <family val="2"/>
    </font>
    <font>
      <b/>
      <sz val="12"/>
      <name val="Arial"/>
      <family val="2"/>
    </font>
    <font>
      <vertAlign val="superscript"/>
      <sz val="10"/>
      <name val="Arial"/>
      <family val="2"/>
    </font>
    <font>
      <b/>
      <sz val="16"/>
      <color indexed="14"/>
      <name val="Arial"/>
      <family val="2"/>
    </font>
    <font>
      <b/>
      <sz val="16"/>
      <color indexed="23"/>
      <name val="Arial"/>
      <family val="2"/>
    </font>
    <font>
      <sz val="9"/>
      <color indexed="81"/>
      <name val="Tahoma"/>
      <family val="2"/>
    </font>
    <font>
      <b/>
      <sz val="9"/>
      <color indexed="81"/>
      <name val="Tahoma"/>
      <family val="2"/>
    </font>
    <font>
      <sz val="14"/>
      <name val="Arial"/>
      <family val="2"/>
    </font>
    <font>
      <sz val="16"/>
      <name val="Arial"/>
      <family val="2"/>
    </font>
    <font>
      <b/>
      <sz val="9"/>
      <name val="Arial"/>
      <family val="2"/>
    </font>
    <font>
      <sz val="9"/>
      <name val="Arial"/>
      <family val="2"/>
    </font>
    <font>
      <sz val="10"/>
      <color indexed="10"/>
      <name val="Arial"/>
      <family val="2"/>
    </font>
    <font>
      <sz val="10"/>
      <name val="Arial"/>
      <family val="2"/>
    </font>
    <font>
      <b/>
      <i/>
      <sz val="10"/>
      <name val="Arial"/>
      <family val="2"/>
    </font>
    <font>
      <i/>
      <sz val="8"/>
      <name val="Arial"/>
      <family val="2"/>
    </font>
    <font>
      <sz val="10"/>
      <name val="Arial"/>
      <family val="2"/>
    </font>
    <font>
      <b/>
      <sz val="11"/>
      <name val="Arial"/>
      <family val="2"/>
    </font>
    <font>
      <sz val="10"/>
      <name val="Arial"/>
      <family val="2"/>
    </font>
    <font>
      <sz val="10"/>
      <name val="Arial"/>
      <family val="2"/>
    </font>
    <font>
      <b/>
      <sz val="14"/>
      <name val="Arial"/>
      <family val="2"/>
    </font>
    <font>
      <sz val="10"/>
      <name val="Arial"/>
      <family val="2"/>
    </font>
    <font>
      <sz val="10"/>
      <name val="Arial"/>
      <family val="2"/>
    </font>
    <font>
      <b/>
      <sz val="18"/>
      <name val="Arial"/>
      <family val="2"/>
    </font>
    <font>
      <sz val="12"/>
      <name val="Arial"/>
      <family val="2"/>
    </font>
    <font>
      <b/>
      <vertAlign val="superscript"/>
      <sz val="12"/>
      <name val="Arial"/>
      <family val="2"/>
    </font>
    <font>
      <sz val="14"/>
      <color indexed="81"/>
      <name val="Tahoma"/>
      <family val="2"/>
    </font>
    <font>
      <b/>
      <sz val="11"/>
      <color theme="1"/>
      <name val="Calibri"/>
      <family val="2"/>
      <scheme val="minor"/>
    </font>
    <font>
      <sz val="12"/>
      <color theme="1"/>
      <name val="Corbel"/>
      <family val="2"/>
    </font>
    <font>
      <sz val="14"/>
      <color theme="1"/>
      <name val="Cambria"/>
      <family val="1"/>
      <scheme val="major"/>
    </font>
    <font>
      <sz val="18"/>
      <color theme="0"/>
      <name val="Calibri"/>
      <family val="2"/>
      <scheme val="minor"/>
    </font>
    <font>
      <sz val="12"/>
      <color theme="1"/>
      <name val="Calibri"/>
      <family val="2"/>
      <scheme val="minor"/>
    </font>
    <font>
      <sz val="12"/>
      <color indexed="8"/>
      <name val="Calibri"/>
      <family val="2"/>
    </font>
    <font>
      <sz val="11"/>
      <color theme="1"/>
      <name val="Candara"/>
      <family val="2"/>
    </font>
    <font>
      <sz val="11"/>
      <color theme="0"/>
      <name val="Candara"/>
      <family val="2"/>
    </font>
    <font>
      <sz val="11"/>
      <name val="Candara"/>
      <family val="2"/>
    </font>
    <font>
      <i/>
      <sz val="11"/>
      <name val="Candara"/>
      <family val="2"/>
    </font>
    <font>
      <sz val="9"/>
      <color theme="1"/>
      <name val="Calibri"/>
      <family val="2"/>
      <scheme val="minor"/>
    </font>
    <font>
      <sz val="9"/>
      <name val="Calibri"/>
      <family val="2"/>
      <scheme val="minor"/>
    </font>
    <font>
      <sz val="9"/>
      <color rgb="FF00B050"/>
      <name val="Calibri"/>
      <family val="2"/>
      <scheme val="minor"/>
    </font>
    <font>
      <sz val="9"/>
      <color rgb="FF00B050"/>
      <name val="Corbel"/>
      <family val="2"/>
    </font>
    <font>
      <sz val="10"/>
      <color rgb="FF00B050"/>
      <name val="Corbel"/>
      <family val="2"/>
    </font>
    <font>
      <b/>
      <sz val="9"/>
      <color rgb="FFFF0000"/>
      <name val="Corbel"/>
      <family val="2"/>
    </font>
    <font>
      <b/>
      <sz val="9"/>
      <name val="Calibri"/>
      <family val="2"/>
      <scheme val="minor"/>
    </font>
    <font>
      <b/>
      <i/>
      <sz val="9"/>
      <color theme="1"/>
      <name val="Calibri"/>
      <family val="2"/>
      <scheme val="minor"/>
    </font>
    <font>
      <b/>
      <sz val="9"/>
      <color theme="1"/>
      <name val="Calibri"/>
      <family val="2"/>
      <scheme val="minor"/>
    </font>
    <font>
      <b/>
      <sz val="9"/>
      <name val="Corbel"/>
      <family val="2"/>
    </font>
    <font>
      <sz val="9"/>
      <color rgb="FFFF0000"/>
      <name val="Calibri"/>
      <family val="2"/>
      <scheme val="minor"/>
    </font>
    <font>
      <sz val="10"/>
      <name val="Corbel"/>
      <family val="2"/>
    </font>
    <font>
      <b/>
      <sz val="9"/>
      <color rgb="FFFF0000"/>
      <name val="Calibri"/>
      <family val="2"/>
      <scheme val="minor"/>
    </font>
    <font>
      <sz val="9"/>
      <color theme="1"/>
      <name val="Corbel"/>
      <family val="2"/>
    </font>
    <font>
      <sz val="9"/>
      <color theme="0"/>
      <name val="Corbel"/>
      <family val="2"/>
    </font>
    <font>
      <i/>
      <sz val="9"/>
      <color theme="1"/>
      <name val="Calibri"/>
      <family val="2"/>
      <scheme val="minor"/>
    </font>
    <font>
      <b/>
      <i/>
      <sz val="9"/>
      <color indexed="8"/>
      <name val="Calibri"/>
      <family val="2"/>
    </font>
    <font>
      <i/>
      <sz val="9"/>
      <color indexed="8"/>
      <name val="Calibri"/>
      <family val="2"/>
    </font>
    <font>
      <b/>
      <sz val="11"/>
      <color theme="1"/>
      <name val="Corbel"/>
      <family val="2"/>
    </font>
    <font>
      <sz val="10"/>
      <color theme="1"/>
      <name val="Corbel"/>
      <family val="2"/>
    </font>
    <font>
      <b/>
      <i/>
      <sz val="12"/>
      <color theme="1"/>
      <name val="Corbel"/>
      <family val="2"/>
    </font>
    <font>
      <i/>
      <sz val="8"/>
      <color indexed="8"/>
      <name val="Corbel"/>
      <family val="2"/>
    </font>
    <font>
      <sz val="9"/>
      <color theme="0"/>
      <name val="Calibri"/>
      <family val="2"/>
      <scheme val="minor"/>
    </font>
    <font>
      <sz val="10"/>
      <color theme="0"/>
      <name val="Corbel"/>
      <family val="2"/>
    </font>
    <font>
      <b/>
      <sz val="9"/>
      <color theme="1"/>
      <name val="Corbel"/>
      <family val="2"/>
    </font>
    <font>
      <b/>
      <sz val="12"/>
      <name val="Calibri"/>
      <family val="2"/>
      <scheme val="minor"/>
    </font>
    <font>
      <b/>
      <sz val="12"/>
      <color theme="1"/>
      <name val="Corbel"/>
      <family val="2"/>
    </font>
    <font>
      <sz val="12"/>
      <color rgb="FF00B050"/>
      <name val="Corbel"/>
      <family val="2"/>
    </font>
    <font>
      <sz val="11"/>
      <color theme="0"/>
      <name val="Corbel"/>
      <family val="2"/>
    </font>
    <font>
      <b/>
      <i/>
      <sz val="11"/>
      <color rgb="FF00B050"/>
      <name val="Corbel"/>
      <family val="2"/>
    </font>
    <font>
      <sz val="9"/>
      <color indexed="8"/>
      <name val="Corbel"/>
      <family val="2"/>
    </font>
    <font>
      <sz val="12"/>
      <color theme="1"/>
      <name val="Arial"/>
      <family val="2"/>
    </font>
    <font>
      <sz val="11"/>
      <name val="Franklin Gothic Demi"/>
      <family val="2"/>
    </font>
    <font>
      <sz val="11"/>
      <color theme="1"/>
      <name val="Palatino Linotype"/>
      <family val="1"/>
    </font>
    <font>
      <vertAlign val="superscript"/>
      <sz val="11"/>
      <color indexed="8"/>
      <name val="Palatino Linotype"/>
      <family val="1"/>
    </font>
    <font>
      <sz val="11"/>
      <name val="Palatino Linotype"/>
      <family val="1"/>
    </font>
    <font>
      <vertAlign val="superscript"/>
      <sz val="11"/>
      <name val="Franklin Gothic Demi"/>
      <family val="2"/>
    </font>
    <font>
      <sz val="14"/>
      <color rgb="FFFF0000"/>
      <name val="Arial"/>
      <family val="2"/>
    </font>
    <font>
      <b/>
      <sz val="11"/>
      <color theme="1"/>
      <name val="Palatino Linotype"/>
      <family val="1"/>
    </font>
    <font>
      <sz val="11"/>
      <name val="Arial"/>
      <family val="2"/>
    </font>
    <font>
      <vertAlign val="superscript"/>
      <sz val="11"/>
      <name val="Arial"/>
      <family val="2"/>
    </font>
    <font>
      <b/>
      <sz val="16"/>
      <color theme="0"/>
      <name val="Arial"/>
      <family val="2"/>
    </font>
    <font>
      <sz val="12"/>
      <name val="Helvetica"/>
      <family val="2"/>
    </font>
    <font>
      <b/>
      <sz val="12"/>
      <color indexed="23"/>
      <name val="Arial"/>
      <family val="2"/>
    </font>
    <font>
      <sz val="12"/>
      <color theme="0"/>
      <name val="Arial"/>
      <family val="2"/>
    </font>
    <font>
      <b/>
      <sz val="12"/>
      <color theme="0"/>
      <name val="Arial"/>
      <family val="2"/>
    </font>
    <font>
      <sz val="10"/>
      <color theme="0"/>
      <name val="Arial"/>
      <family val="2"/>
    </font>
    <font>
      <sz val="11"/>
      <color rgb="FF000000"/>
      <name val="Arial"/>
      <family val="2"/>
    </font>
    <font>
      <u/>
      <sz val="10"/>
      <name val="Arial"/>
      <family val="2"/>
    </font>
    <font>
      <b/>
      <sz val="12"/>
      <name val="Helvetica"/>
    </font>
    <font>
      <sz val="12"/>
      <name val="Helvetica"/>
    </font>
    <font>
      <sz val="10"/>
      <name val="Arial"/>
      <family val="2"/>
    </font>
    <font>
      <u/>
      <sz val="10"/>
      <color theme="10"/>
      <name val="Arial"/>
      <family val="2"/>
    </font>
    <font>
      <sz val="10"/>
      <color rgb="FFFF0000"/>
      <name val="Arial"/>
      <family val="2"/>
    </font>
    <font>
      <b/>
      <sz val="14"/>
      <color theme="1"/>
      <name val="Calibri"/>
      <family val="2"/>
      <scheme val="minor"/>
    </font>
    <font>
      <b/>
      <sz val="14"/>
      <color theme="0"/>
      <name val="Arial"/>
      <family val="2"/>
    </font>
    <font>
      <b/>
      <sz val="14"/>
      <name val="Calibri"/>
      <family val="2"/>
      <scheme val="minor"/>
    </font>
    <font>
      <sz val="9.5"/>
      <name val="Arial"/>
      <family val="2"/>
    </font>
    <font>
      <b/>
      <sz val="12"/>
      <color theme="1"/>
      <name val="Calibri"/>
      <family val="2"/>
      <scheme val="minor"/>
    </font>
    <font>
      <sz val="12"/>
      <name val="Calibri"/>
      <family val="2"/>
      <scheme val="minor"/>
    </font>
    <font>
      <b/>
      <vertAlign val="superscript"/>
      <sz val="14"/>
      <name val="Arial"/>
      <family val="2"/>
    </font>
    <font>
      <b/>
      <sz val="16"/>
      <name val="Calibri"/>
      <family val="2"/>
    </font>
    <font>
      <b/>
      <vertAlign val="superscript"/>
      <sz val="9"/>
      <name val="Arial"/>
      <family val="2"/>
    </font>
    <font>
      <b/>
      <vertAlign val="superscript"/>
      <sz val="11"/>
      <name val="Arial"/>
      <family val="2"/>
    </font>
  </fonts>
  <fills count="4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52"/>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indexed="47"/>
        <bgColor indexed="64"/>
      </patternFill>
    </fill>
    <fill>
      <patternFill patternType="solid">
        <fgColor indexed="15"/>
        <bgColor indexed="64"/>
      </patternFill>
    </fill>
    <fill>
      <patternFill patternType="solid">
        <fgColor indexed="22"/>
        <bgColor indexed="64"/>
      </patternFill>
    </fill>
    <fill>
      <patternFill patternType="solid">
        <fgColor indexed="13"/>
        <bgColor indexed="64"/>
      </patternFill>
    </fill>
    <fill>
      <patternFill patternType="solid">
        <fgColor indexed="40"/>
        <bgColor indexed="64"/>
      </patternFill>
    </fill>
    <fill>
      <patternFill patternType="solid">
        <fgColor indexed="17"/>
        <bgColor indexed="64"/>
      </patternFill>
    </fill>
    <fill>
      <patternFill patternType="solid">
        <fgColor indexed="57"/>
        <bgColor indexed="64"/>
      </patternFill>
    </fill>
    <fill>
      <patternFill patternType="solid">
        <fgColor indexed="5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99CC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0"/>
        <bgColor indexed="64"/>
      </patternFill>
    </fill>
    <fill>
      <patternFill patternType="solid">
        <fgColor rgb="FF00800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3"/>
        <bgColor indexed="64"/>
      </patternFill>
    </fill>
    <fill>
      <patternFill patternType="solid">
        <fgColor theme="4" tint="0.399975585192419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B6BF0B"/>
        <bgColor indexed="64"/>
      </patternFill>
    </fill>
    <fill>
      <patternFill patternType="solid">
        <fgColor rgb="FFE4E9AD"/>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CCECFF"/>
        <bgColor indexed="64"/>
      </patternFill>
    </fill>
  </fills>
  <borders count="291">
    <border>
      <left/>
      <right/>
      <top/>
      <bottom/>
      <diagonal/>
    </border>
    <border>
      <left/>
      <right style="thick">
        <color indexed="64"/>
      </right>
      <top/>
      <bottom/>
      <diagonal/>
    </border>
    <border>
      <left style="thick">
        <color indexed="64"/>
      </left>
      <right/>
      <top/>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top style="thick">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ck">
        <color indexed="64"/>
      </bottom>
      <diagonal/>
    </border>
    <border>
      <left/>
      <right style="thick">
        <color indexed="64"/>
      </right>
      <top style="thick">
        <color indexed="64"/>
      </top>
      <bottom/>
      <diagonal/>
    </border>
    <border>
      <left/>
      <right/>
      <top/>
      <bottom style="thick">
        <color indexed="64"/>
      </bottom>
      <diagonal/>
    </border>
    <border>
      <left/>
      <right/>
      <top style="medium">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ck">
        <color indexed="64"/>
      </bottom>
      <diagonal/>
    </border>
    <border>
      <left style="thick">
        <color indexed="64"/>
      </left>
      <right/>
      <top style="thick">
        <color indexed="64"/>
      </top>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style="thick">
        <color indexed="64"/>
      </top>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ck">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bottom/>
      <diagonal/>
    </border>
    <border>
      <left/>
      <right style="thin">
        <color indexed="64"/>
      </right>
      <top style="thin">
        <color indexed="64"/>
      </top>
      <bottom style="thick">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ck">
        <color indexed="64"/>
      </top>
      <bottom style="thick">
        <color indexed="64"/>
      </bottom>
      <diagonal/>
    </border>
    <border>
      <left style="thin">
        <color indexed="64"/>
      </left>
      <right style="thick">
        <color indexed="64"/>
      </right>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hair">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thick">
        <color indexed="64"/>
      </left>
      <right style="thick">
        <color indexed="64"/>
      </right>
      <top style="thick">
        <color indexed="64"/>
      </top>
      <bottom style="medium">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ck">
        <color indexed="64"/>
      </right>
      <top/>
      <bottom style="medium">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thick">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ck">
        <color indexed="64"/>
      </right>
      <top style="thick">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medium">
        <color indexed="64"/>
      </top>
      <bottom/>
      <diagonal/>
    </border>
    <border>
      <left/>
      <right style="thin">
        <color indexed="64"/>
      </right>
      <top/>
      <bottom style="thick">
        <color indexed="64"/>
      </bottom>
      <diagonal/>
    </border>
    <border>
      <left style="thick">
        <color indexed="64"/>
      </left>
      <right/>
      <top style="medium">
        <color indexed="64"/>
      </top>
      <bottom/>
      <diagonal/>
    </border>
    <border>
      <left/>
      <right style="thick">
        <color indexed="64"/>
      </right>
      <top/>
      <bottom style="medium">
        <color indexed="64"/>
      </bottom>
      <diagonal/>
    </border>
    <border>
      <left/>
      <right/>
      <top style="medium">
        <color indexed="64"/>
      </top>
      <bottom style="thick">
        <color indexed="64"/>
      </bottom>
      <diagonal/>
    </border>
    <border>
      <left style="medium">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thick">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indexed="64"/>
      </left>
      <right style="medium">
        <color indexed="64"/>
      </right>
      <top style="medium">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indexed="64"/>
      </left>
      <right style="medium">
        <color indexed="64"/>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style="medium">
        <color indexed="64"/>
      </right>
      <top style="thin">
        <color theme="0" tint="-0.14999847407452621"/>
      </top>
      <bottom style="medium">
        <color indexed="64"/>
      </bottom>
      <diagonal/>
    </border>
    <border>
      <left/>
      <right style="thin">
        <color indexed="64"/>
      </right>
      <top style="thin">
        <color theme="0" tint="-0.14999847407452621"/>
      </top>
      <bottom/>
      <diagonal/>
    </border>
    <border>
      <left style="thin">
        <color indexed="64"/>
      </left>
      <right style="thin">
        <color theme="0" tint="-0.14999847407452621"/>
      </right>
      <top style="thin">
        <color theme="0" tint="-0.1499984740745262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0" tint="-0.14999847407452621"/>
      </left>
      <right style="thin">
        <color indexed="64"/>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medium">
        <color indexed="64"/>
      </left>
      <right style="medium">
        <color indexed="64"/>
      </right>
      <top style="medium">
        <color indexed="64"/>
      </top>
      <bottom style="thin">
        <color theme="0" tint="-0.14999847407452621"/>
      </bottom>
      <diagonal/>
    </border>
    <border>
      <left style="thin">
        <color theme="0" tint="-0.14999847407452621"/>
      </left>
      <right style="thin">
        <color theme="0" tint="-0.14999847407452621"/>
      </right>
      <top/>
      <bottom/>
      <diagonal/>
    </border>
    <border>
      <left style="medium">
        <color indexed="64"/>
      </left>
      <right style="thin">
        <color theme="0" tint="-0.14999847407452621"/>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medium">
        <color indexed="64"/>
      </left>
      <right style="medium">
        <color indexed="64"/>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medium">
        <color indexed="64"/>
      </right>
      <top/>
      <bottom style="thin">
        <color theme="0" tint="-0.14999847407452621"/>
      </bottom>
      <diagonal/>
    </border>
    <border>
      <left style="medium">
        <color indexed="64"/>
      </left>
      <right style="medium">
        <color indexed="64"/>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thin">
        <color theme="0" tint="-0.14999847407452621"/>
      </left>
      <right style="thin">
        <color indexed="64"/>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thin">
        <color theme="0" tint="-0.14999847407452621"/>
      </left>
      <right style="thin">
        <color indexed="64"/>
      </right>
      <top/>
      <bottom/>
      <diagonal/>
    </border>
    <border>
      <left style="thin">
        <color theme="0" tint="-0.14999847407452621"/>
      </left>
      <right style="thin">
        <color theme="0" tint="-0.14999847407452621"/>
      </right>
      <top style="thin">
        <color theme="0" tint="-0.14999847407452621"/>
      </top>
      <bottom style="thin">
        <color theme="0"/>
      </bottom>
      <diagonal/>
    </border>
    <border>
      <left/>
      <right style="thin">
        <color theme="0" tint="-0.14999847407452621"/>
      </right>
      <top style="medium">
        <color indexed="64"/>
      </top>
      <bottom style="thin">
        <color theme="0"/>
      </bottom>
      <diagonal/>
    </border>
    <border>
      <left/>
      <right/>
      <top style="thin">
        <color theme="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top style="thick">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thin">
        <color theme="0" tint="-0.34998626667073579"/>
      </right>
      <top style="thick">
        <color theme="0" tint="-0.34998626667073579"/>
      </top>
      <bottom style="medium">
        <color indexed="64"/>
      </bottom>
      <diagonal/>
    </border>
    <border>
      <left style="thin">
        <color theme="0" tint="-0.34998626667073579"/>
      </left>
      <right style="thin">
        <color theme="0" tint="-0.34998626667073579"/>
      </right>
      <top style="thick">
        <color theme="0" tint="-0.34998626667073579"/>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ck">
        <color theme="0" tint="-0.34998626667073579"/>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style="thin">
        <color theme="0" tint="-0.34998626667073579"/>
      </left>
      <right/>
      <top/>
      <bottom style="thin">
        <color theme="0" tint="-0.34998626667073579"/>
      </bottom>
      <diagonal/>
    </border>
    <border>
      <left style="thin">
        <color theme="0" tint="-0.24994659260841701"/>
      </left>
      <right/>
      <top style="medium">
        <color indexed="64"/>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style="thin">
        <color theme="0" tint="-0.24994659260841701"/>
      </left>
      <right/>
      <top style="thin">
        <color theme="0" tint="-0.34998626667073579"/>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medium">
        <color indexed="64"/>
      </top>
      <bottom style="medium">
        <color indexed="64"/>
      </bottom>
      <diagonal/>
    </border>
    <border>
      <left style="thin">
        <color theme="0" tint="-0.34998626667073579"/>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ck">
        <color theme="0" tint="-0.34998626667073579"/>
      </top>
      <bottom style="medium">
        <color indexed="64"/>
      </bottom>
      <diagonal/>
    </border>
    <border>
      <left style="medium">
        <color indexed="64"/>
      </left>
      <right style="medium">
        <color indexed="64"/>
      </right>
      <top style="thin">
        <color theme="0" tint="-0.34998626667073579"/>
      </top>
      <bottom/>
      <diagonal/>
    </border>
    <border>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theme="0" tint="-0.24994659260841701"/>
      </left>
      <right/>
      <top style="thick">
        <color theme="0" tint="-0.24994659260841701"/>
      </top>
      <bottom style="medium">
        <color indexed="64"/>
      </bottom>
      <diagonal/>
    </border>
    <border>
      <left style="thin">
        <color theme="0" tint="-0.34998626667073579"/>
      </left>
      <right style="thin">
        <color theme="0" tint="-0.34998626667073579"/>
      </right>
      <top style="thick">
        <color theme="0" tint="-0.24994659260841701"/>
      </top>
      <bottom style="medium">
        <color indexed="64"/>
      </bottom>
      <diagonal/>
    </border>
    <border>
      <left style="thin">
        <color theme="0" tint="-0.34998626667073579"/>
      </left>
      <right/>
      <top style="medium">
        <color indexed="64"/>
      </top>
      <bottom style="medium">
        <color indexed="64"/>
      </bottom>
      <diagonal/>
    </border>
    <border>
      <left style="medium">
        <color rgb="FFFF0000"/>
      </left>
      <right/>
      <top/>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medium">
        <color indexed="64"/>
      </right>
      <top style="thick">
        <color theme="0" tint="-0.34998626667073579"/>
      </top>
      <bottom style="medium">
        <color indexed="64"/>
      </bottom>
      <diagonal/>
    </border>
    <border>
      <left style="thin">
        <color theme="0" tint="-0.34998626667073579"/>
      </left>
      <right/>
      <top/>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medium">
        <color indexed="64"/>
      </right>
      <top/>
      <bottom style="medium">
        <color indexed="64"/>
      </bottom>
      <diagonal/>
    </border>
    <border>
      <left style="thin">
        <color theme="0" tint="-0.34998626667073579"/>
      </left>
      <right style="medium">
        <color indexed="64"/>
      </right>
      <top style="thin">
        <color theme="0" tint="-0.34998626667073579"/>
      </top>
      <bottom style="thick">
        <color theme="0" tint="-0.34998626667073579"/>
      </bottom>
      <diagonal/>
    </border>
    <border>
      <left style="medium">
        <color indexed="64"/>
      </left>
      <right style="medium">
        <color indexed="64"/>
      </right>
      <top/>
      <bottom style="thin">
        <color theme="0" tint="-0.34998626667073579"/>
      </bottom>
      <diagonal/>
    </border>
    <border>
      <left style="thick">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style="thick">
        <color indexed="64"/>
      </right>
      <top style="medium">
        <color indexed="64"/>
      </top>
      <bottom style="medium">
        <color indexed="64"/>
      </bottom>
      <diagonal/>
    </border>
  </borders>
  <cellStyleXfs count="26">
    <xf numFmtId="173" fontId="0" fillId="0" borderId="0"/>
    <xf numFmtId="43" fontId="31" fillId="0" borderId="0" applyFont="0" applyFill="0" applyBorder="0" applyAlignment="0" applyProtection="0"/>
    <xf numFmtId="44" fontId="7" fillId="0" borderId="0" applyFont="0" applyFill="0" applyBorder="0" applyAlignment="0" applyProtection="0"/>
    <xf numFmtId="173" fontId="7" fillId="0" borderId="0"/>
    <xf numFmtId="9" fontId="26" fillId="0" borderId="0" applyFont="0" applyFill="0" applyBorder="0" applyAlignment="0" applyProtection="0"/>
    <xf numFmtId="173" fontId="41" fillId="0" borderId="0"/>
    <xf numFmtId="173" fontId="6" fillId="0" borderId="0"/>
    <xf numFmtId="9" fontId="7"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02" fillId="0" borderId="0" applyNumberFormat="0" applyFill="0" applyBorder="0" applyAlignment="0" applyProtection="0">
      <alignment vertical="top"/>
      <protection locked="0"/>
    </xf>
    <xf numFmtId="0" fontId="101" fillId="0" borderId="0"/>
    <xf numFmtId="43" fontId="7" fillId="0" borderId="0" applyFont="0" applyFill="0" applyBorder="0" applyAlignment="0" applyProtection="0"/>
    <xf numFmtId="0" fontId="7" fillId="0" borderId="0"/>
    <xf numFmtId="173"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7" fillId="0" borderId="0"/>
  </cellStyleXfs>
  <cellXfs count="4398">
    <xf numFmtId="173" fontId="0" fillId="0" borderId="0" xfId="0"/>
    <xf numFmtId="164" fontId="0" fillId="0" borderId="0" xfId="0" applyNumberFormat="1"/>
    <xf numFmtId="10" fontId="0" fillId="0" borderId="0" xfId="0" applyNumberFormat="1"/>
    <xf numFmtId="173" fontId="0" fillId="0" borderId="1" xfId="0" applyBorder="1"/>
    <xf numFmtId="173" fontId="0" fillId="0" borderId="2" xfId="0" applyBorder="1"/>
    <xf numFmtId="173" fontId="0" fillId="0" borderId="0" xfId="0" applyBorder="1"/>
    <xf numFmtId="164" fontId="0" fillId="0" borderId="0" xfId="0" applyNumberFormat="1" applyBorder="1"/>
    <xf numFmtId="10" fontId="0" fillId="0" borderId="0" xfId="0" applyNumberFormat="1" applyBorder="1"/>
    <xf numFmtId="173" fontId="8" fillId="2" borderId="3" xfId="0" applyFont="1" applyFill="1" applyBorder="1"/>
    <xf numFmtId="173" fontId="8" fillId="2" borderId="4" xfId="0" applyFont="1" applyFill="1" applyBorder="1"/>
    <xf numFmtId="173" fontId="8" fillId="3" borderId="5" xfId="0" applyFont="1" applyFill="1" applyBorder="1"/>
    <xf numFmtId="173" fontId="0" fillId="0" borderId="5" xfId="0" applyBorder="1"/>
    <xf numFmtId="173" fontId="8" fillId="2" borderId="6" xfId="0" applyFont="1" applyFill="1" applyBorder="1" applyAlignment="1">
      <alignment horizontal="center"/>
    </xf>
    <xf numFmtId="173" fontId="8" fillId="2" borderId="7" xfId="0" applyFont="1" applyFill="1" applyBorder="1" applyAlignment="1">
      <alignment horizontal="center"/>
    </xf>
    <xf numFmtId="173" fontId="0" fillId="0" borderId="8" xfId="0" applyBorder="1"/>
    <xf numFmtId="173" fontId="0" fillId="0" borderId="9" xfId="0" applyBorder="1"/>
    <xf numFmtId="173" fontId="0" fillId="3" borderId="10" xfId="0" applyFill="1" applyBorder="1"/>
    <xf numFmtId="173" fontId="8" fillId="4" borderId="11" xfId="0" applyFont="1" applyFill="1" applyBorder="1" applyAlignment="1">
      <alignment horizontal="center"/>
    </xf>
    <xf numFmtId="173" fontId="0" fillId="4" borderId="12" xfId="0" applyFill="1" applyBorder="1" applyAlignment="1">
      <alignment horizontal="center"/>
    </xf>
    <xf numFmtId="173" fontId="0" fillId="4" borderId="0" xfId="0" applyFill="1"/>
    <xf numFmtId="173" fontId="8" fillId="0" borderId="13" xfId="0" applyFont="1" applyBorder="1"/>
    <xf numFmtId="173" fontId="8" fillId="0" borderId="14" xfId="0" applyFont="1" applyBorder="1"/>
    <xf numFmtId="164" fontId="8" fillId="0" borderId="14" xfId="0" applyNumberFormat="1" applyFont="1" applyBorder="1"/>
    <xf numFmtId="173" fontId="8" fillId="0" borderId="15" xfId="0" applyFont="1" applyBorder="1"/>
    <xf numFmtId="173" fontId="8" fillId="3" borderId="4" xfId="0" applyFont="1" applyFill="1" applyBorder="1"/>
    <xf numFmtId="173" fontId="8" fillId="0" borderId="2" xfId="0" applyFont="1" applyFill="1" applyBorder="1"/>
    <xf numFmtId="173" fontId="8" fillId="0" borderId="0" xfId="0" applyFont="1" applyFill="1" applyBorder="1"/>
    <xf numFmtId="164" fontId="8" fillId="0" borderId="0" xfId="0" applyNumberFormat="1" applyFont="1" applyFill="1" applyBorder="1"/>
    <xf numFmtId="10" fontId="8" fillId="0" borderId="0" xfId="0" applyNumberFormat="1" applyFont="1" applyFill="1" applyBorder="1"/>
    <xf numFmtId="173" fontId="0" fillId="5" borderId="0" xfId="0" applyFill="1"/>
    <xf numFmtId="173" fontId="0" fillId="5" borderId="0" xfId="0" applyFill="1" applyAlignment="1">
      <alignment horizontal="center"/>
    </xf>
    <xf numFmtId="173" fontId="0" fillId="0" borderId="0" xfId="0" applyAlignment="1">
      <alignment horizontal="center"/>
    </xf>
    <xf numFmtId="173" fontId="0" fillId="2" borderId="0" xfId="0" applyFill="1" applyAlignment="1">
      <alignment horizontal="center"/>
    </xf>
    <xf numFmtId="173" fontId="0" fillId="6" borderId="0" xfId="0" applyFill="1" applyAlignment="1">
      <alignment horizontal="center"/>
    </xf>
    <xf numFmtId="173" fontId="0" fillId="3" borderId="0" xfId="0" applyFill="1" applyAlignment="1">
      <alignment horizontal="center"/>
    </xf>
    <xf numFmtId="173" fontId="0" fillId="7" borderId="0" xfId="0" applyFill="1" applyAlignment="1">
      <alignment horizontal="center"/>
    </xf>
    <xf numFmtId="173" fontId="0" fillId="8" borderId="0" xfId="0" applyFill="1" applyAlignment="1">
      <alignment horizontal="center"/>
    </xf>
    <xf numFmtId="173" fontId="0" fillId="4" borderId="0" xfId="0" applyFill="1" applyAlignment="1">
      <alignment horizontal="center"/>
    </xf>
    <xf numFmtId="173" fontId="8" fillId="0" borderId="0" xfId="0" applyFont="1" applyAlignment="1">
      <alignment horizontal="center"/>
    </xf>
    <xf numFmtId="173" fontId="0" fillId="0" borderId="0" xfId="0" applyFill="1"/>
    <xf numFmtId="173" fontId="8" fillId="0" borderId="0" xfId="0" applyFont="1" applyFill="1" applyAlignment="1">
      <alignment horizontal="center"/>
    </xf>
    <xf numFmtId="173" fontId="0" fillId="0" borderId="0" xfId="0" applyFill="1" applyAlignment="1">
      <alignment horizontal="center"/>
    </xf>
    <xf numFmtId="164" fontId="0" fillId="0" borderId="0" xfId="0" applyNumberFormat="1" applyFill="1" applyAlignment="1">
      <alignment horizontal="center"/>
    </xf>
    <xf numFmtId="166" fontId="0" fillId="0" borderId="0" xfId="0" applyNumberFormat="1"/>
    <xf numFmtId="164" fontId="0" fillId="9" borderId="0" xfId="0" applyNumberFormat="1" applyFill="1"/>
    <xf numFmtId="164" fontId="0" fillId="5" borderId="0" xfId="0" applyNumberFormat="1" applyFill="1"/>
    <xf numFmtId="164" fontId="0" fillId="5" borderId="0" xfId="0" applyNumberFormat="1" applyFill="1" applyAlignment="1">
      <alignment horizontal="center"/>
    </xf>
    <xf numFmtId="166" fontId="0" fillId="6" borderId="0" xfId="0" applyNumberFormat="1" applyFill="1" applyAlignment="1">
      <alignment horizontal="center"/>
    </xf>
    <xf numFmtId="164" fontId="0" fillId="4" borderId="0" xfId="0" applyNumberFormat="1" applyFill="1" applyAlignment="1">
      <alignment horizontal="center"/>
    </xf>
    <xf numFmtId="164" fontId="0" fillId="7" borderId="0" xfId="0" applyNumberFormat="1" applyFill="1" applyAlignment="1">
      <alignment horizontal="center"/>
    </xf>
    <xf numFmtId="164" fontId="0" fillId="8" borderId="0" xfId="0" applyNumberFormat="1" applyFill="1" applyAlignment="1">
      <alignment horizontal="center"/>
    </xf>
    <xf numFmtId="164" fontId="0" fillId="4" borderId="0" xfId="0" applyNumberFormat="1" applyFill="1"/>
    <xf numFmtId="164" fontId="0" fillId="0" borderId="0" xfId="0" applyNumberFormat="1" applyFill="1"/>
    <xf numFmtId="173" fontId="8" fillId="2" borderId="8" xfId="0" applyFont="1" applyFill="1" applyBorder="1" applyAlignment="1">
      <alignment horizontal="center"/>
    </xf>
    <xf numFmtId="173" fontId="8" fillId="2" borderId="16" xfId="0" applyFont="1" applyFill="1" applyBorder="1" applyAlignment="1">
      <alignment horizontal="center"/>
    </xf>
    <xf numFmtId="173" fontId="8" fillId="8" borderId="3" xfId="0" applyFont="1" applyFill="1" applyBorder="1" applyAlignment="1">
      <alignment horizontal="left"/>
    </xf>
    <xf numFmtId="173" fontId="0" fillId="8" borderId="9" xfId="0" applyFill="1" applyBorder="1"/>
    <xf numFmtId="173" fontId="0" fillId="8" borderId="17" xfId="0" applyFill="1" applyBorder="1"/>
    <xf numFmtId="173" fontId="8" fillId="0" borderId="1" xfId="0" applyFont="1" applyFill="1" applyBorder="1"/>
    <xf numFmtId="173" fontId="8" fillId="8" borderId="18" xfId="0" applyFont="1" applyFill="1" applyBorder="1" applyAlignment="1">
      <alignment horizontal="center"/>
    </xf>
    <xf numFmtId="173" fontId="8" fillId="8" borderId="19" xfId="0" applyFont="1" applyFill="1" applyBorder="1" applyAlignment="1">
      <alignment horizontal="center"/>
    </xf>
    <xf numFmtId="173" fontId="8" fillId="8" borderId="20" xfId="0" applyFont="1" applyFill="1" applyBorder="1" applyAlignment="1">
      <alignment horizontal="center"/>
    </xf>
    <xf numFmtId="173" fontId="8" fillId="8" borderId="4" xfId="0" applyFont="1" applyFill="1" applyBorder="1" applyAlignment="1">
      <alignment horizontal="center"/>
    </xf>
    <xf numFmtId="173" fontId="8" fillId="8" borderId="21" xfId="0" applyFont="1" applyFill="1" applyBorder="1" applyAlignment="1">
      <alignment horizontal="center"/>
    </xf>
    <xf numFmtId="173" fontId="8" fillId="8" borderId="22" xfId="0" applyFont="1" applyFill="1" applyBorder="1" applyAlignment="1">
      <alignment horizontal="center"/>
    </xf>
    <xf numFmtId="173" fontId="8" fillId="8" borderId="7" xfId="0" applyFont="1" applyFill="1" applyBorder="1" applyAlignment="1">
      <alignment horizontal="center"/>
    </xf>
    <xf numFmtId="3" fontId="0" fillId="0" borderId="0" xfId="0" applyNumberFormat="1"/>
    <xf numFmtId="173" fontId="8" fillId="10" borderId="23" xfId="0" applyFont="1" applyFill="1" applyBorder="1" applyAlignment="1">
      <alignment horizontal="left"/>
    </xf>
    <xf numFmtId="173" fontId="8" fillId="10" borderId="24" xfId="0" applyFont="1" applyFill="1" applyBorder="1" applyAlignment="1">
      <alignment horizontal="center"/>
    </xf>
    <xf numFmtId="173" fontId="0" fillId="10" borderId="25" xfId="0" applyFill="1" applyBorder="1" applyAlignment="1">
      <alignment horizontal="center"/>
    </xf>
    <xf numFmtId="173" fontId="8" fillId="3" borderId="26" xfId="0" applyFont="1" applyFill="1" applyBorder="1" applyAlignment="1">
      <alignment horizontal="center"/>
    </xf>
    <xf numFmtId="173" fontId="0" fillId="0" borderId="2" xfId="0" applyFill="1" applyBorder="1"/>
    <xf numFmtId="173" fontId="8" fillId="0" borderId="2" xfId="0" applyFont="1" applyFill="1" applyBorder="1" applyAlignment="1">
      <alignment horizontal="center"/>
    </xf>
    <xf numFmtId="173" fontId="11" fillId="0" borderId="0" xfId="0" applyFont="1" applyFill="1" applyBorder="1"/>
    <xf numFmtId="164" fontId="11" fillId="0" borderId="0" xfId="0" applyNumberFormat="1" applyFont="1" applyFill="1" applyBorder="1"/>
    <xf numFmtId="167" fontId="0" fillId="0" borderId="0" xfId="2" applyNumberFormat="1" applyFont="1" applyFill="1"/>
    <xf numFmtId="173" fontId="0" fillId="0" borderId="0" xfId="0" applyAlignment="1">
      <alignment horizontal="right"/>
    </xf>
    <xf numFmtId="173" fontId="8" fillId="0" borderId="0" xfId="0" applyFont="1"/>
    <xf numFmtId="10" fontId="0" fillId="4" borderId="13" xfId="0" applyNumberFormat="1" applyFill="1" applyBorder="1" applyAlignment="1"/>
    <xf numFmtId="173" fontId="0" fillId="4" borderId="27" xfId="0" applyFill="1" applyBorder="1" applyAlignment="1"/>
    <xf numFmtId="9" fontId="0" fillId="4" borderId="29" xfId="0" applyNumberFormat="1" applyFill="1" applyBorder="1"/>
    <xf numFmtId="173" fontId="0" fillId="0" borderId="0" xfId="0" applyFill="1" applyBorder="1" applyAlignment="1"/>
    <xf numFmtId="173" fontId="0" fillId="0" borderId="0" xfId="0" applyFill="1" applyBorder="1"/>
    <xf numFmtId="1" fontId="0" fillId="0" borderId="0" xfId="0" applyNumberFormat="1" applyAlignment="1">
      <alignment horizontal="center"/>
    </xf>
    <xf numFmtId="164" fontId="0" fillId="0" borderId="0" xfId="0" applyNumberFormat="1" applyAlignment="1">
      <alignment horizontal="center"/>
    </xf>
    <xf numFmtId="9" fontId="0" fillId="0" borderId="0" xfId="0" applyNumberFormat="1"/>
    <xf numFmtId="9" fontId="8" fillId="3" borderId="30" xfId="0" applyNumberFormat="1" applyFont="1" applyFill="1" applyBorder="1" applyAlignment="1">
      <alignment horizontal="center"/>
    </xf>
    <xf numFmtId="9" fontId="8" fillId="3" borderId="26" xfId="0" applyNumberFormat="1" applyFont="1" applyFill="1" applyBorder="1" applyAlignment="1">
      <alignment horizontal="center"/>
    </xf>
    <xf numFmtId="173" fontId="12" fillId="0" borderId="0" xfId="0" applyFont="1" applyFill="1" applyBorder="1" applyAlignment="1"/>
    <xf numFmtId="173" fontId="8" fillId="0" borderId="0" xfId="0" applyFont="1" applyBorder="1"/>
    <xf numFmtId="173" fontId="12" fillId="0" borderId="0" xfId="0" applyFont="1" applyFill="1" applyBorder="1" applyAlignment="1">
      <alignment horizontal="center"/>
    </xf>
    <xf numFmtId="10" fontId="0" fillId="0" borderId="0" xfId="0" applyNumberFormat="1" applyFill="1" applyBorder="1"/>
    <xf numFmtId="10" fontId="11" fillId="0" borderId="0" xfId="0" applyNumberFormat="1" applyFont="1" applyFill="1" applyBorder="1"/>
    <xf numFmtId="10" fontId="0" fillId="0" borderId="0" xfId="0" applyNumberFormat="1" applyFill="1"/>
    <xf numFmtId="10" fontId="0" fillId="0" borderId="0" xfId="0" applyNumberFormat="1" applyFill="1" applyBorder="1" applyAlignment="1"/>
    <xf numFmtId="9" fontId="0" fillId="0" borderId="0" xfId="0" applyNumberFormat="1" applyFill="1" applyBorder="1"/>
    <xf numFmtId="10" fontId="0" fillId="0" borderId="2" xfId="0" applyNumberFormat="1" applyFill="1" applyBorder="1"/>
    <xf numFmtId="173" fontId="15" fillId="0" borderId="0" xfId="0" applyFont="1"/>
    <xf numFmtId="49" fontId="0" fillId="0" borderId="0" xfId="0" applyNumberFormat="1"/>
    <xf numFmtId="173" fontId="8" fillId="0" borderId="5" xfId="0" applyFont="1" applyFill="1" applyBorder="1"/>
    <xf numFmtId="173" fontId="11" fillId="0" borderId="12" xfId="0" applyFont="1" applyFill="1" applyBorder="1"/>
    <xf numFmtId="164" fontId="0" fillId="0" borderId="12" xfId="0" applyNumberFormat="1" applyFill="1" applyBorder="1"/>
    <xf numFmtId="173" fontId="0" fillId="0" borderId="5" xfId="0" applyFill="1" applyBorder="1"/>
    <xf numFmtId="173" fontId="0" fillId="0" borderId="12" xfId="0" applyFill="1" applyBorder="1"/>
    <xf numFmtId="173" fontId="0" fillId="0" borderId="8" xfId="0" applyFill="1" applyBorder="1"/>
    <xf numFmtId="173" fontId="0" fillId="0" borderId="9" xfId="0" applyFill="1" applyBorder="1"/>
    <xf numFmtId="10" fontId="0" fillId="0" borderId="9" xfId="0" applyNumberFormat="1" applyFill="1" applyBorder="1"/>
    <xf numFmtId="173" fontId="8" fillId="0" borderId="31" xfId="0" applyFont="1" applyFill="1" applyBorder="1"/>
    <xf numFmtId="173" fontId="8" fillId="0" borderId="32" xfId="0" applyFont="1" applyFill="1" applyBorder="1"/>
    <xf numFmtId="173" fontId="8" fillId="0" borderId="28" xfId="0" applyFont="1" applyFill="1" applyBorder="1"/>
    <xf numFmtId="164" fontId="8" fillId="0" borderId="28" xfId="0" applyNumberFormat="1" applyFont="1" applyFill="1" applyBorder="1"/>
    <xf numFmtId="10" fontId="8" fillId="0" borderId="29" xfId="0" applyNumberFormat="1" applyFont="1" applyFill="1" applyBorder="1"/>
    <xf numFmtId="173" fontId="8" fillId="0" borderId="23" xfId="0" applyFont="1" applyFill="1" applyBorder="1"/>
    <xf numFmtId="173" fontId="8" fillId="0" borderId="9" xfId="0" applyFont="1" applyFill="1" applyBorder="1" applyAlignment="1">
      <alignment horizontal="center"/>
    </xf>
    <xf numFmtId="164" fontId="8" fillId="0" borderId="9" xfId="0" applyNumberFormat="1" applyFont="1" applyFill="1" applyBorder="1"/>
    <xf numFmtId="10" fontId="8" fillId="0" borderId="9" xfId="0" applyNumberFormat="1" applyFont="1" applyFill="1" applyBorder="1"/>
    <xf numFmtId="10" fontId="0" fillId="0" borderId="17" xfId="0" applyNumberFormat="1" applyFill="1" applyBorder="1"/>
    <xf numFmtId="173" fontId="8" fillId="0" borderId="0" xfId="0" applyFont="1" applyFill="1" applyBorder="1" applyAlignment="1">
      <alignment horizontal="center"/>
    </xf>
    <xf numFmtId="10" fontId="0" fillId="0" borderId="1" xfId="0" applyNumberFormat="1" applyFill="1" applyBorder="1"/>
    <xf numFmtId="164" fontId="0" fillId="0" borderId="0" xfId="0" applyNumberFormat="1" applyFill="1" applyBorder="1"/>
    <xf numFmtId="173" fontId="0" fillId="0" borderId="1" xfId="0" applyFill="1" applyBorder="1"/>
    <xf numFmtId="173" fontId="10" fillId="0" borderId="2" xfId="0" applyFont="1" applyFill="1" applyBorder="1"/>
    <xf numFmtId="164" fontId="10" fillId="0" borderId="0" xfId="0" applyNumberFormat="1" applyFont="1" applyFill="1" applyBorder="1"/>
    <xf numFmtId="3" fontId="0" fillId="0" borderId="0" xfId="0" applyNumberFormat="1" applyFill="1" applyBorder="1"/>
    <xf numFmtId="173" fontId="8" fillId="0" borderId="33" xfId="0" applyFont="1" applyFill="1" applyBorder="1"/>
    <xf numFmtId="173" fontId="0" fillId="0" borderId="18" xfId="0" applyFill="1" applyBorder="1"/>
    <xf numFmtId="164" fontId="8" fillId="0" borderId="18" xfId="0" applyNumberFormat="1" applyFont="1" applyFill="1" applyBorder="1"/>
    <xf numFmtId="164" fontId="0" fillId="0" borderId="18" xfId="0" applyNumberFormat="1" applyFill="1" applyBorder="1"/>
    <xf numFmtId="10" fontId="0" fillId="0" borderId="18" xfId="0" applyNumberFormat="1" applyFill="1" applyBorder="1"/>
    <xf numFmtId="10" fontId="0" fillId="0" borderId="34" xfId="0" applyNumberFormat="1" applyFill="1" applyBorder="1"/>
    <xf numFmtId="164" fontId="9" fillId="0" borderId="0" xfId="0" applyNumberFormat="1" applyFont="1" applyFill="1" applyBorder="1"/>
    <xf numFmtId="173" fontId="0" fillId="0" borderId="33" xfId="0" applyFill="1" applyBorder="1"/>
    <xf numFmtId="173" fontId="8" fillId="7" borderId="33" xfId="0" applyFont="1" applyFill="1" applyBorder="1"/>
    <xf numFmtId="173" fontId="8" fillId="7" borderId="18" xfId="0" applyFont="1" applyFill="1" applyBorder="1"/>
    <xf numFmtId="164" fontId="8" fillId="7" borderId="18" xfId="0" applyNumberFormat="1" applyFont="1" applyFill="1" applyBorder="1"/>
    <xf numFmtId="173" fontId="8" fillId="7" borderId="15" xfId="0" applyFont="1" applyFill="1" applyBorder="1"/>
    <xf numFmtId="173" fontId="8" fillId="3" borderId="6" xfId="0" applyFont="1" applyFill="1" applyBorder="1" applyAlignment="1">
      <alignment horizontal="center"/>
    </xf>
    <xf numFmtId="164" fontId="8" fillId="3" borderId="6" xfId="0" applyNumberFormat="1" applyFont="1" applyFill="1" applyBorder="1" applyAlignment="1">
      <alignment horizontal="center"/>
    </xf>
    <xf numFmtId="173" fontId="0" fillId="3" borderId="6" xfId="0" applyFill="1" applyBorder="1" applyAlignment="1">
      <alignment horizontal="center"/>
    </xf>
    <xf numFmtId="173" fontId="8" fillId="3" borderId="35" xfId="0" applyFont="1" applyFill="1" applyBorder="1" applyAlignment="1">
      <alignment horizontal="center"/>
    </xf>
    <xf numFmtId="173" fontId="8" fillId="3" borderId="7" xfId="0" applyFont="1" applyFill="1" applyBorder="1" applyAlignment="1">
      <alignment horizontal="center"/>
    </xf>
    <xf numFmtId="164" fontId="8" fillId="3" borderId="7" xfId="0" applyNumberFormat="1" applyFont="1" applyFill="1" applyBorder="1" applyAlignment="1">
      <alignment horizontal="center"/>
    </xf>
    <xf numFmtId="173" fontId="8" fillId="3" borderId="22" xfId="0" applyFont="1" applyFill="1" applyBorder="1" applyAlignment="1">
      <alignment horizontal="center"/>
    </xf>
    <xf numFmtId="49" fontId="8" fillId="11" borderId="36" xfId="0" applyNumberFormat="1" applyFont="1" applyFill="1" applyBorder="1"/>
    <xf numFmtId="173" fontId="8" fillId="11" borderId="10" xfId="0" applyFont="1" applyFill="1" applyBorder="1"/>
    <xf numFmtId="173" fontId="0" fillId="11" borderId="10" xfId="0" applyFill="1" applyBorder="1"/>
    <xf numFmtId="49" fontId="8" fillId="11" borderId="13" xfId="0" applyNumberFormat="1" applyFont="1" applyFill="1" applyBorder="1" applyAlignment="1">
      <alignment horizontal="left"/>
    </xf>
    <xf numFmtId="173" fontId="8" fillId="11" borderId="14" xfId="0" applyFont="1" applyFill="1" applyBorder="1"/>
    <xf numFmtId="49" fontId="8" fillId="11" borderId="37" xfId="0" applyNumberFormat="1" applyFont="1" applyFill="1" applyBorder="1" applyAlignment="1">
      <alignment horizontal="left"/>
    </xf>
    <xf numFmtId="173" fontId="8" fillId="11" borderId="28" xfId="0" applyFont="1" applyFill="1" applyBorder="1"/>
    <xf numFmtId="9" fontId="0" fillId="0" borderId="0" xfId="0" applyNumberFormat="1" applyAlignment="1">
      <alignment horizontal="center"/>
    </xf>
    <xf numFmtId="173" fontId="8" fillId="3" borderId="25" xfId="0" applyFont="1" applyFill="1" applyBorder="1"/>
    <xf numFmtId="173" fontId="8" fillId="3" borderId="30" xfId="0" applyFont="1" applyFill="1" applyBorder="1"/>
    <xf numFmtId="173" fontId="8" fillId="4" borderId="38" xfId="0" applyFont="1" applyFill="1" applyBorder="1" applyAlignment="1">
      <alignment horizontal="center"/>
    </xf>
    <xf numFmtId="173" fontId="8" fillId="4" borderId="39" xfId="0" applyFont="1" applyFill="1" applyBorder="1" applyAlignment="1">
      <alignment horizontal="center"/>
    </xf>
    <xf numFmtId="173" fontId="8" fillId="5" borderId="11" xfId="0" applyFont="1" applyFill="1" applyBorder="1" applyAlignment="1">
      <alignment horizontal="center"/>
    </xf>
    <xf numFmtId="173" fontId="8" fillId="5" borderId="40" xfId="0" applyFont="1" applyFill="1" applyBorder="1" applyAlignment="1">
      <alignment horizontal="center"/>
    </xf>
    <xf numFmtId="9" fontId="0" fillId="4" borderId="29" xfId="0" applyNumberFormat="1" applyFill="1" applyBorder="1" applyAlignment="1">
      <alignment horizontal="center"/>
    </xf>
    <xf numFmtId="9" fontId="0" fillId="5" borderId="43" xfId="0" applyNumberFormat="1" applyFill="1" applyBorder="1" applyAlignment="1">
      <alignment horizontal="center"/>
    </xf>
    <xf numFmtId="9" fontId="0" fillId="5" borderId="44" xfId="0" applyNumberFormat="1" applyFill="1" applyBorder="1" applyAlignment="1">
      <alignment horizontal="center"/>
    </xf>
    <xf numFmtId="9" fontId="0" fillId="5" borderId="45" xfId="0" applyNumberFormat="1" applyFill="1" applyBorder="1" applyAlignment="1">
      <alignment horizontal="center"/>
    </xf>
    <xf numFmtId="10" fontId="0" fillId="4" borderId="2" xfId="0" applyNumberFormat="1" applyFill="1" applyBorder="1"/>
    <xf numFmtId="173" fontId="0" fillId="4" borderId="14" xfId="0" applyFill="1" applyBorder="1"/>
    <xf numFmtId="173" fontId="0" fillId="4" borderId="46" xfId="0" applyFill="1" applyBorder="1"/>
    <xf numFmtId="173" fontId="8" fillId="4" borderId="47" xfId="0" applyFont="1" applyFill="1" applyBorder="1" applyAlignment="1">
      <alignment horizontal="center"/>
    </xf>
    <xf numFmtId="173" fontId="8" fillId="4" borderId="40" xfId="0" applyFont="1" applyFill="1" applyBorder="1" applyAlignment="1">
      <alignment horizontal="center"/>
    </xf>
    <xf numFmtId="10" fontId="0" fillId="4" borderId="48" xfId="0" applyNumberFormat="1" applyFill="1" applyBorder="1"/>
    <xf numFmtId="173" fontId="0" fillId="4" borderId="49" xfId="0" applyFill="1" applyBorder="1"/>
    <xf numFmtId="173" fontId="0" fillId="4" borderId="50" xfId="0" applyFill="1" applyBorder="1"/>
    <xf numFmtId="173" fontId="0" fillId="4" borderId="51" xfId="0" applyFill="1" applyBorder="1"/>
    <xf numFmtId="9" fontId="0" fillId="4" borderId="44" xfId="0" applyNumberFormat="1" applyFill="1" applyBorder="1"/>
    <xf numFmtId="9" fontId="0" fillId="4" borderId="45" xfId="0" applyNumberFormat="1" applyFill="1" applyBorder="1"/>
    <xf numFmtId="173" fontId="8" fillId="4" borderId="52" xfId="0" applyFont="1" applyFill="1" applyBorder="1" applyAlignment="1">
      <alignment horizontal="center"/>
    </xf>
    <xf numFmtId="173" fontId="8" fillId="4" borderId="53" xfId="0" applyFont="1" applyFill="1" applyBorder="1" applyAlignment="1">
      <alignment horizontal="center"/>
    </xf>
    <xf numFmtId="173" fontId="0" fillId="4" borderId="54" xfId="0" applyFill="1" applyBorder="1"/>
    <xf numFmtId="173" fontId="0" fillId="4" borderId="55" xfId="0" applyFill="1" applyBorder="1"/>
    <xf numFmtId="173" fontId="0" fillId="4" borderId="56" xfId="0" applyFill="1" applyBorder="1"/>
    <xf numFmtId="173" fontId="0" fillId="4" borderId="57" xfId="0" applyFill="1" applyBorder="1"/>
    <xf numFmtId="173" fontId="0" fillId="4" borderId="58" xfId="0" applyFill="1" applyBorder="1"/>
    <xf numFmtId="173" fontId="0" fillId="4" borderId="59" xfId="0" applyFill="1" applyBorder="1"/>
    <xf numFmtId="173" fontId="0" fillId="4" borderId="13" xfId="0" applyFill="1" applyBorder="1"/>
    <xf numFmtId="173" fontId="0" fillId="4" borderId="27" xfId="0" applyFill="1" applyBorder="1"/>
    <xf numFmtId="9" fontId="0" fillId="4" borderId="61" xfId="0" applyNumberFormat="1" applyFill="1" applyBorder="1"/>
    <xf numFmtId="9" fontId="0" fillId="4" borderId="62" xfId="0" applyNumberFormat="1" applyFill="1" applyBorder="1"/>
    <xf numFmtId="9" fontId="0" fillId="4" borderId="15" xfId="0" applyNumberFormat="1" applyFill="1" applyBorder="1"/>
    <xf numFmtId="173" fontId="9" fillId="0" borderId="9" xfId="0" applyFont="1" applyFill="1" applyBorder="1"/>
    <xf numFmtId="173" fontId="0" fillId="4" borderId="63" xfId="0" applyFill="1" applyBorder="1"/>
    <xf numFmtId="173" fontId="0" fillId="4" borderId="64" xfId="0" applyFill="1" applyBorder="1"/>
    <xf numFmtId="173" fontId="0" fillId="4" borderId="65" xfId="0" applyFill="1" applyBorder="1"/>
    <xf numFmtId="10" fontId="0" fillId="4" borderId="13" xfId="0" applyNumberFormat="1" applyFill="1" applyBorder="1"/>
    <xf numFmtId="9" fontId="0" fillId="4" borderId="61" xfId="0" applyNumberFormat="1" applyFill="1" applyBorder="1" applyAlignment="1">
      <alignment horizontal="center"/>
    </xf>
    <xf numFmtId="9" fontId="0" fillId="4" borderId="66" xfId="0" applyNumberFormat="1" applyFill="1" applyBorder="1" applyAlignment="1">
      <alignment horizontal="center"/>
    </xf>
    <xf numFmtId="9" fontId="0" fillId="4" borderId="62" xfId="0" applyNumberFormat="1" applyFill="1" applyBorder="1" applyAlignment="1">
      <alignment horizontal="center"/>
    </xf>
    <xf numFmtId="9" fontId="0" fillId="4" borderId="15" xfId="0" applyNumberFormat="1" applyFill="1" applyBorder="1" applyAlignment="1">
      <alignment horizontal="center"/>
    </xf>
    <xf numFmtId="173" fontId="0" fillId="0" borderId="26" xfId="0" applyFill="1" applyBorder="1"/>
    <xf numFmtId="173" fontId="0" fillId="0" borderId="26" xfId="0" applyFill="1" applyBorder="1" applyAlignment="1">
      <alignment horizontal="center"/>
    </xf>
    <xf numFmtId="173" fontId="0" fillId="0" borderId="26" xfId="0" applyBorder="1" applyAlignment="1">
      <alignment horizontal="center"/>
    </xf>
    <xf numFmtId="173" fontId="0" fillId="3" borderId="64" xfId="0" applyFill="1" applyBorder="1" applyAlignment="1">
      <alignment horizontal="center"/>
    </xf>
    <xf numFmtId="9" fontId="0" fillId="4" borderId="40" xfId="0" applyNumberFormat="1" applyFill="1" applyBorder="1" applyAlignment="1">
      <alignment horizontal="center"/>
    </xf>
    <xf numFmtId="9" fontId="0" fillId="0" borderId="0" xfId="0" applyNumberFormat="1" applyFill="1"/>
    <xf numFmtId="164" fontId="8" fillId="0" borderId="0" xfId="0" applyNumberFormat="1" applyFont="1"/>
    <xf numFmtId="173" fontId="0" fillId="0" borderId="0" xfId="0" applyFill="1" applyBorder="1" applyAlignment="1">
      <alignment horizontal="center"/>
    </xf>
    <xf numFmtId="164" fontId="8" fillId="0" borderId="9" xfId="0" applyNumberFormat="1" applyFont="1" applyFill="1" applyBorder="1" applyAlignment="1">
      <alignment horizontal="center"/>
    </xf>
    <xf numFmtId="164" fontId="8" fillId="0" borderId="0" xfId="0" applyNumberFormat="1" applyFont="1" applyFill="1" applyBorder="1" applyAlignment="1">
      <alignment horizontal="center"/>
    </xf>
    <xf numFmtId="164" fontId="0" fillId="0" borderId="0" xfId="0" applyNumberFormat="1" applyFill="1" applyBorder="1" applyAlignment="1">
      <alignment horizontal="center"/>
    </xf>
    <xf numFmtId="164" fontId="0" fillId="0" borderId="18" xfId="0" applyNumberFormat="1" applyFill="1" applyBorder="1" applyAlignment="1">
      <alignment horizontal="center"/>
    </xf>
    <xf numFmtId="173" fontId="0" fillId="0" borderId="0" xfId="0" applyBorder="1" applyAlignment="1">
      <alignment horizontal="center"/>
    </xf>
    <xf numFmtId="164" fontId="0" fillId="0" borderId="0" xfId="0" applyNumberFormat="1" applyBorder="1" applyAlignment="1">
      <alignment horizontal="center"/>
    </xf>
    <xf numFmtId="10" fontId="0" fillId="0" borderId="0" xfId="0" applyNumberFormat="1" applyBorder="1" applyAlignment="1">
      <alignment horizontal="center"/>
    </xf>
    <xf numFmtId="173" fontId="8" fillId="0" borderId="0" xfId="0" applyFont="1" applyBorder="1" applyAlignment="1">
      <alignment horizontal="center"/>
    </xf>
    <xf numFmtId="10" fontId="0" fillId="0" borderId="0" xfId="0" applyNumberFormat="1" applyAlignment="1">
      <alignment horizontal="center"/>
    </xf>
    <xf numFmtId="173" fontId="11" fillId="0" borderId="67" xfId="0" applyFont="1" applyFill="1" applyBorder="1"/>
    <xf numFmtId="173" fontId="0" fillId="0" borderId="67" xfId="0" applyFill="1" applyBorder="1"/>
    <xf numFmtId="173" fontId="8" fillId="0" borderId="68" xfId="0" applyFont="1" applyFill="1" applyBorder="1"/>
    <xf numFmtId="173" fontId="8" fillId="11" borderId="69" xfId="0" applyFont="1" applyFill="1" applyBorder="1"/>
    <xf numFmtId="173" fontId="8" fillId="0" borderId="26" xfId="0" applyFont="1" applyBorder="1" applyAlignment="1">
      <alignment horizontal="center"/>
    </xf>
    <xf numFmtId="173" fontId="0" fillId="0" borderId="70" xfId="0" applyBorder="1"/>
    <xf numFmtId="173" fontId="8" fillId="0" borderId="25" xfId="0" applyFont="1" applyBorder="1" applyAlignment="1"/>
    <xf numFmtId="173" fontId="8" fillId="0" borderId="4" xfId="0" applyFont="1" applyBorder="1" applyAlignment="1">
      <alignment horizontal="center"/>
    </xf>
    <xf numFmtId="173" fontId="8" fillId="0" borderId="22" xfId="0" applyFont="1" applyBorder="1" applyAlignment="1">
      <alignment horizontal="center"/>
    </xf>
    <xf numFmtId="173" fontId="0" fillId="4" borderId="17" xfId="0" applyFill="1" applyBorder="1" applyAlignment="1">
      <alignment horizontal="center"/>
    </xf>
    <xf numFmtId="173" fontId="0" fillId="4" borderId="66" xfId="0" applyFill="1" applyBorder="1"/>
    <xf numFmtId="173" fontId="0" fillId="0" borderId="5" xfId="0" applyBorder="1" applyAlignment="1">
      <alignment horizontal="center"/>
    </xf>
    <xf numFmtId="173" fontId="0" fillId="0" borderId="12" xfId="0" applyBorder="1" applyAlignment="1">
      <alignment horizontal="center"/>
    </xf>
    <xf numFmtId="173" fontId="0" fillId="0" borderId="70" xfId="0" applyBorder="1" applyAlignment="1">
      <alignment horizontal="center"/>
    </xf>
    <xf numFmtId="173" fontId="0" fillId="0" borderId="4" xfId="0" applyBorder="1" applyAlignment="1">
      <alignment horizontal="center"/>
    </xf>
    <xf numFmtId="173" fontId="0" fillId="0" borderId="7" xfId="0" applyBorder="1" applyAlignment="1">
      <alignment horizontal="center"/>
    </xf>
    <xf numFmtId="173" fontId="0" fillId="0" borderId="22" xfId="0" applyBorder="1" applyAlignment="1">
      <alignment horizontal="center"/>
    </xf>
    <xf numFmtId="173" fontId="0" fillId="0" borderId="4" xfId="0" applyFill="1" applyBorder="1" applyAlignment="1">
      <alignment horizontal="center"/>
    </xf>
    <xf numFmtId="173" fontId="0" fillId="0" borderId="22" xfId="0" applyFill="1" applyBorder="1" applyAlignment="1">
      <alignment horizontal="center"/>
    </xf>
    <xf numFmtId="173" fontId="0" fillId="0" borderId="26" xfId="0" applyBorder="1"/>
    <xf numFmtId="173" fontId="0" fillId="0" borderId="26" xfId="0" applyBorder="1" applyAlignment="1">
      <alignment horizontal="left" vertical="center" wrapText="1"/>
    </xf>
    <xf numFmtId="173" fontId="0" fillId="0" borderId="26" xfId="0" applyBorder="1" applyAlignment="1">
      <alignment horizontal="center" vertical="center" wrapText="1"/>
    </xf>
    <xf numFmtId="173" fontId="0" fillId="0" borderId="25" xfId="0" applyBorder="1" applyAlignment="1">
      <alignment horizontal="left" vertical="center" wrapText="1"/>
    </xf>
    <xf numFmtId="173" fontId="0" fillId="0" borderId="25" xfId="0" applyBorder="1" applyAlignment="1">
      <alignment horizontal="center"/>
    </xf>
    <xf numFmtId="164" fontId="8" fillId="0" borderId="18" xfId="0" applyNumberFormat="1" applyFont="1" applyFill="1" applyBorder="1" applyAlignment="1">
      <alignment horizontal="center"/>
    </xf>
    <xf numFmtId="173" fontId="10" fillId="0" borderId="0" xfId="0" applyFont="1" applyFill="1" applyBorder="1"/>
    <xf numFmtId="1" fontId="0" fillId="0" borderId="0" xfId="0" applyNumberFormat="1" applyFill="1" applyBorder="1" applyAlignment="1">
      <alignment horizontal="center"/>
    </xf>
    <xf numFmtId="9" fontId="0" fillId="0" borderId="0" xfId="0" applyNumberFormat="1" applyFill="1" applyBorder="1" applyAlignment="1">
      <alignment horizontal="center"/>
    </xf>
    <xf numFmtId="173" fontId="8" fillId="3" borderId="12" xfId="0" applyFont="1" applyFill="1" applyBorder="1" applyAlignment="1">
      <alignment horizontal="center"/>
    </xf>
    <xf numFmtId="164" fontId="8" fillId="3" borderId="12" xfId="0" applyNumberFormat="1" applyFont="1" applyFill="1" applyBorder="1" applyAlignment="1">
      <alignment horizontal="center"/>
    </xf>
    <xf numFmtId="173" fontId="0" fillId="3" borderId="12" xfId="0" applyFill="1" applyBorder="1" applyAlignment="1">
      <alignment horizontal="center"/>
    </xf>
    <xf numFmtId="173" fontId="8" fillId="3" borderId="70" xfId="0" applyFont="1" applyFill="1" applyBorder="1" applyAlignment="1">
      <alignment horizontal="center"/>
    </xf>
    <xf numFmtId="173" fontId="0" fillId="3" borderId="71" xfId="0" applyFill="1" applyBorder="1"/>
    <xf numFmtId="173" fontId="8" fillId="3" borderId="16" xfId="0" applyFont="1" applyFill="1" applyBorder="1" applyAlignment="1">
      <alignment horizontal="center"/>
    </xf>
    <xf numFmtId="173" fontId="8" fillId="3" borderId="72" xfId="0" applyFont="1" applyFill="1" applyBorder="1" applyAlignment="1">
      <alignment horizontal="center"/>
    </xf>
    <xf numFmtId="173" fontId="8" fillId="3" borderId="55" xfId="0" applyFont="1" applyFill="1" applyBorder="1" applyAlignment="1">
      <alignment horizontal="center"/>
    </xf>
    <xf numFmtId="164" fontId="0" fillId="0" borderId="12" xfId="0" applyNumberFormat="1" applyFill="1" applyBorder="1" applyAlignment="1">
      <alignment horizontal="right"/>
    </xf>
    <xf numFmtId="164" fontId="8" fillId="0" borderId="0" xfId="0" applyNumberFormat="1" applyFont="1" applyFill="1" applyBorder="1" applyAlignment="1">
      <alignment horizontal="right"/>
    </xf>
    <xf numFmtId="164" fontId="8" fillId="7" borderId="18" xfId="0" applyNumberFormat="1" applyFont="1" applyFill="1" applyBorder="1" applyAlignment="1">
      <alignment horizontal="center"/>
    </xf>
    <xf numFmtId="164" fontId="8" fillId="0" borderId="14" xfId="0" applyNumberFormat="1" applyFont="1" applyBorder="1" applyAlignment="1">
      <alignment horizontal="center"/>
    </xf>
    <xf numFmtId="164" fontId="0" fillId="0" borderId="12" xfId="0" applyNumberFormat="1" applyFill="1" applyBorder="1" applyAlignment="1">
      <alignment horizontal="center"/>
    </xf>
    <xf numFmtId="164" fontId="10" fillId="0" borderId="0" xfId="0" applyNumberFormat="1" applyFont="1" applyFill="1" applyBorder="1" applyAlignment="1">
      <alignment horizontal="center"/>
    </xf>
    <xf numFmtId="3" fontId="0" fillId="0" borderId="0" xfId="0" applyNumberFormat="1" applyFill="1" applyBorder="1" applyAlignment="1">
      <alignment horizontal="center"/>
    </xf>
    <xf numFmtId="164" fontId="0" fillId="0" borderId="26" xfId="0" applyNumberFormat="1" applyFill="1" applyBorder="1" applyAlignment="1">
      <alignment horizontal="center"/>
    </xf>
    <xf numFmtId="164" fontId="0" fillId="0" borderId="25" xfId="0" applyNumberFormat="1" applyBorder="1" applyAlignment="1">
      <alignment horizontal="center"/>
    </xf>
    <xf numFmtId="164" fontId="0" fillId="0" borderId="26" xfId="0" applyNumberFormat="1" applyBorder="1"/>
    <xf numFmtId="165" fontId="8" fillId="0" borderId="0" xfId="0" applyNumberFormat="1" applyFont="1" applyBorder="1" applyAlignment="1">
      <alignment horizontal="center"/>
    </xf>
    <xf numFmtId="164" fontId="8" fillId="0" borderId="73" xfId="0" applyNumberFormat="1" applyFont="1" applyFill="1" applyBorder="1" applyAlignment="1">
      <alignment horizontal="center"/>
    </xf>
    <xf numFmtId="164" fontId="8" fillId="0" borderId="9" xfId="0" applyNumberFormat="1" applyFont="1" applyFill="1" applyBorder="1" applyAlignment="1">
      <alignment horizontal="right"/>
    </xf>
    <xf numFmtId="49" fontId="11" fillId="0" borderId="0" xfId="0" applyNumberFormat="1" applyFont="1" applyFill="1" applyBorder="1" applyAlignment="1">
      <alignment horizontal="left"/>
    </xf>
    <xf numFmtId="173" fontId="10" fillId="0" borderId="0" xfId="0" applyFont="1"/>
    <xf numFmtId="49" fontId="0" fillId="9" borderId="0" xfId="0" applyNumberFormat="1" applyFill="1" applyAlignment="1">
      <alignment horizontal="center"/>
    </xf>
    <xf numFmtId="164" fontId="0" fillId="0" borderId="74" xfId="0" applyNumberFormat="1" applyBorder="1"/>
    <xf numFmtId="164" fontId="0" fillId="9" borderId="75" xfId="0" applyNumberFormat="1" applyFill="1" applyBorder="1"/>
    <xf numFmtId="164" fontId="0" fillId="9" borderId="75" xfId="0" applyNumberFormat="1" applyFill="1" applyBorder="1" applyAlignment="1">
      <alignment horizontal="center"/>
    </xf>
    <xf numFmtId="164" fontId="0" fillId="0" borderId="75" xfId="0" applyNumberFormat="1" applyBorder="1"/>
    <xf numFmtId="164" fontId="0" fillId="5" borderId="74" xfId="0" applyNumberFormat="1" applyFill="1" applyBorder="1"/>
    <xf numFmtId="164" fontId="0" fillId="5" borderId="74" xfId="0" applyNumberFormat="1" applyFill="1" applyBorder="1" applyAlignment="1">
      <alignment horizontal="center"/>
    </xf>
    <xf numFmtId="164" fontId="0" fillId="2" borderId="75" xfId="0" applyNumberFormat="1" applyFill="1" applyBorder="1" applyAlignment="1">
      <alignment horizontal="center"/>
    </xf>
    <xf numFmtId="164" fontId="0" fillId="10" borderId="75" xfId="0" applyNumberFormat="1" applyFill="1" applyBorder="1" applyAlignment="1">
      <alignment horizontal="center"/>
    </xf>
    <xf numFmtId="164" fontId="0" fillId="0" borderId="75" xfId="0" applyNumberFormat="1" applyFill="1" applyBorder="1" applyAlignment="1">
      <alignment horizontal="center"/>
    </xf>
    <xf numFmtId="164" fontId="0" fillId="0" borderId="75" xfId="0" applyNumberFormat="1" applyBorder="1" applyAlignment="1">
      <alignment horizontal="right"/>
    </xf>
    <xf numFmtId="10" fontId="0" fillId="0" borderId="76" xfId="0" applyNumberFormat="1" applyBorder="1"/>
    <xf numFmtId="164" fontId="0" fillId="4" borderId="76" xfId="0" applyNumberFormat="1" applyFill="1" applyBorder="1" applyAlignment="1">
      <alignment horizontal="center"/>
    </xf>
    <xf numFmtId="164" fontId="0" fillId="7" borderId="0" xfId="0" applyNumberFormat="1" applyFill="1" applyBorder="1" applyAlignment="1">
      <alignment horizontal="center"/>
    </xf>
    <xf numFmtId="164" fontId="0" fillId="8" borderId="74" xfId="0" applyNumberFormat="1" applyFill="1" applyBorder="1" applyAlignment="1">
      <alignment horizontal="center"/>
    </xf>
    <xf numFmtId="164" fontId="0" fillId="4" borderId="76" xfId="0" applyNumberFormat="1" applyFill="1" applyBorder="1"/>
    <xf numFmtId="164" fontId="0" fillId="0" borderId="76" xfId="0" applyNumberFormat="1" applyBorder="1"/>
    <xf numFmtId="167" fontId="7" fillId="0" borderId="0" xfId="2" applyNumberFormat="1" applyFill="1"/>
    <xf numFmtId="164" fontId="0" fillId="0" borderId="5" xfId="0" applyNumberFormat="1" applyFill="1" applyBorder="1"/>
    <xf numFmtId="164" fontId="8" fillId="0" borderId="0" xfId="0" applyNumberFormat="1" applyFont="1" applyFill="1" applyBorder="1" applyAlignment="1">
      <alignment horizontal="left"/>
    </xf>
    <xf numFmtId="164" fontId="8" fillId="2" borderId="1" xfId="0" applyNumberFormat="1" applyFont="1" applyFill="1" applyBorder="1" applyAlignment="1">
      <alignment horizontal="center"/>
    </xf>
    <xf numFmtId="164" fontId="0" fillId="0" borderId="1" xfId="0" applyNumberFormat="1" applyBorder="1"/>
    <xf numFmtId="164" fontId="8" fillId="0" borderId="1" xfId="0" applyNumberFormat="1" applyFont="1" applyFill="1" applyBorder="1"/>
    <xf numFmtId="164" fontId="11" fillId="0" borderId="1" xfId="0" applyNumberFormat="1" applyFont="1" applyFill="1" applyBorder="1"/>
    <xf numFmtId="164" fontId="8" fillId="0" borderId="15" xfId="0" applyNumberFormat="1" applyFont="1" applyBorder="1"/>
    <xf numFmtId="164" fontId="0" fillId="0" borderId="2" xfId="0" applyNumberFormat="1" applyBorder="1"/>
    <xf numFmtId="2" fontId="0" fillId="0" borderId="0" xfId="0" applyNumberFormat="1"/>
    <xf numFmtId="173" fontId="8" fillId="0" borderId="23" xfId="0" applyFont="1" applyBorder="1"/>
    <xf numFmtId="173" fontId="0" fillId="0" borderId="33" xfId="0" applyBorder="1"/>
    <xf numFmtId="173" fontId="0" fillId="0" borderId="18" xfId="0" applyBorder="1"/>
    <xf numFmtId="164" fontId="0" fillId="0" borderId="1" xfId="0" applyNumberFormat="1" applyFill="1" applyBorder="1"/>
    <xf numFmtId="166" fontId="0" fillId="0" borderId="0" xfId="0" applyNumberFormat="1" applyFill="1" applyBorder="1"/>
    <xf numFmtId="173" fontId="8" fillId="0" borderId="18" xfId="0" applyFont="1" applyFill="1" applyBorder="1"/>
    <xf numFmtId="173" fontId="0" fillId="10" borderId="9" xfId="0" applyFill="1" applyBorder="1" applyAlignment="1">
      <alignment horizontal="right"/>
    </xf>
    <xf numFmtId="173" fontId="0" fillId="10" borderId="4" xfId="0" applyFill="1" applyBorder="1" applyAlignment="1">
      <alignment horizontal="right"/>
    </xf>
    <xf numFmtId="173" fontId="0" fillId="10" borderId="7" xfId="0" applyFill="1" applyBorder="1" applyAlignment="1">
      <alignment horizontal="right"/>
    </xf>
    <xf numFmtId="173" fontId="0" fillId="10" borderId="16" xfId="0" applyFill="1" applyBorder="1" applyAlignment="1">
      <alignment horizontal="right"/>
    </xf>
    <xf numFmtId="173" fontId="0" fillId="10" borderId="22" xfId="0" applyFill="1" applyBorder="1" applyAlignment="1">
      <alignment horizontal="right"/>
    </xf>
    <xf numFmtId="173" fontId="21" fillId="0" borderId="0" xfId="0" applyFont="1" applyAlignment="1">
      <alignment horizontal="left" vertical="center"/>
    </xf>
    <xf numFmtId="166" fontId="0" fillId="0" borderId="0" xfId="0" applyNumberFormat="1" applyBorder="1"/>
    <xf numFmtId="166" fontId="0" fillId="12" borderId="0" xfId="0" applyNumberFormat="1" applyFill="1" applyBorder="1" applyAlignment="1">
      <alignment horizontal="center"/>
    </xf>
    <xf numFmtId="173" fontId="0" fillId="0" borderId="0" xfId="0" applyBorder="1" applyAlignment="1"/>
    <xf numFmtId="173" fontId="8" fillId="13" borderId="23" xfId="0" applyFont="1" applyFill="1" applyBorder="1" applyAlignment="1">
      <alignment horizontal="center"/>
    </xf>
    <xf numFmtId="173" fontId="8" fillId="13" borderId="2" xfId="0" applyFont="1" applyFill="1" applyBorder="1" applyAlignment="1">
      <alignment horizontal="center"/>
    </xf>
    <xf numFmtId="173" fontId="8" fillId="13" borderId="56" xfId="0" applyFont="1" applyFill="1" applyBorder="1" applyAlignment="1">
      <alignment horizontal="center"/>
    </xf>
    <xf numFmtId="173" fontId="8" fillId="3" borderId="77" xfId="0" applyFont="1" applyFill="1" applyBorder="1" applyAlignment="1">
      <alignment horizontal="left"/>
    </xf>
    <xf numFmtId="173" fontId="0" fillId="3" borderId="9" xfId="0" applyFill="1" applyBorder="1"/>
    <xf numFmtId="173" fontId="0" fillId="0" borderId="26" xfId="0" applyBorder="1" applyAlignment="1">
      <alignment horizontal="center" wrapText="1"/>
    </xf>
    <xf numFmtId="173" fontId="0" fillId="0" borderId="25" xfId="0" applyBorder="1" applyAlignment="1">
      <alignment horizontal="center" wrapText="1"/>
    </xf>
    <xf numFmtId="164" fontId="0" fillId="0" borderId="2" xfId="0" applyNumberFormat="1" applyFill="1" applyBorder="1"/>
    <xf numFmtId="49" fontId="0" fillId="0" borderId="0" xfId="0" applyNumberFormat="1" applyFill="1" applyBorder="1" applyAlignment="1">
      <alignment horizontal="center"/>
    </xf>
    <xf numFmtId="49" fontId="10" fillId="0" borderId="0" xfId="0" applyNumberFormat="1" applyFont="1" applyFill="1" applyBorder="1" applyAlignment="1">
      <alignment horizontal="right"/>
    </xf>
    <xf numFmtId="3" fontId="8" fillId="0" borderId="0" xfId="0" applyNumberFormat="1" applyFont="1"/>
    <xf numFmtId="167" fontId="0" fillId="0" borderId="0" xfId="2" applyNumberFormat="1" applyFont="1"/>
    <xf numFmtId="173" fontId="0" fillId="0" borderId="14" xfId="0" applyFill="1" applyBorder="1"/>
    <xf numFmtId="168" fontId="0" fillId="0" borderId="0" xfId="0" applyNumberFormat="1"/>
    <xf numFmtId="10" fontId="0" fillId="4" borderId="69" xfId="0" applyNumberFormat="1" applyFill="1" applyBorder="1"/>
    <xf numFmtId="173" fontId="0" fillId="4" borderId="9" xfId="0" applyFill="1" applyBorder="1" applyAlignment="1">
      <alignment horizontal="center"/>
    </xf>
    <xf numFmtId="173" fontId="0" fillId="4" borderId="72" xfId="0" applyFill="1" applyBorder="1" applyAlignment="1">
      <alignment horizontal="center"/>
    </xf>
    <xf numFmtId="173" fontId="0" fillId="4" borderId="71" xfId="0" applyFill="1" applyBorder="1" applyAlignment="1">
      <alignment horizontal="center"/>
    </xf>
    <xf numFmtId="173" fontId="0" fillId="4" borderId="57" xfId="0" applyFill="1" applyBorder="1" applyAlignment="1">
      <alignment horizontal="center"/>
    </xf>
    <xf numFmtId="173" fontId="0" fillId="4" borderId="47" xfId="0" applyFill="1" applyBorder="1" applyAlignment="1">
      <alignment horizontal="center"/>
    </xf>
    <xf numFmtId="1" fontId="0" fillId="4" borderId="27" xfId="0" applyNumberFormat="1" applyFill="1" applyBorder="1" applyAlignment="1">
      <alignment horizontal="center"/>
    </xf>
    <xf numFmtId="173" fontId="8" fillId="4" borderId="79" xfId="0" applyFont="1" applyFill="1" applyBorder="1"/>
    <xf numFmtId="173" fontId="8" fillId="4" borderId="80" xfId="0" applyFont="1" applyFill="1" applyBorder="1"/>
    <xf numFmtId="173" fontId="10" fillId="4" borderId="81" xfId="0" applyFont="1" applyFill="1" applyBorder="1"/>
    <xf numFmtId="10" fontId="0" fillId="4" borderId="81" xfId="0" applyNumberFormat="1" applyFill="1" applyBorder="1"/>
    <xf numFmtId="10" fontId="0" fillId="4" borderId="79" xfId="0" applyNumberFormat="1" applyFill="1" applyBorder="1"/>
    <xf numFmtId="10" fontId="0" fillId="4" borderId="82" xfId="0" applyNumberFormat="1" applyFill="1" applyBorder="1"/>
    <xf numFmtId="10" fontId="0" fillId="4" borderId="64" xfId="0" applyNumberFormat="1" applyFill="1" applyBorder="1" applyAlignment="1">
      <alignment horizontal="center"/>
    </xf>
    <xf numFmtId="10" fontId="0" fillId="4" borderId="53" xfId="0" applyNumberFormat="1" applyFill="1" applyBorder="1" applyAlignment="1">
      <alignment horizontal="center"/>
    </xf>
    <xf numFmtId="10" fontId="0" fillId="4" borderId="14" xfId="0" applyNumberFormat="1" applyFill="1" applyBorder="1"/>
    <xf numFmtId="173" fontId="8" fillId="4" borderId="83" xfId="0" applyFont="1" applyFill="1" applyBorder="1" applyAlignment="1">
      <alignment horizontal="center"/>
    </xf>
    <xf numFmtId="173" fontId="0" fillId="4" borderId="84" xfId="0" applyFill="1" applyBorder="1"/>
    <xf numFmtId="10" fontId="0" fillId="4" borderId="85" xfId="0" applyNumberFormat="1" applyFill="1" applyBorder="1"/>
    <xf numFmtId="10" fontId="0" fillId="4" borderId="86" xfId="0" applyNumberFormat="1" applyFill="1" applyBorder="1"/>
    <xf numFmtId="164" fontId="0" fillId="4" borderId="69" xfId="0" applyNumberFormat="1" applyFill="1" applyBorder="1"/>
    <xf numFmtId="173" fontId="0" fillId="4" borderId="87" xfId="0" applyFill="1" applyBorder="1" applyAlignment="1">
      <alignment horizontal="center"/>
    </xf>
    <xf numFmtId="173" fontId="8" fillId="4" borderId="72" xfId="0" applyFont="1" applyFill="1" applyBorder="1" applyAlignment="1">
      <alignment horizontal="center"/>
    </xf>
    <xf numFmtId="173" fontId="8" fillId="4" borderId="17" xfId="0" applyFont="1" applyFill="1" applyBorder="1" applyAlignment="1">
      <alignment horizontal="center"/>
    </xf>
    <xf numFmtId="164" fontId="0" fillId="4" borderId="42" xfId="0" applyNumberFormat="1" applyFill="1" applyBorder="1"/>
    <xf numFmtId="10" fontId="0" fillId="4" borderId="88" xfId="0" applyNumberFormat="1" applyFill="1" applyBorder="1"/>
    <xf numFmtId="10" fontId="0" fillId="4" borderId="89" xfId="0" applyNumberFormat="1" applyFill="1" applyBorder="1"/>
    <xf numFmtId="10" fontId="0" fillId="4" borderId="90" xfId="0" applyNumberFormat="1" applyFill="1" applyBorder="1"/>
    <xf numFmtId="10" fontId="0" fillId="4" borderId="91" xfId="0" applyNumberFormat="1" applyFill="1" applyBorder="1"/>
    <xf numFmtId="10" fontId="0" fillId="4" borderId="92" xfId="0" applyNumberFormat="1" applyFill="1" applyBorder="1"/>
    <xf numFmtId="173" fontId="8" fillId="4" borderId="93" xfId="0" applyFont="1" applyFill="1" applyBorder="1" applyAlignment="1">
      <alignment horizontal="center"/>
    </xf>
    <xf numFmtId="173" fontId="0" fillId="4" borderId="94" xfId="0" applyFill="1" applyBorder="1" applyAlignment="1">
      <alignment horizontal="center"/>
    </xf>
    <xf numFmtId="164" fontId="0" fillId="0" borderId="46" xfId="0" applyNumberFormat="1" applyFill="1" applyBorder="1"/>
    <xf numFmtId="164" fontId="0" fillId="0" borderId="70" xfId="0" applyNumberFormat="1" applyFill="1" applyBorder="1"/>
    <xf numFmtId="173" fontId="0" fillId="0" borderId="17" xfId="0" applyFill="1" applyBorder="1"/>
    <xf numFmtId="164" fontId="0" fillId="0" borderId="46" xfId="0" applyNumberFormat="1" applyFill="1" applyBorder="1" applyAlignment="1">
      <alignment horizontal="right"/>
    </xf>
    <xf numFmtId="164" fontId="0" fillId="0" borderId="67" xfId="0" applyNumberFormat="1" applyFill="1" applyBorder="1" applyAlignment="1">
      <alignment horizontal="right"/>
    </xf>
    <xf numFmtId="173" fontId="0" fillId="0" borderId="46" xfId="0" applyFill="1" applyBorder="1"/>
    <xf numFmtId="164" fontId="11" fillId="0" borderId="26" xfId="0" applyNumberFormat="1" applyFont="1" applyFill="1" applyBorder="1"/>
    <xf numFmtId="167" fontId="0" fillId="0" borderId="46" xfId="2" applyNumberFormat="1" applyFont="1" applyFill="1" applyBorder="1"/>
    <xf numFmtId="167" fontId="0" fillId="0" borderId="12" xfId="2" applyNumberFormat="1" applyFont="1" applyFill="1" applyBorder="1"/>
    <xf numFmtId="167" fontId="0" fillId="0" borderId="67" xfId="2" applyNumberFormat="1" applyFont="1" applyFill="1" applyBorder="1"/>
    <xf numFmtId="167" fontId="10" fillId="0" borderId="5" xfId="2" applyNumberFormat="1" applyFont="1" applyFill="1" applyBorder="1"/>
    <xf numFmtId="167" fontId="10" fillId="0" borderId="12" xfId="2" applyNumberFormat="1" applyFont="1" applyFill="1" applyBorder="1"/>
    <xf numFmtId="167" fontId="10" fillId="0" borderId="0" xfId="2" applyNumberFormat="1" applyFont="1" applyFill="1" applyBorder="1"/>
    <xf numFmtId="164" fontId="8" fillId="0" borderId="26" xfId="0" applyNumberFormat="1" applyFont="1" applyFill="1" applyBorder="1" applyAlignment="1">
      <alignment horizontal="center"/>
    </xf>
    <xf numFmtId="167" fontId="10" fillId="0" borderId="67" xfId="2" applyNumberFormat="1" applyFont="1" applyFill="1" applyBorder="1"/>
    <xf numFmtId="167" fontId="7" fillId="0" borderId="46" xfId="2" applyNumberFormat="1" applyFill="1" applyBorder="1"/>
    <xf numFmtId="167" fontId="7" fillId="0" borderId="12" xfId="2" applyNumberFormat="1" applyFill="1" applyBorder="1"/>
    <xf numFmtId="167" fontId="7" fillId="0" borderId="67" xfId="2" applyNumberFormat="1" applyFill="1" applyBorder="1"/>
    <xf numFmtId="173" fontId="23" fillId="0" borderId="0" xfId="0" applyFont="1" applyFill="1" applyBorder="1" applyAlignment="1">
      <alignment horizontal="center"/>
    </xf>
    <xf numFmtId="173" fontId="24" fillId="0" borderId="2" xfId="0" applyFont="1" applyFill="1" applyBorder="1"/>
    <xf numFmtId="173" fontId="24" fillId="0" borderId="0" xfId="0" applyFont="1" applyFill="1" applyBorder="1" applyAlignment="1">
      <alignment horizontal="center"/>
    </xf>
    <xf numFmtId="164" fontId="24" fillId="0" borderId="0" xfId="0" applyNumberFormat="1" applyFont="1" applyFill="1" applyBorder="1" applyAlignment="1">
      <alignment horizontal="right"/>
    </xf>
    <xf numFmtId="173" fontId="23" fillId="0" borderId="33" xfId="0" applyFont="1" applyFill="1" applyBorder="1"/>
    <xf numFmtId="173" fontId="23" fillId="0" borderId="18" xfId="0" applyFont="1" applyFill="1" applyBorder="1" applyAlignment="1">
      <alignment horizontal="center"/>
    </xf>
    <xf numFmtId="173" fontId="23" fillId="8" borderId="3" xfId="0" applyFont="1" applyFill="1" applyBorder="1"/>
    <xf numFmtId="173" fontId="23" fillId="8" borderId="71" xfId="0" applyFont="1" applyFill="1" applyBorder="1" applyAlignment="1">
      <alignment horizontal="center"/>
    </xf>
    <xf numFmtId="173" fontId="24" fillId="8" borderId="6" xfId="0" applyFont="1" applyFill="1" applyBorder="1" applyAlignment="1">
      <alignment horizontal="center"/>
    </xf>
    <xf numFmtId="173" fontId="23" fillId="8" borderId="6" xfId="0" applyFont="1" applyFill="1" applyBorder="1" applyAlignment="1">
      <alignment horizontal="center"/>
    </xf>
    <xf numFmtId="173" fontId="24" fillId="8" borderId="17" xfId="0" applyFont="1" applyFill="1" applyBorder="1" applyAlignment="1">
      <alignment horizontal="center"/>
    </xf>
    <xf numFmtId="173" fontId="23" fillId="8" borderId="5" xfId="0" applyFont="1" applyFill="1" applyBorder="1"/>
    <xf numFmtId="173" fontId="23" fillId="8" borderId="46" xfId="0" applyFont="1" applyFill="1" applyBorder="1" applyAlignment="1">
      <alignment horizontal="center"/>
    </xf>
    <xf numFmtId="173" fontId="23" fillId="8" borderId="12" xfId="0" applyFont="1" applyFill="1" applyBorder="1" applyAlignment="1">
      <alignment horizontal="center"/>
    </xf>
    <xf numFmtId="173" fontId="24" fillId="8" borderId="12" xfId="0" applyFont="1" applyFill="1" applyBorder="1" applyAlignment="1">
      <alignment horizontal="center"/>
    </xf>
    <xf numFmtId="173" fontId="23" fillId="8" borderId="70" xfId="0" applyFont="1" applyFill="1" applyBorder="1" applyAlignment="1">
      <alignment horizontal="center"/>
    </xf>
    <xf numFmtId="173" fontId="0" fillId="17" borderId="0" xfId="0" applyFill="1"/>
    <xf numFmtId="173" fontId="0" fillId="17" borderId="0" xfId="0" applyFill="1" applyAlignment="1">
      <alignment horizontal="center"/>
    </xf>
    <xf numFmtId="173" fontId="0" fillId="17" borderId="5" xfId="0" applyFill="1" applyBorder="1" applyAlignment="1">
      <alignment horizontal="center"/>
    </xf>
    <xf numFmtId="173" fontId="0" fillId="17" borderId="4" xfId="0" applyFill="1" applyBorder="1" applyAlignment="1">
      <alignment horizontal="center"/>
    </xf>
    <xf numFmtId="167" fontId="0" fillId="0" borderId="0" xfId="2" applyNumberFormat="1" applyFont="1" applyFill="1" applyBorder="1"/>
    <xf numFmtId="10" fontId="0" fillId="0" borderId="76" xfId="0" applyNumberFormat="1" applyBorder="1" applyAlignment="1">
      <alignment horizontal="center"/>
    </xf>
    <xf numFmtId="173" fontId="25" fillId="0" borderId="0" xfId="0" applyFont="1"/>
    <xf numFmtId="173" fontId="0" fillId="0" borderId="70" xfId="0" applyFill="1" applyBorder="1"/>
    <xf numFmtId="173" fontId="0" fillId="0" borderId="5" xfId="0" applyFill="1" applyBorder="1" applyAlignment="1">
      <alignment horizontal="center"/>
    </xf>
    <xf numFmtId="173" fontId="0" fillId="0" borderId="12" xfId="0" applyFill="1" applyBorder="1" applyAlignment="1">
      <alignment horizontal="center"/>
    </xf>
    <xf numFmtId="173" fontId="0" fillId="0" borderId="70" xfId="0" applyFill="1" applyBorder="1" applyAlignment="1">
      <alignment horizontal="center"/>
    </xf>
    <xf numFmtId="173" fontId="0" fillId="0" borderId="26" xfId="0" applyFill="1" applyBorder="1" applyAlignment="1">
      <alignment horizontal="center" wrapText="1"/>
    </xf>
    <xf numFmtId="173" fontId="0" fillId="0" borderId="26" xfId="0" applyFill="1" applyBorder="1" applyAlignment="1">
      <alignment horizontal="left" vertical="center" wrapText="1"/>
    </xf>
    <xf numFmtId="164" fontId="0" fillId="0" borderId="26" xfId="0" applyNumberFormat="1" applyFill="1" applyBorder="1"/>
    <xf numFmtId="49" fontId="10" fillId="0" borderId="26" xfId="0" applyNumberFormat="1" applyFont="1" applyBorder="1" applyAlignment="1">
      <alignment horizontal="center"/>
    </xf>
    <xf numFmtId="49" fontId="0" fillId="0" borderId="26" xfId="0" applyNumberFormat="1" applyBorder="1" applyAlignment="1">
      <alignment horizontal="center"/>
    </xf>
    <xf numFmtId="49" fontId="0" fillId="0" borderId="25" xfId="0" applyNumberFormat="1" applyBorder="1" applyAlignment="1">
      <alignment horizontal="center"/>
    </xf>
    <xf numFmtId="49" fontId="0" fillId="0" borderId="26" xfId="0" applyNumberFormat="1" applyFill="1" applyBorder="1" applyAlignment="1">
      <alignment horizontal="center"/>
    </xf>
    <xf numFmtId="173" fontId="0" fillId="17" borderId="2" xfId="0" applyFill="1" applyBorder="1" applyAlignment="1">
      <alignment horizontal="center"/>
    </xf>
    <xf numFmtId="173" fontId="0" fillId="0" borderId="2" xfId="0" applyBorder="1" applyAlignment="1">
      <alignment horizontal="center"/>
    </xf>
    <xf numFmtId="15" fontId="0" fillId="0" borderId="2" xfId="0" applyNumberFormat="1" applyFill="1" applyBorder="1" applyAlignment="1">
      <alignment horizontal="center"/>
    </xf>
    <xf numFmtId="15" fontId="0" fillId="0" borderId="0" xfId="0" applyNumberFormat="1" applyFill="1" applyAlignment="1">
      <alignment horizontal="center"/>
    </xf>
    <xf numFmtId="173" fontId="0" fillId="0" borderId="2" xfId="0" applyFill="1" applyBorder="1" applyAlignment="1">
      <alignment horizontal="center"/>
    </xf>
    <xf numFmtId="49" fontId="8" fillId="0" borderId="37" xfId="0" applyNumberFormat="1" applyFont="1" applyFill="1" applyBorder="1" applyAlignment="1">
      <alignment horizontal="left"/>
    </xf>
    <xf numFmtId="173" fontId="7" fillId="0" borderId="0" xfId="0" applyFont="1" applyFill="1" applyBorder="1"/>
    <xf numFmtId="173" fontId="11" fillId="0" borderId="0" xfId="0" applyFont="1" applyFill="1"/>
    <xf numFmtId="173" fontId="11" fillId="0" borderId="0" xfId="0" applyFont="1"/>
    <xf numFmtId="173" fontId="7" fillId="0" borderId="28" xfId="0" applyFont="1" applyFill="1" applyBorder="1"/>
    <xf numFmtId="9" fontId="8" fillId="0" borderId="28" xfId="4" applyFont="1" applyFill="1" applyBorder="1"/>
    <xf numFmtId="173" fontId="7" fillId="0" borderId="0" xfId="0" applyFont="1"/>
    <xf numFmtId="164" fontId="8" fillId="2" borderId="3" xfId="0" applyNumberFormat="1" applyFont="1" applyFill="1" applyBorder="1" applyAlignment="1">
      <alignment horizontal="center"/>
    </xf>
    <xf numFmtId="164" fontId="8" fillId="2" borderId="4" xfId="0" applyNumberFormat="1" applyFont="1" applyFill="1" applyBorder="1" applyAlignment="1">
      <alignment horizontal="center"/>
    </xf>
    <xf numFmtId="164" fontId="8" fillId="0" borderId="13" xfId="0" applyNumberFormat="1" applyFont="1" applyBorder="1"/>
    <xf numFmtId="164" fontId="8" fillId="0" borderId="2" xfId="0" applyNumberFormat="1" applyFont="1" applyFill="1" applyBorder="1"/>
    <xf numFmtId="164" fontId="11" fillId="0" borderId="2" xfId="0" applyNumberFormat="1" applyFont="1" applyFill="1" applyBorder="1"/>
    <xf numFmtId="173" fontId="8" fillId="0" borderId="14" xfId="0" applyFont="1" applyFill="1" applyBorder="1"/>
    <xf numFmtId="164" fontId="8" fillId="0" borderId="13" xfId="0" applyNumberFormat="1" applyFont="1" applyFill="1" applyBorder="1"/>
    <xf numFmtId="164" fontId="8" fillId="0" borderId="15" xfId="0" applyNumberFormat="1" applyFont="1" applyFill="1" applyBorder="1"/>
    <xf numFmtId="164" fontId="7" fillId="0" borderId="0" xfId="0" applyNumberFormat="1" applyFont="1"/>
    <xf numFmtId="173" fontId="0" fillId="0" borderId="71" xfId="0" applyFill="1" applyBorder="1"/>
    <xf numFmtId="10" fontId="0" fillId="3" borderId="76" xfId="0" applyNumberFormat="1" applyFill="1" applyBorder="1" applyAlignment="1">
      <alignment horizontal="center"/>
    </xf>
    <xf numFmtId="173" fontId="8" fillId="18" borderId="13" xfId="0" applyFont="1" applyFill="1" applyBorder="1"/>
    <xf numFmtId="173" fontId="11" fillId="18" borderId="14" xfId="0" applyFont="1" applyFill="1" applyBorder="1"/>
    <xf numFmtId="173" fontId="11" fillId="18" borderId="15" xfId="0" applyFont="1" applyFill="1" applyBorder="1"/>
    <xf numFmtId="173" fontId="0" fillId="18" borderId="14" xfId="0" applyFill="1" applyBorder="1"/>
    <xf numFmtId="173" fontId="0" fillId="18" borderId="15" xfId="0" applyFill="1" applyBorder="1"/>
    <xf numFmtId="173" fontId="8" fillId="0" borderId="0" xfId="0" applyFont="1" applyFill="1"/>
    <xf numFmtId="173" fontId="7" fillId="0" borderId="0" xfId="0" applyFont="1" applyFill="1"/>
    <xf numFmtId="164" fontId="0" fillId="0" borderId="75" xfId="0" applyNumberFormat="1" applyFill="1" applyBorder="1"/>
    <xf numFmtId="164" fontId="0" fillId="0" borderId="74" xfId="0" applyNumberFormat="1" applyFill="1" applyBorder="1"/>
    <xf numFmtId="166" fontId="0" fillId="0" borderId="0" xfId="0" applyNumberFormat="1" applyFill="1"/>
    <xf numFmtId="10" fontId="0" fillId="0" borderId="76" xfId="0" applyNumberFormat="1" applyFill="1" applyBorder="1" applyAlignment="1">
      <alignment horizontal="center"/>
    </xf>
    <xf numFmtId="49" fontId="7" fillId="18" borderId="14" xfId="0" applyNumberFormat="1" applyFont="1" applyFill="1" applyBorder="1"/>
    <xf numFmtId="164" fontId="11" fillId="0" borderId="74" xfId="0" applyNumberFormat="1" applyFont="1" applyFill="1" applyBorder="1"/>
    <xf numFmtId="164" fontId="8" fillId="0" borderId="74" xfId="0" applyNumberFormat="1" applyFont="1" applyFill="1" applyBorder="1"/>
    <xf numFmtId="10" fontId="0" fillId="0" borderId="74" xfId="0" applyNumberFormat="1" applyFill="1" applyBorder="1"/>
    <xf numFmtId="10" fontId="0" fillId="11" borderId="74" xfId="0" applyNumberFormat="1" applyFill="1" applyBorder="1"/>
    <xf numFmtId="164" fontId="8" fillId="11" borderId="74" xfId="0" applyNumberFormat="1" applyFont="1" applyFill="1" applyBorder="1"/>
    <xf numFmtId="164" fontId="7" fillId="0" borderId="74" xfId="0" applyNumberFormat="1" applyFont="1" applyFill="1" applyBorder="1"/>
    <xf numFmtId="10" fontId="0" fillId="0" borderId="74" xfId="0" applyNumberFormat="1" applyBorder="1"/>
    <xf numFmtId="166" fontId="0" fillId="0" borderId="76" xfId="0" applyNumberFormat="1" applyBorder="1"/>
    <xf numFmtId="10" fontId="0" fillId="0" borderId="75" xfId="0" applyNumberFormat="1" applyBorder="1"/>
    <xf numFmtId="164" fontId="0" fillId="0" borderId="76" xfId="0" applyNumberFormat="1" applyFill="1" applyBorder="1"/>
    <xf numFmtId="173" fontId="7" fillId="0" borderId="0" xfId="0" applyFont="1" applyFill="1" applyAlignment="1">
      <alignment horizontal="center"/>
    </xf>
    <xf numFmtId="173" fontId="10" fillId="0" borderId="0" xfId="0" applyFont="1" applyFill="1"/>
    <xf numFmtId="164" fontId="7" fillId="0" borderId="75" xfId="0" applyNumberFormat="1" applyFont="1" applyBorder="1"/>
    <xf numFmtId="166" fontId="7" fillId="0" borderId="0" xfId="0" applyNumberFormat="1" applyFont="1" applyBorder="1"/>
    <xf numFmtId="10" fontId="7" fillId="0" borderId="76" xfId="0" applyNumberFormat="1" applyFont="1" applyBorder="1" applyAlignment="1">
      <alignment horizontal="center"/>
    </xf>
    <xf numFmtId="164" fontId="7" fillId="0" borderId="76" xfId="0" applyNumberFormat="1" applyFont="1" applyBorder="1"/>
    <xf numFmtId="164" fontId="7" fillId="0" borderId="0" xfId="0" applyNumberFormat="1" applyFont="1" applyBorder="1"/>
    <xf numFmtId="173" fontId="7" fillId="0" borderId="26" xfId="0" applyFont="1" applyFill="1" applyBorder="1" applyAlignment="1">
      <alignment horizontal="center"/>
    </xf>
    <xf numFmtId="173" fontId="7" fillId="0" borderId="70" xfId="0" applyFont="1" applyFill="1" applyBorder="1"/>
    <xf numFmtId="173" fontId="7" fillId="0" borderId="5" xfId="0" applyFont="1" applyFill="1" applyBorder="1" applyAlignment="1">
      <alignment horizontal="center"/>
    </xf>
    <xf numFmtId="173" fontId="7" fillId="0" borderId="12" xfId="0" applyFont="1" applyFill="1" applyBorder="1" applyAlignment="1">
      <alignment horizontal="center"/>
    </xf>
    <xf numFmtId="49" fontId="7" fillId="0" borderId="26" xfId="0" applyNumberFormat="1" applyFont="1" applyFill="1" applyBorder="1" applyAlignment="1">
      <alignment horizontal="center"/>
    </xf>
    <xf numFmtId="173" fontId="7" fillId="0" borderId="26" xfId="0" applyFont="1" applyFill="1" applyBorder="1" applyAlignment="1">
      <alignment horizontal="left" vertical="center" wrapText="1"/>
    </xf>
    <xf numFmtId="173" fontId="7" fillId="0" borderId="26" xfId="0" applyFont="1" applyFill="1" applyBorder="1"/>
    <xf numFmtId="173" fontId="0" fillId="18" borderId="14" xfId="0" applyNumberFormat="1" applyFill="1" applyBorder="1" applyAlignment="1">
      <alignment horizontal="left"/>
    </xf>
    <xf numFmtId="173" fontId="0" fillId="17" borderId="0" xfId="0" applyFill="1" applyAlignment="1">
      <alignment horizontal="left"/>
    </xf>
    <xf numFmtId="173" fontId="0" fillId="0" borderId="0" xfId="0" applyAlignment="1">
      <alignment horizontal="left"/>
    </xf>
    <xf numFmtId="15" fontId="0" fillId="0" borderId="0" xfId="0" applyNumberFormat="1" applyFill="1" applyAlignment="1">
      <alignment horizontal="left"/>
    </xf>
    <xf numFmtId="173" fontId="0" fillId="0" borderId="0" xfId="0" applyFill="1" applyAlignment="1">
      <alignment horizontal="left"/>
    </xf>
    <xf numFmtId="173" fontId="7" fillId="0" borderId="0" xfId="0" applyFont="1" applyFill="1" applyAlignment="1">
      <alignment horizontal="left"/>
    </xf>
    <xf numFmtId="49" fontId="0" fillId="19" borderId="0" xfId="0" applyNumberFormat="1" applyFill="1"/>
    <xf numFmtId="173" fontId="8" fillId="19" borderId="0" xfId="0" applyFont="1" applyFill="1" applyBorder="1"/>
    <xf numFmtId="173" fontId="0" fillId="19" borderId="0" xfId="0" applyFill="1" applyBorder="1" applyAlignment="1">
      <alignment horizontal="center"/>
    </xf>
    <xf numFmtId="10" fontId="0" fillId="19" borderId="0" xfId="0" applyNumberFormat="1" applyFill="1" applyBorder="1"/>
    <xf numFmtId="10" fontId="0" fillId="19" borderId="0" xfId="0" applyNumberFormat="1" applyFill="1" applyBorder="1" applyAlignment="1">
      <alignment horizontal="center"/>
    </xf>
    <xf numFmtId="173" fontId="0" fillId="19" borderId="0" xfId="0" applyFill="1" applyBorder="1"/>
    <xf numFmtId="173" fontId="0" fillId="19" borderId="0" xfId="0" applyFill="1"/>
    <xf numFmtId="49" fontId="11" fillId="19" borderId="0" xfId="0" applyNumberFormat="1" applyFont="1" applyFill="1"/>
    <xf numFmtId="173" fontId="11" fillId="19" borderId="5" xfId="0" applyFont="1" applyFill="1" applyBorder="1"/>
    <xf numFmtId="173" fontId="11" fillId="19" borderId="12" xfId="0" applyFont="1" applyFill="1" applyBorder="1"/>
    <xf numFmtId="164" fontId="11" fillId="19" borderId="12" xfId="0" applyNumberFormat="1" applyFont="1" applyFill="1" applyBorder="1" applyAlignment="1">
      <alignment horizontal="center"/>
    </xf>
    <xf numFmtId="164" fontId="11" fillId="19" borderId="12" xfId="0" applyNumberFormat="1" applyFont="1" applyFill="1" applyBorder="1" applyAlignment="1">
      <alignment horizontal="right"/>
    </xf>
    <xf numFmtId="169" fontId="11" fillId="19" borderId="12" xfId="0" applyNumberFormat="1" applyFont="1" applyFill="1" applyBorder="1" applyAlignment="1">
      <alignment horizontal="center"/>
    </xf>
    <xf numFmtId="164" fontId="11" fillId="19" borderId="12" xfId="0" applyNumberFormat="1" applyFont="1" applyFill="1" applyBorder="1"/>
    <xf numFmtId="10" fontId="11" fillId="19" borderId="12" xfId="0" applyNumberFormat="1" applyFont="1" applyFill="1" applyBorder="1"/>
    <xf numFmtId="10" fontId="11" fillId="19" borderId="95" xfId="0" applyNumberFormat="1" applyFont="1" applyFill="1" applyBorder="1"/>
    <xf numFmtId="164" fontId="11" fillId="19" borderId="95" xfId="0" applyNumberFormat="1" applyFont="1" applyFill="1" applyBorder="1"/>
    <xf numFmtId="164" fontId="11" fillId="19" borderId="96" xfId="0" applyNumberFormat="1" applyFont="1" applyFill="1" applyBorder="1"/>
    <xf numFmtId="10" fontId="11" fillId="19" borderId="21" xfId="0" applyNumberFormat="1" applyFont="1" applyFill="1" applyBorder="1"/>
    <xf numFmtId="10" fontId="27" fillId="19" borderId="0" xfId="0" applyNumberFormat="1" applyFont="1" applyFill="1" applyBorder="1"/>
    <xf numFmtId="10" fontId="11" fillId="19" borderId="0" xfId="0" applyNumberFormat="1" applyFont="1" applyFill="1" applyBorder="1"/>
    <xf numFmtId="173" fontId="11" fillId="19" borderId="0" xfId="0" applyFont="1" applyFill="1" applyBorder="1" applyAlignment="1">
      <alignment horizontal="center"/>
    </xf>
    <xf numFmtId="10" fontId="11" fillId="19" borderId="0" xfId="0" applyNumberFormat="1" applyFont="1" applyFill="1" applyBorder="1" applyAlignment="1">
      <alignment horizontal="center"/>
    </xf>
    <xf numFmtId="173" fontId="11" fillId="19" borderId="0" xfId="0" applyFont="1" applyFill="1" applyBorder="1"/>
    <xf numFmtId="173" fontId="11" fillId="19" borderId="0" xfId="0" applyFont="1" applyFill="1"/>
    <xf numFmtId="164" fontId="11" fillId="19" borderId="0" xfId="0" applyNumberFormat="1" applyFont="1" applyFill="1"/>
    <xf numFmtId="164" fontId="11" fillId="19" borderId="67" xfId="0" applyNumberFormat="1" applyFont="1" applyFill="1" applyBorder="1"/>
    <xf numFmtId="10" fontId="11" fillId="19" borderId="70" xfId="0" applyNumberFormat="1" applyFont="1" applyFill="1" applyBorder="1"/>
    <xf numFmtId="173" fontId="0" fillId="19" borderId="5" xfId="0" applyFill="1" applyBorder="1"/>
    <xf numFmtId="173" fontId="0" fillId="19" borderId="12" xfId="0" applyFill="1" applyBorder="1"/>
    <xf numFmtId="164" fontId="0" fillId="19" borderId="12" xfId="0" applyNumberFormat="1" applyFill="1" applyBorder="1"/>
    <xf numFmtId="164" fontId="0" fillId="19" borderId="12" xfId="0" applyNumberFormat="1" applyFill="1" applyBorder="1" applyAlignment="1">
      <alignment horizontal="right"/>
    </xf>
    <xf numFmtId="164" fontId="0" fillId="19" borderId="12" xfId="0" applyNumberFormat="1" applyFill="1" applyBorder="1" applyAlignment="1">
      <alignment horizontal="center"/>
    </xf>
    <xf numFmtId="10" fontId="0" fillId="19" borderId="12" xfId="0" applyNumberFormat="1" applyFill="1" applyBorder="1"/>
    <xf numFmtId="10" fontId="0" fillId="19" borderId="32" xfId="0" applyNumberFormat="1" applyFill="1" applyBorder="1"/>
    <xf numFmtId="164" fontId="0" fillId="19" borderId="32" xfId="0" applyNumberFormat="1" applyFill="1" applyBorder="1"/>
    <xf numFmtId="164" fontId="0" fillId="19" borderId="68" xfId="0" applyNumberFormat="1" applyFill="1" applyBorder="1"/>
    <xf numFmtId="10" fontId="0" fillId="19" borderId="97" xfId="0" applyNumberFormat="1" applyFill="1" applyBorder="1"/>
    <xf numFmtId="164" fontId="0" fillId="19" borderId="0" xfId="0" applyNumberFormat="1" applyFill="1"/>
    <xf numFmtId="164" fontId="8" fillId="19" borderId="98" xfId="0" applyNumberFormat="1" applyFont="1" applyFill="1" applyBorder="1"/>
    <xf numFmtId="173" fontId="8" fillId="19" borderId="5" xfId="0" applyFont="1" applyFill="1" applyBorder="1"/>
    <xf numFmtId="173" fontId="8" fillId="19" borderId="12" xfId="0" applyFont="1" applyFill="1" applyBorder="1"/>
    <xf numFmtId="164" fontId="8" fillId="19" borderId="12" xfId="0" applyNumberFormat="1" applyFont="1" applyFill="1" applyBorder="1" applyAlignment="1">
      <alignment horizontal="center"/>
    </xf>
    <xf numFmtId="164" fontId="8" fillId="19" borderId="12" xfId="0" applyNumberFormat="1" applyFont="1" applyFill="1" applyBorder="1" applyAlignment="1">
      <alignment horizontal="right"/>
    </xf>
    <xf numFmtId="164" fontId="8" fillId="19" borderId="12" xfId="0" applyNumberFormat="1" applyFont="1" applyFill="1" applyBorder="1"/>
    <xf numFmtId="10" fontId="8" fillId="19" borderId="12" xfId="0" applyNumberFormat="1" applyFont="1" applyFill="1" applyBorder="1"/>
    <xf numFmtId="10" fontId="8" fillId="19" borderId="0" xfId="0" applyNumberFormat="1" applyFont="1" applyFill="1" applyBorder="1"/>
    <xf numFmtId="10" fontId="0" fillId="19" borderId="2" xfId="0" applyNumberFormat="1" applyFill="1" applyBorder="1"/>
    <xf numFmtId="1" fontId="0" fillId="19" borderId="0" xfId="0" applyNumberFormat="1" applyFill="1" applyBorder="1" applyAlignment="1">
      <alignment horizontal="center"/>
    </xf>
    <xf numFmtId="173" fontId="11" fillId="19" borderId="4" xfId="0" applyFont="1" applyFill="1" applyBorder="1"/>
    <xf numFmtId="173" fontId="11" fillId="19" borderId="7" xfId="0" applyFont="1" applyFill="1" applyBorder="1"/>
    <xf numFmtId="173" fontId="28" fillId="19" borderId="7" xfId="0" applyFont="1" applyFill="1" applyBorder="1"/>
    <xf numFmtId="164" fontId="11" fillId="19" borderId="7" xfId="0" applyNumberFormat="1" applyFont="1" applyFill="1" applyBorder="1"/>
    <xf numFmtId="164" fontId="11" fillId="19" borderId="7" xfId="0" applyNumberFormat="1" applyFont="1" applyFill="1" applyBorder="1" applyAlignment="1">
      <alignment horizontal="center"/>
    </xf>
    <xf numFmtId="10" fontId="11" fillId="19" borderId="7" xfId="0" applyNumberFormat="1" applyFont="1" applyFill="1" applyBorder="1"/>
    <xf numFmtId="164" fontId="11" fillId="19" borderId="16" xfId="0" applyNumberFormat="1" applyFont="1" applyFill="1" applyBorder="1"/>
    <xf numFmtId="10" fontId="11" fillId="19" borderId="22" xfId="0" applyNumberFormat="1" applyFont="1" applyFill="1" applyBorder="1"/>
    <xf numFmtId="173" fontId="27" fillId="19" borderId="0" xfId="0" applyFont="1" applyFill="1" applyBorder="1" applyAlignment="1">
      <alignment horizontal="center"/>
    </xf>
    <xf numFmtId="164" fontId="8" fillId="19" borderId="0" xfId="0" applyNumberFormat="1" applyFont="1" applyFill="1" applyBorder="1"/>
    <xf numFmtId="9" fontId="0" fillId="19" borderId="0" xfId="0" applyNumberFormat="1" applyFill="1" applyBorder="1"/>
    <xf numFmtId="173" fontId="11" fillId="19" borderId="20" xfId="0" applyFont="1" applyFill="1" applyBorder="1"/>
    <xf numFmtId="173" fontId="11" fillId="19" borderId="95" xfId="0" applyFont="1" applyFill="1" applyBorder="1"/>
    <xf numFmtId="164" fontId="11" fillId="19" borderId="95" xfId="0" applyNumberFormat="1" applyFont="1" applyFill="1" applyBorder="1" applyAlignment="1">
      <alignment horizontal="right"/>
    </xf>
    <xf numFmtId="164" fontId="11" fillId="19" borderId="95" xfId="0" applyNumberFormat="1" applyFont="1" applyFill="1" applyBorder="1" applyAlignment="1">
      <alignment horizontal="center"/>
    </xf>
    <xf numFmtId="9" fontId="11" fillId="19" borderId="0" xfId="0" applyNumberFormat="1" applyFont="1" applyFill="1" applyBorder="1"/>
    <xf numFmtId="164" fontId="8" fillId="19" borderId="67" xfId="0" applyNumberFormat="1" applyFont="1" applyFill="1" applyBorder="1"/>
    <xf numFmtId="10" fontId="8" fillId="19" borderId="70" xfId="0" applyNumberFormat="1" applyFont="1" applyFill="1" applyBorder="1"/>
    <xf numFmtId="173" fontId="8" fillId="19" borderId="31" xfId="0" applyFont="1" applyFill="1" applyBorder="1"/>
    <xf numFmtId="173" fontId="8" fillId="19" borderId="32" xfId="0" applyFont="1" applyFill="1" applyBorder="1"/>
    <xf numFmtId="164" fontId="8" fillId="19" borderId="32" xfId="0" applyNumberFormat="1" applyFont="1" applyFill="1" applyBorder="1"/>
    <xf numFmtId="164" fontId="8" fillId="19" borderId="32" xfId="0" applyNumberFormat="1" applyFont="1" applyFill="1" applyBorder="1" applyAlignment="1">
      <alignment horizontal="right"/>
    </xf>
    <xf numFmtId="164" fontId="8" fillId="19" borderId="32" xfId="0" applyNumberFormat="1" applyFont="1" applyFill="1" applyBorder="1" applyAlignment="1">
      <alignment horizontal="center"/>
    </xf>
    <xf numFmtId="10" fontId="8" fillId="19" borderId="32" xfId="0" applyNumberFormat="1" applyFont="1" applyFill="1" applyBorder="1"/>
    <xf numFmtId="164" fontId="8" fillId="19" borderId="68" xfId="0" applyNumberFormat="1" applyFont="1" applyFill="1" applyBorder="1"/>
    <xf numFmtId="10" fontId="8" fillId="19" borderId="97" xfId="0" applyNumberFormat="1" applyFont="1" applyFill="1" applyBorder="1"/>
    <xf numFmtId="10" fontId="8" fillId="19" borderId="2" xfId="0" applyNumberFormat="1" applyFont="1" applyFill="1" applyBorder="1"/>
    <xf numFmtId="10" fontId="0" fillId="19" borderId="0" xfId="0" applyNumberFormat="1" applyFill="1" applyBorder="1" applyAlignment="1"/>
    <xf numFmtId="173" fontId="0" fillId="19" borderId="0" xfId="0" applyFill="1" applyBorder="1" applyAlignment="1"/>
    <xf numFmtId="10" fontId="11" fillId="19" borderId="0" xfId="0" applyNumberFormat="1" applyFont="1" applyFill="1" applyBorder="1" applyAlignment="1"/>
    <xf numFmtId="173" fontId="11" fillId="19" borderId="0" xfId="0" applyFont="1" applyFill="1" applyBorder="1" applyAlignment="1"/>
    <xf numFmtId="9" fontId="11" fillId="19" borderId="0" xfId="0" applyNumberFormat="1" applyFont="1" applyFill="1" applyBorder="1" applyAlignment="1">
      <alignment horizontal="center"/>
    </xf>
    <xf numFmtId="9" fontId="0" fillId="19" borderId="0" xfId="0" applyNumberFormat="1" applyFill="1" applyBorder="1" applyAlignment="1">
      <alignment horizontal="center"/>
    </xf>
    <xf numFmtId="164" fontId="8" fillId="19" borderId="28" xfId="0" applyNumberFormat="1" applyFont="1" applyFill="1" applyBorder="1"/>
    <xf numFmtId="173" fontId="8" fillId="19" borderId="4" xfId="0" applyFont="1" applyFill="1" applyBorder="1"/>
    <xf numFmtId="173" fontId="8" fillId="19" borderId="7" xfId="0" applyFont="1" applyFill="1" applyBorder="1"/>
    <xf numFmtId="49" fontId="8" fillId="19" borderId="3" xfId="0" applyNumberFormat="1" applyFont="1" applyFill="1" applyBorder="1" applyAlignment="1">
      <alignment horizontal="left"/>
    </xf>
    <xf numFmtId="173" fontId="8" fillId="19" borderId="6" xfId="0" applyFont="1" applyFill="1" applyBorder="1"/>
    <xf numFmtId="164" fontId="8" fillId="19" borderId="6" xfId="0" applyNumberFormat="1" applyFont="1" applyFill="1" applyBorder="1"/>
    <xf numFmtId="164" fontId="8" fillId="19" borderId="6" xfId="0" applyNumberFormat="1" applyFont="1" applyFill="1" applyBorder="1" applyAlignment="1">
      <alignment horizontal="right"/>
    </xf>
    <xf numFmtId="10" fontId="8" fillId="19" borderId="6" xfId="0" applyNumberFormat="1" applyFont="1" applyFill="1" applyBorder="1"/>
    <xf numFmtId="10" fontId="8" fillId="19" borderId="35" xfId="0" applyNumberFormat="1" applyFont="1" applyFill="1" applyBorder="1"/>
    <xf numFmtId="49" fontId="8" fillId="19" borderId="5" xfId="0" applyNumberFormat="1" applyFont="1" applyFill="1" applyBorder="1" applyAlignment="1">
      <alignment horizontal="left"/>
    </xf>
    <xf numFmtId="10" fontId="8" fillId="20" borderId="0" xfId="0" applyNumberFormat="1" applyFont="1" applyFill="1" applyBorder="1"/>
    <xf numFmtId="10" fontId="0" fillId="20" borderId="0" xfId="0" applyNumberFormat="1" applyFill="1" applyBorder="1" applyAlignment="1"/>
    <xf numFmtId="173" fontId="0" fillId="20" borderId="0" xfId="0" applyFill="1" applyBorder="1" applyAlignment="1"/>
    <xf numFmtId="173" fontId="0" fillId="20" borderId="0" xfId="0" applyFill="1" applyBorder="1"/>
    <xf numFmtId="9" fontId="0" fillId="20" borderId="0" xfId="0" applyNumberFormat="1" applyFill="1" applyBorder="1"/>
    <xf numFmtId="173" fontId="0" fillId="20" borderId="0" xfId="0" applyFill="1"/>
    <xf numFmtId="164" fontId="0" fillId="20" borderId="0" xfId="0" applyNumberFormat="1" applyFill="1"/>
    <xf numFmtId="173" fontId="7" fillId="21" borderId="0" xfId="0" applyFont="1" applyFill="1"/>
    <xf numFmtId="173" fontId="0" fillId="4" borderId="99" xfId="0" applyFill="1" applyBorder="1" applyAlignment="1">
      <alignment horizontal="center"/>
    </xf>
    <xf numFmtId="10" fontId="0" fillId="4" borderId="85" xfId="0" applyNumberFormat="1" applyFill="1" applyBorder="1" applyAlignment="1">
      <alignment horizontal="center"/>
    </xf>
    <xf numFmtId="173" fontId="11" fillId="0" borderId="26" xfId="0" applyFont="1" applyFill="1" applyBorder="1" applyAlignment="1">
      <alignment horizontal="center"/>
    </xf>
    <xf numFmtId="173" fontId="11" fillId="0" borderId="0" xfId="0" applyFont="1" applyFill="1" applyAlignment="1">
      <alignment horizontal="center"/>
    </xf>
    <xf numFmtId="173" fontId="7" fillId="22" borderId="0" xfId="0" applyFont="1" applyFill="1" applyAlignment="1">
      <alignment horizontal="center"/>
    </xf>
    <xf numFmtId="173" fontId="7" fillId="22" borderId="0" xfId="0" applyFont="1" applyFill="1"/>
    <xf numFmtId="173" fontId="8" fillId="23" borderId="33" xfId="0" applyFont="1" applyFill="1" applyBorder="1" applyAlignment="1">
      <alignment horizontal="center"/>
    </xf>
    <xf numFmtId="173" fontId="8" fillId="23" borderId="18" xfId="0" applyFont="1" applyFill="1" applyBorder="1" applyAlignment="1">
      <alignment horizontal="center"/>
    </xf>
    <xf numFmtId="173" fontId="8" fillId="23" borderId="34" xfId="0" applyFont="1" applyFill="1" applyBorder="1" applyAlignment="1">
      <alignment horizontal="center"/>
    </xf>
    <xf numFmtId="173" fontId="7" fillId="0" borderId="67" xfId="0" applyFont="1" applyFill="1" applyBorder="1"/>
    <xf numFmtId="164" fontId="11" fillId="0" borderId="0" xfId="0" applyNumberFormat="1" applyFont="1"/>
    <xf numFmtId="164" fontId="11" fillId="0" borderId="75" xfId="0" applyNumberFormat="1" applyFont="1" applyBorder="1"/>
    <xf numFmtId="166" fontId="11" fillId="0" borderId="0" xfId="0" applyNumberFormat="1" applyFont="1" applyBorder="1"/>
    <xf numFmtId="164" fontId="11" fillId="0" borderId="74" xfId="0" applyNumberFormat="1" applyFont="1" applyBorder="1"/>
    <xf numFmtId="166" fontId="11" fillId="0" borderId="0" xfId="0" applyNumberFormat="1" applyFont="1"/>
    <xf numFmtId="10" fontId="11" fillId="0" borderId="76" xfId="0" applyNumberFormat="1" applyFont="1" applyBorder="1" applyAlignment="1">
      <alignment horizontal="center"/>
    </xf>
    <xf numFmtId="164" fontId="11" fillId="0" borderId="76" xfId="0" applyNumberFormat="1" applyFont="1" applyBorder="1"/>
    <xf numFmtId="164" fontId="11" fillId="0" borderId="0" xfId="0" applyNumberFormat="1" applyFont="1" applyBorder="1"/>
    <xf numFmtId="49" fontId="7" fillId="9" borderId="0" xfId="0" applyNumberFormat="1" applyFont="1" applyFill="1" applyAlignment="1">
      <alignment horizontal="center"/>
    </xf>
    <xf numFmtId="166" fontId="7" fillId="0" borderId="0" xfId="0" applyNumberFormat="1" applyFont="1"/>
    <xf numFmtId="164" fontId="0" fillId="0" borderId="0" xfId="0" applyNumberFormat="1" applyAlignment="1">
      <alignment horizontal="right"/>
    </xf>
    <xf numFmtId="164" fontId="0" fillId="0" borderId="67" xfId="0" applyNumberFormat="1" applyFill="1" applyBorder="1" applyAlignment="1">
      <alignment horizontal="center"/>
    </xf>
    <xf numFmtId="49" fontId="0" fillId="19" borderId="0" xfId="0" applyNumberFormat="1" applyFill="1" applyBorder="1" applyAlignment="1">
      <alignment horizontal="center"/>
    </xf>
    <xf numFmtId="49" fontId="10" fillId="19" borderId="0" xfId="0" applyNumberFormat="1" applyFont="1" applyFill="1" applyBorder="1" applyAlignment="1">
      <alignment horizontal="center"/>
    </xf>
    <xf numFmtId="173" fontId="11" fillId="0" borderId="5" xfId="0" applyFont="1" applyFill="1" applyBorder="1" applyAlignment="1">
      <alignment horizontal="center"/>
    </xf>
    <xf numFmtId="173" fontId="11" fillId="0" borderId="12" xfId="0" applyFont="1" applyFill="1" applyBorder="1" applyAlignment="1">
      <alignment horizontal="center"/>
    </xf>
    <xf numFmtId="173" fontId="11" fillId="0" borderId="70" xfId="0" applyFont="1" applyFill="1" applyBorder="1" applyAlignment="1">
      <alignment horizontal="center"/>
    </xf>
    <xf numFmtId="173" fontId="11" fillId="0" borderId="70" xfId="0" applyFont="1" applyFill="1" applyBorder="1"/>
    <xf numFmtId="49" fontId="11" fillId="0" borderId="26" xfId="0" applyNumberFormat="1" applyFont="1" applyFill="1" applyBorder="1" applyAlignment="1">
      <alignment horizontal="center"/>
    </xf>
    <xf numFmtId="173" fontId="11" fillId="0" borderId="26" xfId="0" applyFont="1" applyFill="1" applyBorder="1" applyAlignment="1">
      <alignment horizontal="center" wrapText="1"/>
    </xf>
    <xf numFmtId="173" fontId="11" fillId="0" borderId="26" xfId="0" applyFont="1" applyFill="1" applyBorder="1" applyAlignment="1">
      <alignment horizontal="left" vertical="center" wrapText="1"/>
    </xf>
    <xf numFmtId="173" fontId="11" fillId="0" borderId="26" xfId="0" applyFont="1" applyFill="1" applyBorder="1"/>
    <xf numFmtId="15" fontId="11" fillId="0" borderId="2" xfId="0" applyNumberFormat="1" applyFont="1" applyFill="1" applyBorder="1" applyAlignment="1">
      <alignment horizontal="center"/>
    </xf>
    <xf numFmtId="15" fontId="11" fillId="0" borderId="0" xfId="0" applyNumberFormat="1" applyFont="1" applyFill="1" applyAlignment="1">
      <alignment horizontal="center"/>
    </xf>
    <xf numFmtId="173" fontId="11" fillId="0" borderId="0" xfId="0" applyFont="1" applyFill="1" applyAlignment="1">
      <alignment horizontal="left"/>
    </xf>
    <xf numFmtId="49" fontId="8" fillId="19" borderId="0" xfId="0" applyNumberFormat="1" applyFont="1" applyFill="1"/>
    <xf numFmtId="10" fontId="0" fillId="19" borderId="0" xfId="0" applyNumberFormat="1" applyFill="1" applyBorder="1" applyAlignment="1"/>
    <xf numFmtId="173" fontId="0" fillId="19" borderId="0" xfId="0" applyFill="1" applyBorder="1" applyAlignment="1"/>
    <xf numFmtId="10" fontId="27" fillId="19" borderId="0" xfId="0" applyNumberFormat="1" applyFont="1" applyFill="1" applyBorder="1" applyAlignment="1">
      <alignment horizontal="center"/>
    </xf>
    <xf numFmtId="173" fontId="27" fillId="19" borderId="0" xfId="0" applyFont="1" applyFill="1" applyBorder="1" applyAlignment="1">
      <alignment horizontal="center"/>
    </xf>
    <xf numFmtId="10" fontId="11" fillId="19" borderId="0" xfId="0" applyNumberFormat="1" applyFont="1" applyFill="1" applyBorder="1" applyAlignment="1"/>
    <xf numFmtId="173" fontId="11" fillId="19" borderId="0" xfId="0" applyFont="1" applyFill="1" applyBorder="1" applyAlignment="1"/>
    <xf numFmtId="10" fontId="0" fillId="0" borderId="0" xfId="0" applyNumberFormat="1" applyFill="1" applyBorder="1" applyAlignment="1">
      <alignment horizontal="center"/>
    </xf>
    <xf numFmtId="173" fontId="23" fillId="8" borderId="5" xfId="0" applyFont="1" applyFill="1" applyBorder="1" applyAlignment="1">
      <alignment horizontal="center"/>
    </xf>
    <xf numFmtId="49" fontId="8" fillId="0" borderId="0" xfId="0" applyNumberFormat="1" applyFont="1" applyFill="1" applyBorder="1" applyAlignment="1">
      <alignment horizontal="left"/>
    </xf>
    <xf numFmtId="49" fontId="8" fillId="0" borderId="0" xfId="0" applyNumberFormat="1" applyFont="1" applyFill="1" applyBorder="1" applyAlignment="1">
      <alignment horizontal="right"/>
    </xf>
    <xf numFmtId="9" fontId="8" fillId="0" borderId="0" xfId="4" applyFont="1" applyFill="1" applyBorder="1"/>
    <xf numFmtId="49" fontId="7" fillId="0" borderId="0" xfId="0" applyNumberFormat="1" applyFont="1"/>
    <xf numFmtId="49" fontId="0" fillId="0" borderId="0" xfId="0" applyNumberFormat="1" applyFill="1"/>
    <xf numFmtId="164" fontId="0" fillId="0" borderId="9" xfId="0" applyNumberFormat="1" applyFill="1" applyBorder="1"/>
    <xf numFmtId="164" fontId="0" fillId="0" borderId="9" xfId="0" applyNumberFormat="1" applyFill="1" applyBorder="1" applyAlignment="1">
      <alignment horizontal="center"/>
    </xf>
    <xf numFmtId="10" fontId="0" fillId="0" borderId="14" xfId="0" applyNumberFormat="1" applyFill="1" applyBorder="1"/>
    <xf numFmtId="10" fontId="0" fillId="0" borderId="15" xfId="0" applyNumberFormat="1" applyFill="1" applyBorder="1"/>
    <xf numFmtId="49" fontId="8" fillId="0" borderId="0" xfId="0" applyNumberFormat="1" applyFont="1" applyFill="1" applyAlignment="1">
      <alignment horizontal="right"/>
    </xf>
    <xf numFmtId="164" fontId="8" fillId="0" borderId="0" xfId="0" applyNumberFormat="1" applyFont="1" applyFill="1"/>
    <xf numFmtId="10" fontId="8" fillId="0" borderId="0" xfId="0" applyNumberFormat="1" applyFont="1" applyFill="1"/>
    <xf numFmtId="164" fontId="8" fillId="0" borderId="0" xfId="0" applyNumberFormat="1" applyFont="1" applyFill="1" applyAlignment="1">
      <alignment horizontal="right"/>
    </xf>
    <xf numFmtId="173" fontId="8" fillId="0" borderId="0" xfId="0" applyNumberFormat="1" applyFont="1" applyFill="1"/>
    <xf numFmtId="49" fontId="7" fillId="0" borderId="0" xfId="0" applyNumberFormat="1" applyFont="1" applyFill="1"/>
    <xf numFmtId="164" fontId="7" fillId="0" borderId="0" xfId="0" applyNumberFormat="1" applyFont="1" applyFill="1" applyBorder="1" applyAlignment="1">
      <alignment horizontal="center"/>
    </xf>
    <xf numFmtId="164" fontId="7" fillId="0" borderId="0" xfId="0" applyNumberFormat="1" applyFont="1" applyFill="1" applyBorder="1"/>
    <xf numFmtId="10" fontId="7" fillId="0" borderId="0" xfId="0" applyNumberFormat="1" applyFont="1" applyFill="1" applyBorder="1"/>
    <xf numFmtId="10" fontId="7" fillId="0" borderId="0" xfId="0" applyNumberFormat="1" applyFont="1" applyFill="1" applyBorder="1" applyAlignment="1"/>
    <xf numFmtId="173" fontId="7" fillId="0" borderId="0" xfId="0" applyFont="1" applyFill="1" applyBorder="1" applyAlignment="1"/>
    <xf numFmtId="9" fontId="7" fillId="0" borderId="0" xfId="0" applyNumberFormat="1" applyFont="1" applyFill="1" applyBorder="1"/>
    <xf numFmtId="164" fontId="7" fillId="0" borderId="0" xfId="0" applyNumberFormat="1" applyFont="1" applyFill="1"/>
    <xf numFmtId="49" fontId="8" fillId="19" borderId="28" xfId="0" applyNumberFormat="1" applyFont="1" applyFill="1" applyBorder="1" applyAlignment="1">
      <alignment horizontal="right"/>
    </xf>
    <xf numFmtId="49" fontId="11" fillId="0" borderId="0" xfId="0" applyNumberFormat="1" applyFont="1" applyFill="1"/>
    <xf numFmtId="164" fontId="11" fillId="0" borderId="0" xfId="0" applyNumberFormat="1" applyFont="1" applyFill="1" applyBorder="1" applyAlignment="1">
      <alignment horizontal="center"/>
    </xf>
    <xf numFmtId="164" fontId="27" fillId="0" borderId="0" xfId="0" applyNumberFormat="1" applyFont="1" applyFill="1" applyBorder="1" applyAlignment="1">
      <alignment horizontal="right"/>
    </xf>
    <xf numFmtId="164" fontId="27" fillId="0" borderId="0" xfId="0" applyNumberFormat="1" applyFont="1" applyFill="1" applyBorder="1" applyAlignment="1">
      <alignment horizontal="center"/>
    </xf>
    <xf numFmtId="10" fontId="27" fillId="0" borderId="0" xfId="0" applyNumberFormat="1" applyFont="1" applyFill="1" applyBorder="1"/>
    <xf numFmtId="10" fontId="11" fillId="0" borderId="0" xfId="0" applyNumberFormat="1" applyFont="1" applyFill="1" applyBorder="1" applyAlignment="1"/>
    <xf numFmtId="173" fontId="11" fillId="0" borderId="0" xfId="0" applyFont="1" applyFill="1" applyBorder="1" applyAlignment="1"/>
    <xf numFmtId="9" fontId="11" fillId="0" borderId="0" xfId="0" applyNumberFormat="1" applyFont="1" applyFill="1" applyBorder="1"/>
    <xf numFmtId="164" fontId="11" fillId="0" borderId="0" xfId="0" applyNumberFormat="1" applyFont="1" applyFill="1"/>
    <xf numFmtId="1" fontId="8" fillId="19" borderId="0" xfId="0" applyNumberFormat="1" applyFont="1" applyFill="1" applyBorder="1"/>
    <xf numFmtId="173" fontId="8" fillId="0" borderId="101" xfId="0" applyFont="1" applyFill="1" applyBorder="1"/>
    <xf numFmtId="173" fontId="0" fillId="0" borderId="98" xfId="0" applyFill="1" applyBorder="1"/>
    <xf numFmtId="164" fontId="8" fillId="0" borderId="98" xfId="0" applyNumberFormat="1" applyFont="1" applyFill="1" applyBorder="1"/>
    <xf numFmtId="164" fontId="8" fillId="0" borderId="98" xfId="0" applyNumberFormat="1" applyFont="1" applyFill="1" applyBorder="1" applyAlignment="1">
      <alignment horizontal="right"/>
    </xf>
    <xf numFmtId="164" fontId="8" fillId="0" borderId="98" xfId="0" applyNumberFormat="1" applyFont="1" applyFill="1" applyBorder="1" applyAlignment="1">
      <alignment horizontal="center"/>
    </xf>
    <xf numFmtId="1" fontId="8" fillId="19" borderId="98" xfId="0" applyNumberFormat="1" applyFont="1" applyFill="1" applyBorder="1"/>
    <xf numFmtId="10" fontId="8" fillId="0" borderId="98" xfId="0" applyNumberFormat="1" applyFont="1" applyFill="1" applyBorder="1"/>
    <xf numFmtId="164" fontId="8" fillId="0" borderId="102" xfId="0" applyNumberFormat="1" applyFont="1" applyFill="1" applyBorder="1"/>
    <xf numFmtId="10" fontId="0" fillId="0" borderId="103" xfId="0" applyNumberFormat="1" applyFill="1" applyBorder="1"/>
    <xf numFmtId="173" fontId="11" fillId="0" borderId="2" xfId="0" applyFont="1" applyFill="1" applyBorder="1"/>
    <xf numFmtId="173" fontId="28" fillId="0" borderId="0" xfId="0" applyFont="1" applyFill="1" applyBorder="1"/>
    <xf numFmtId="173" fontId="8" fillId="0" borderId="98" xfId="0" applyFont="1" applyFill="1" applyBorder="1"/>
    <xf numFmtId="10" fontId="8" fillId="0" borderId="103" xfId="0" applyNumberFormat="1" applyFont="1" applyFill="1" applyBorder="1"/>
    <xf numFmtId="1" fontId="8" fillId="19" borderId="0" xfId="0" applyNumberFormat="1" applyFont="1" applyFill="1" applyBorder="1" applyAlignment="1">
      <alignment horizontal="right"/>
    </xf>
    <xf numFmtId="173" fontId="8" fillId="0" borderId="37" xfId="0" applyFont="1" applyFill="1" applyBorder="1"/>
    <xf numFmtId="164" fontId="8" fillId="0" borderId="28" xfId="0" applyNumberFormat="1" applyFont="1" applyFill="1" applyBorder="1" applyAlignment="1">
      <alignment horizontal="center"/>
    </xf>
    <xf numFmtId="1" fontId="8" fillId="19" borderId="28" xfId="0" applyNumberFormat="1" applyFont="1" applyFill="1" applyBorder="1"/>
    <xf numFmtId="10" fontId="8" fillId="0" borderId="28" xfId="0" applyNumberFormat="1" applyFont="1" applyFill="1" applyBorder="1"/>
    <xf numFmtId="49" fontId="8" fillId="0" borderId="33" xfId="0" applyNumberFormat="1" applyFont="1" applyFill="1" applyBorder="1" applyAlignment="1">
      <alignment horizontal="left"/>
    </xf>
    <xf numFmtId="10" fontId="8" fillId="0" borderId="18" xfId="0" applyNumberFormat="1" applyFont="1" applyFill="1" applyBorder="1"/>
    <xf numFmtId="10" fontId="8" fillId="0" borderId="34" xfId="0" applyNumberFormat="1" applyFont="1" applyFill="1" applyBorder="1"/>
    <xf numFmtId="1" fontId="8" fillId="19" borderId="9" xfId="0" applyNumberFormat="1" applyFont="1" applyFill="1" applyBorder="1"/>
    <xf numFmtId="164" fontId="8" fillId="19" borderId="9" xfId="0" applyNumberFormat="1" applyFont="1" applyFill="1" applyBorder="1"/>
    <xf numFmtId="173" fontId="8" fillId="4" borderId="16" xfId="0" applyFont="1" applyFill="1" applyBorder="1" applyAlignment="1">
      <alignment horizontal="center"/>
    </xf>
    <xf numFmtId="173" fontId="0" fillId="20" borderId="26" xfId="0" applyFill="1" applyBorder="1" applyAlignment="1">
      <alignment horizontal="center"/>
    </xf>
    <xf numFmtId="173" fontId="8" fillId="19" borderId="26" xfId="0" applyFont="1" applyFill="1" applyBorder="1" applyAlignment="1">
      <alignment horizontal="center"/>
    </xf>
    <xf numFmtId="49" fontId="8" fillId="0" borderId="36" xfId="0" applyNumberFormat="1" applyFont="1" applyFill="1" applyBorder="1"/>
    <xf numFmtId="173" fontId="8" fillId="0" borderId="10" xfId="0" applyFont="1" applyFill="1" applyBorder="1"/>
    <xf numFmtId="173" fontId="11" fillId="19" borderId="67" xfId="0" applyFont="1" applyFill="1" applyBorder="1"/>
    <xf numFmtId="173" fontId="0" fillId="0" borderId="102" xfId="0" applyFill="1" applyBorder="1"/>
    <xf numFmtId="173" fontId="8" fillId="19" borderId="67" xfId="0" applyFont="1" applyFill="1" applyBorder="1"/>
    <xf numFmtId="173" fontId="0" fillId="0" borderId="10" xfId="0" applyFill="1" applyBorder="1"/>
    <xf numFmtId="49" fontId="8" fillId="0" borderId="13" xfId="0" applyNumberFormat="1" applyFont="1" applyFill="1" applyBorder="1" applyAlignment="1">
      <alignment horizontal="left"/>
    </xf>
    <xf numFmtId="173" fontId="8" fillId="0" borderId="69" xfId="0" applyFont="1" applyFill="1" applyBorder="1"/>
    <xf numFmtId="173" fontId="8" fillId="0" borderId="29" xfId="0" applyFont="1" applyFill="1" applyBorder="1"/>
    <xf numFmtId="173" fontId="11" fillId="0" borderId="33" xfId="0" applyFont="1" applyFill="1" applyBorder="1"/>
    <xf numFmtId="173" fontId="11" fillId="0" borderId="18" xfId="0" applyFont="1" applyFill="1" applyBorder="1"/>
    <xf numFmtId="173" fontId="11" fillId="19" borderId="16" xfId="0" applyFont="1" applyFill="1" applyBorder="1"/>
    <xf numFmtId="173" fontId="11" fillId="19" borderId="96" xfId="0" applyFont="1" applyFill="1" applyBorder="1"/>
    <xf numFmtId="173" fontId="8" fillId="19" borderId="104" xfId="0" applyFont="1" applyFill="1" applyBorder="1"/>
    <xf numFmtId="173" fontId="8" fillId="19" borderId="105" xfId="0" applyFont="1" applyFill="1" applyBorder="1"/>
    <xf numFmtId="173" fontId="8" fillId="19" borderId="106" xfId="0" applyFont="1" applyFill="1" applyBorder="1"/>
    <xf numFmtId="173" fontId="8" fillId="19" borderId="16" xfId="0" applyFont="1" applyFill="1" applyBorder="1"/>
    <xf numFmtId="49" fontId="8" fillId="19" borderId="2" xfId="0" applyNumberFormat="1" applyFont="1" applyFill="1" applyBorder="1" applyAlignment="1">
      <alignment horizontal="left"/>
    </xf>
    <xf numFmtId="173" fontId="8" fillId="19" borderId="8" xfId="0" applyFont="1" applyFill="1" applyBorder="1"/>
    <xf numFmtId="173" fontId="0" fillId="21" borderId="26" xfId="0" applyFill="1" applyBorder="1" applyAlignment="1">
      <alignment horizontal="center"/>
    </xf>
    <xf numFmtId="173" fontId="7" fillId="0" borderId="0" xfId="0" applyFont="1" applyFill="1" applyBorder="1" applyAlignment="1">
      <alignment horizontal="center"/>
    </xf>
    <xf numFmtId="173" fontId="11" fillId="0" borderId="0" xfId="0" applyFont="1" applyFill="1" applyBorder="1" applyAlignment="1">
      <alignment horizontal="center"/>
    </xf>
    <xf numFmtId="173" fontId="7" fillId="21" borderId="0" xfId="0" applyFont="1" applyFill="1" applyAlignment="1">
      <alignment horizontal="center"/>
    </xf>
    <xf numFmtId="173" fontId="8" fillId="19" borderId="0" xfId="0" applyFont="1" applyFill="1" applyAlignment="1">
      <alignment horizontal="center"/>
    </xf>
    <xf numFmtId="49" fontId="8" fillId="0" borderId="14" xfId="0" applyNumberFormat="1" applyFont="1" applyFill="1" applyBorder="1" applyAlignment="1">
      <alignment horizontal="left"/>
    </xf>
    <xf numFmtId="173" fontId="8" fillId="0" borderId="15" xfId="0" applyFont="1" applyFill="1" applyBorder="1"/>
    <xf numFmtId="173" fontId="11" fillId="0" borderId="14" xfId="0" applyFont="1" applyFill="1" applyBorder="1"/>
    <xf numFmtId="173" fontId="11" fillId="0" borderId="15" xfId="0" applyFont="1" applyFill="1" applyBorder="1"/>
    <xf numFmtId="49" fontId="8" fillId="0" borderId="14" xfId="0" applyNumberFormat="1" applyFont="1" applyFill="1" applyBorder="1"/>
    <xf numFmtId="173" fontId="0" fillId="19" borderId="67" xfId="0" applyFill="1" applyBorder="1"/>
    <xf numFmtId="173" fontId="0" fillId="0" borderId="5" xfId="0" applyFill="1" applyBorder="1" applyAlignment="1">
      <alignment horizontal="right"/>
    </xf>
    <xf numFmtId="173" fontId="0" fillId="0" borderId="12" xfId="0" applyFill="1" applyBorder="1" applyAlignment="1">
      <alignment horizontal="right"/>
    </xf>
    <xf numFmtId="173" fontId="0" fillId="0" borderId="67" xfId="0" applyFill="1" applyBorder="1" applyAlignment="1">
      <alignment horizontal="right"/>
    </xf>
    <xf numFmtId="173" fontId="0" fillId="0" borderId="8" xfId="0" applyFill="1" applyBorder="1" applyAlignment="1">
      <alignment horizontal="right"/>
    </xf>
    <xf numFmtId="173" fontId="0" fillId="0" borderId="70" xfId="0" applyFill="1" applyBorder="1" applyAlignment="1">
      <alignment horizontal="right"/>
    </xf>
    <xf numFmtId="164" fontId="0" fillId="0" borderId="5" xfId="0" applyNumberFormat="1" applyFill="1" applyBorder="1" applyAlignment="1">
      <alignment horizontal="right"/>
    </xf>
    <xf numFmtId="164" fontId="0" fillId="0" borderId="70" xfId="0" applyNumberFormat="1" applyFill="1" applyBorder="1" applyAlignment="1">
      <alignment horizontal="right"/>
    </xf>
    <xf numFmtId="173" fontId="0" fillId="0" borderId="37" xfId="0" applyBorder="1"/>
    <xf numFmtId="164" fontId="0" fillId="19" borderId="5" xfId="0" applyNumberFormat="1" applyFill="1" applyBorder="1" applyAlignment="1">
      <alignment horizontal="right"/>
    </xf>
    <xf numFmtId="164" fontId="0" fillId="19" borderId="67" xfId="0" applyNumberFormat="1" applyFill="1" applyBorder="1" applyAlignment="1">
      <alignment horizontal="right"/>
    </xf>
    <xf numFmtId="164" fontId="0" fillId="19" borderId="70" xfId="0" applyNumberFormat="1" applyFill="1" applyBorder="1" applyAlignment="1">
      <alignment horizontal="right"/>
    </xf>
    <xf numFmtId="167" fontId="32" fillId="19" borderId="46" xfId="2" applyNumberFormat="1" applyFont="1" applyFill="1" applyBorder="1" applyAlignment="1">
      <alignment horizontal="right"/>
    </xf>
    <xf numFmtId="167" fontId="32" fillId="19" borderId="12" xfId="2" applyNumberFormat="1" applyFont="1" applyFill="1" applyBorder="1" applyAlignment="1">
      <alignment horizontal="right"/>
    </xf>
    <xf numFmtId="167" fontId="32" fillId="19" borderId="67" xfId="2" applyNumberFormat="1" applyFont="1" applyFill="1" applyBorder="1" applyAlignment="1">
      <alignment horizontal="right"/>
    </xf>
    <xf numFmtId="167" fontId="32" fillId="19" borderId="70" xfId="2" applyNumberFormat="1" applyFont="1" applyFill="1" applyBorder="1" applyAlignment="1">
      <alignment horizontal="right"/>
    </xf>
    <xf numFmtId="173" fontId="0" fillId="0" borderId="46" xfId="0" applyFill="1" applyBorder="1" applyAlignment="1">
      <alignment horizontal="right"/>
    </xf>
    <xf numFmtId="167" fontId="0" fillId="0" borderId="46" xfId="2" applyNumberFormat="1" applyFont="1" applyFill="1" applyBorder="1" applyAlignment="1">
      <alignment horizontal="right"/>
    </xf>
    <xf numFmtId="167" fontId="0" fillId="0" borderId="12" xfId="2" applyNumberFormat="1" applyFont="1" applyFill="1" applyBorder="1" applyAlignment="1">
      <alignment horizontal="right"/>
    </xf>
    <xf numFmtId="167" fontId="0" fillId="0" borderId="67" xfId="2" applyNumberFormat="1" applyFont="1" applyFill="1" applyBorder="1" applyAlignment="1">
      <alignment horizontal="right"/>
    </xf>
    <xf numFmtId="167" fontId="0" fillId="0" borderId="70" xfId="2" applyNumberFormat="1" applyFont="1" applyFill="1" applyBorder="1" applyAlignment="1">
      <alignment horizontal="right"/>
    </xf>
    <xf numFmtId="167" fontId="11" fillId="0" borderId="12" xfId="2" applyNumberFormat="1" applyFont="1" applyFill="1" applyBorder="1" applyAlignment="1">
      <alignment horizontal="right"/>
    </xf>
    <xf numFmtId="164" fontId="11" fillId="0" borderId="12" xfId="0" applyNumberFormat="1" applyFont="1" applyFill="1" applyBorder="1" applyAlignment="1">
      <alignment horizontal="right"/>
    </xf>
    <xf numFmtId="164" fontId="11" fillId="0" borderId="67" xfId="0" applyNumberFormat="1" applyFont="1" applyFill="1" applyBorder="1" applyAlignment="1">
      <alignment horizontal="right"/>
    </xf>
    <xf numFmtId="164" fontId="11" fillId="0" borderId="70" xfId="0" applyNumberFormat="1" applyFont="1" applyFill="1" applyBorder="1" applyAlignment="1">
      <alignment horizontal="right"/>
    </xf>
    <xf numFmtId="167" fontId="7" fillId="0" borderId="5" xfId="2" applyNumberFormat="1" applyFont="1" applyFill="1" applyBorder="1" applyAlignment="1">
      <alignment horizontal="center"/>
    </xf>
    <xf numFmtId="167" fontId="7" fillId="0" borderId="12" xfId="2" applyNumberFormat="1" applyFont="1" applyFill="1" applyBorder="1" applyAlignment="1">
      <alignment horizontal="right"/>
    </xf>
    <xf numFmtId="164" fontId="7" fillId="0" borderId="12" xfId="0" applyNumberFormat="1" applyFont="1" applyFill="1" applyBorder="1" applyAlignment="1">
      <alignment horizontal="right"/>
    </xf>
    <xf numFmtId="164" fontId="7" fillId="0" borderId="67" xfId="0" applyNumberFormat="1" applyFont="1" applyFill="1" applyBorder="1" applyAlignment="1">
      <alignment horizontal="right"/>
    </xf>
    <xf numFmtId="164" fontId="7" fillId="0" borderId="70" xfId="0" applyNumberFormat="1" applyFont="1" applyFill="1" applyBorder="1" applyAlignment="1">
      <alignment horizontal="right"/>
    </xf>
    <xf numFmtId="9" fontId="0" fillId="0" borderId="30" xfId="0" applyNumberFormat="1" applyFill="1" applyBorder="1"/>
    <xf numFmtId="9" fontId="0" fillId="0" borderId="30" xfId="0" applyNumberFormat="1" applyFill="1" applyBorder="1" applyAlignment="1">
      <alignment horizontal="center"/>
    </xf>
    <xf numFmtId="9" fontId="0" fillId="0" borderId="26" xfId="0" applyNumberFormat="1" applyFill="1" applyBorder="1"/>
    <xf numFmtId="9" fontId="0" fillId="0" borderId="26" xfId="0" applyNumberFormat="1" applyFill="1" applyBorder="1" applyAlignment="1">
      <alignment horizontal="center"/>
    </xf>
    <xf numFmtId="9" fontId="11" fillId="0" borderId="26" xfId="0" applyNumberFormat="1" applyFont="1" applyFill="1" applyBorder="1"/>
    <xf numFmtId="9" fontId="11" fillId="0" borderId="26" xfId="0" applyNumberFormat="1" applyFont="1" applyFill="1" applyBorder="1" applyAlignment="1">
      <alignment horizontal="center"/>
    </xf>
    <xf numFmtId="9" fontId="7" fillId="0" borderId="26" xfId="0" applyNumberFormat="1" applyFont="1" applyFill="1" applyBorder="1"/>
    <xf numFmtId="9" fontId="7" fillId="0" borderId="26" xfId="0" applyNumberFormat="1" applyFont="1" applyFill="1" applyBorder="1" applyAlignment="1">
      <alignment horizontal="center"/>
    </xf>
    <xf numFmtId="9" fontId="0" fillId="19" borderId="26" xfId="0" applyNumberFormat="1" applyFill="1" applyBorder="1" applyAlignment="1">
      <alignment horizontal="center"/>
    </xf>
    <xf numFmtId="9" fontId="0" fillId="19" borderId="26" xfId="0" applyNumberFormat="1" applyFill="1" applyBorder="1"/>
    <xf numFmtId="164" fontId="0" fillId="0" borderId="26" xfId="2" applyNumberFormat="1" applyFont="1" applyFill="1" applyBorder="1" applyAlignment="1">
      <alignment horizontal="center"/>
    </xf>
    <xf numFmtId="167" fontId="0" fillId="0" borderId="26" xfId="2" applyNumberFormat="1" applyFont="1" applyFill="1" applyBorder="1" applyAlignment="1"/>
    <xf numFmtId="164" fontId="29" fillId="0" borderId="26" xfId="2" applyNumberFormat="1" applyFont="1" applyFill="1" applyBorder="1" applyAlignment="1">
      <alignment horizontal="center"/>
    </xf>
    <xf numFmtId="164" fontId="0" fillId="19" borderId="26" xfId="0" applyNumberFormat="1" applyFill="1" applyBorder="1" applyAlignment="1">
      <alignment horizontal="center"/>
    </xf>
    <xf numFmtId="164" fontId="32" fillId="19" borderId="26" xfId="2" applyNumberFormat="1" applyFont="1" applyFill="1" applyBorder="1" applyAlignment="1">
      <alignment horizontal="center"/>
    </xf>
    <xf numFmtId="164" fontId="7" fillId="0" borderId="0" xfId="0" applyNumberFormat="1" applyFont="1" applyFill="1" applyBorder="1" applyAlignment="1">
      <alignment horizontal="right"/>
    </xf>
    <xf numFmtId="164" fontId="29" fillId="0" borderId="46" xfId="2" applyNumberFormat="1" applyFont="1" applyFill="1" applyBorder="1" applyAlignment="1">
      <alignment horizontal="center"/>
    </xf>
    <xf numFmtId="167" fontId="29" fillId="0" borderId="46" xfId="2" applyNumberFormat="1" applyFont="1" applyFill="1" applyBorder="1" applyAlignment="1">
      <alignment horizontal="center"/>
    </xf>
    <xf numFmtId="167" fontId="11" fillId="0" borderId="46" xfId="2" applyNumberFormat="1" applyFont="1" applyFill="1" applyBorder="1" applyAlignment="1">
      <alignment horizontal="center"/>
    </xf>
    <xf numFmtId="167" fontId="7" fillId="0" borderId="46" xfId="2" applyNumberFormat="1" applyFont="1" applyFill="1" applyBorder="1" applyAlignment="1">
      <alignment horizontal="center"/>
    </xf>
    <xf numFmtId="164" fontId="11" fillId="0" borderId="26" xfId="2" applyNumberFormat="1" applyFont="1" applyFill="1" applyBorder="1" applyAlignment="1">
      <alignment horizontal="center"/>
    </xf>
    <xf numFmtId="164" fontId="7" fillId="0" borderId="26" xfId="2" applyNumberFormat="1" applyFont="1" applyFill="1" applyBorder="1" applyAlignment="1">
      <alignment horizontal="center"/>
    </xf>
    <xf numFmtId="173" fontId="8" fillId="0" borderId="107" xfId="0" applyFont="1" applyFill="1" applyBorder="1"/>
    <xf numFmtId="173" fontId="0" fillId="0" borderId="107" xfId="0" applyFill="1" applyBorder="1"/>
    <xf numFmtId="173" fontId="8" fillId="0" borderId="12" xfId="0" applyFont="1" applyFill="1" applyBorder="1"/>
    <xf numFmtId="173" fontId="8" fillId="0" borderId="70" xfId="0" applyFont="1" applyFill="1" applyBorder="1"/>
    <xf numFmtId="173" fontId="8" fillId="0" borderId="97" xfId="0" applyFont="1" applyFill="1" applyBorder="1"/>
    <xf numFmtId="173" fontId="8" fillId="0" borderId="8" xfId="0" applyFont="1" applyFill="1" applyBorder="1"/>
    <xf numFmtId="173" fontId="8" fillId="0" borderId="67" xfId="0" applyFont="1" applyFill="1" applyBorder="1"/>
    <xf numFmtId="173" fontId="7" fillId="0" borderId="12" xfId="0" applyFont="1" applyFill="1" applyBorder="1"/>
    <xf numFmtId="173" fontId="11" fillId="0" borderId="46" xfId="0" applyFont="1" applyFill="1" applyBorder="1"/>
    <xf numFmtId="164" fontId="11" fillId="0" borderId="12" xfId="0" applyNumberFormat="1" applyFont="1" applyFill="1" applyBorder="1"/>
    <xf numFmtId="164" fontId="11" fillId="0" borderId="5" xfId="0" applyNumberFormat="1" applyFont="1" applyFill="1" applyBorder="1"/>
    <xf numFmtId="164" fontId="11" fillId="0" borderId="46" xfId="0" applyNumberFormat="1" applyFont="1" applyFill="1" applyBorder="1"/>
    <xf numFmtId="164" fontId="7" fillId="0" borderId="2" xfId="0" applyNumberFormat="1" applyFont="1" applyFill="1" applyBorder="1"/>
    <xf numFmtId="164" fontId="7" fillId="0" borderId="12" xfId="0" applyNumberFormat="1" applyFont="1" applyFill="1" applyBorder="1"/>
    <xf numFmtId="164" fontId="7" fillId="0" borderId="5" xfId="0" applyNumberFormat="1" applyFont="1" applyFill="1" applyBorder="1"/>
    <xf numFmtId="164" fontId="7" fillId="0" borderId="46" xfId="0" applyNumberFormat="1" applyFont="1" applyFill="1" applyBorder="1"/>
    <xf numFmtId="164" fontId="7" fillId="0" borderId="1" xfId="0" applyNumberFormat="1" applyFont="1" applyFill="1" applyBorder="1"/>
    <xf numFmtId="173" fontId="7" fillId="0" borderId="46" xfId="0" applyFont="1" applyFill="1" applyBorder="1"/>
    <xf numFmtId="173" fontId="7" fillId="0" borderId="1" xfId="0" applyFont="1" applyFill="1" applyBorder="1"/>
    <xf numFmtId="173" fontId="8" fillId="19" borderId="70" xfId="0" applyFont="1" applyFill="1" applyBorder="1"/>
    <xf numFmtId="164" fontId="0" fillId="19" borderId="5" xfId="0" applyNumberFormat="1" applyFill="1" applyBorder="1"/>
    <xf numFmtId="164" fontId="0" fillId="19" borderId="70" xfId="0" applyNumberFormat="1" applyFill="1" applyBorder="1"/>
    <xf numFmtId="173" fontId="8" fillId="19" borderId="22" xfId="0" applyFont="1" applyFill="1" applyBorder="1"/>
    <xf numFmtId="164" fontId="0" fillId="19" borderId="46" xfId="0" applyNumberFormat="1" applyFill="1" applyBorder="1"/>
    <xf numFmtId="164" fontId="0" fillId="19" borderId="0" xfId="0" applyNumberFormat="1" applyFill="1" applyBorder="1"/>
    <xf numFmtId="164" fontId="0" fillId="19" borderId="2" xfId="0" applyNumberFormat="1" applyFill="1" applyBorder="1"/>
    <xf numFmtId="173" fontId="0" fillId="21" borderId="0" xfId="0" applyFill="1"/>
    <xf numFmtId="173" fontId="11" fillId="0" borderId="3" xfId="0" applyFont="1" applyFill="1" applyBorder="1"/>
    <xf numFmtId="173" fontId="11" fillId="0" borderId="6" xfId="0" applyFont="1" applyFill="1" applyBorder="1"/>
    <xf numFmtId="173" fontId="11" fillId="19" borderId="70" xfId="0" applyFont="1" applyFill="1" applyBorder="1"/>
    <xf numFmtId="173" fontId="11" fillId="19" borderId="22" xfId="0" applyFont="1" applyFill="1" applyBorder="1"/>
    <xf numFmtId="173" fontId="11" fillId="19" borderId="21" xfId="0" applyFont="1" applyFill="1" applyBorder="1"/>
    <xf numFmtId="164" fontId="8" fillId="0" borderId="36" xfId="0" applyNumberFormat="1" applyFont="1" applyFill="1" applyBorder="1"/>
    <xf numFmtId="164" fontId="8" fillId="0" borderId="5" xfId="0" applyNumberFormat="1" applyFont="1" applyFill="1" applyBorder="1"/>
    <xf numFmtId="164" fontId="8" fillId="0" borderId="21" xfId="0" applyNumberFormat="1" applyFont="1" applyFill="1" applyBorder="1"/>
    <xf numFmtId="164" fontId="8" fillId="0" borderId="101" xfId="0" applyNumberFormat="1" applyFont="1" applyFill="1" applyBorder="1"/>
    <xf numFmtId="164" fontId="0" fillId="0" borderId="23" xfId="0" applyNumberFormat="1" applyFill="1" applyBorder="1"/>
    <xf numFmtId="164" fontId="0" fillId="0" borderId="15" xfId="0" applyNumberFormat="1" applyFill="1" applyBorder="1"/>
    <xf numFmtId="164" fontId="0" fillId="0" borderId="36" xfId="0" applyNumberFormat="1" applyFill="1" applyBorder="1"/>
    <xf numFmtId="164" fontId="8" fillId="0" borderId="103" xfId="0" applyNumberFormat="1" applyFont="1" applyFill="1" applyBorder="1"/>
    <xf numFmtId="164" fontId="0" fillId="0" borderId="107" xfId="0" applyNumberFormat="1" applyFill="1" applyBorder="1"/>
    <xf numFmtId="164" fontId="8" fillId="0" borderId="4" xfId="0" applyNumberFormat="1" applyFont="1" applyFill="1" applyBorder="1"/>
    <xf numFmtId="164" fontId="8" fillId="0" borderId="107" xfId="0" applyNumberFormat="1" applyFont="1" applyFill="1" applyBorder="1"/>
    <xf numFmtId="164" fontId="11" fillId="0" borderId="20" xfId="0" applyNumberFormat="1" applyFont="1" applyFill="1" applyBorder="1"/>
    <xf numFmtId="164" fontId="8" fillId="0" borderId="31" xfId="0" applyNumberFormat="1" applyFont="1" applyFill="1" applyBorder="1"/>
    <xf numFmtId="173" fontId="8" fillId="0" borderId="102" xfId="0" applyFont="1" applyFill="1" applyBorder="1"/>
    <xf numFmtId="164" fontId="11" fillId="0" borderId="4" xfId="0" applyNumberFormat="1" applyFont="1" applyFill="1" applyBorder="1"/>
    <xf numFmtId="164" fontId="11" fillId="0" borderId="103" xfId="0" applyNumberFormat="1" applyFont="1" applyFill="1" applyBorder="1"/>
    <xf numFmtId="164" fontId="8" fillId="0" borderId="37" xfId="0" applyNumberFormat="1" applyFont="1" applyFill="1" applyBorder="1"/>
    <xf numFmtId="164" fontId="8" fillId="0" borderId="29" xfId="0" applyNumberFormat="1" applyFont="1" applyFill="1" applyBorder="1"/>
    <xf numFmtId="164" fontId="11" fillId="0" borderId="33" xfId="0" applyNumberFormat="1" applyFont="1" applyFill="1" applyBorder="1"/>
    <xf numFmtId="164" fontId="11" fillId="0" borderId="34" xfId="0" applyNumberFormat="1" applyFont="1" applyFill="1" applyBorder="1"/>
    <xf numFmtId="173" fontId="8" fillId="0" borderId="9" xfId="0" applyFont="1" applyFill="1" applyBorder="1"/>
    <xf numFmtId="49" fontId="11" fillId="0" borderId="14" xfId="0" applyNumberFormat="1" applyFont="1" applyFill="1" applyBorder="1"/>
    <xf numFmtId="164" fontId="8" fillId="0" borderId="33" xfId="0" applyNumberFormat="1" applyFont="1" applyFill="1" applyBorder="1"/>
    <xf numFmtId="164" fontId="8" fillId="0" borderId="34" xfId="0" applyNumberFormat="1" applyFont="1" applyFill="1" applyBorder="1"/>
    <xf numFmtId="164" fontId="27" fillId="0" borderId="2" xfId="0" applyNumberFormat="1" applyFont="1" applyFill="1" applyBorder="1"/>
    <xf numFmtId="164" fontId="27" fillId="0" borderId="1" xfId="0" applyNumberFormat="1" applyFont="1" applyFill="1" applyBorder="1"/>
    <xf numFmtId="10" fontId="0" fillId="0" borderId="0" xfId="0" applyNumberFormat="1" applyBorder="1" applyAlignment="1"/>
    <xf numFmtId="164" fontId="8" fillId="19" borderId="5" xfId="0" applyNumberFormat="1" applyFont="1" applyFill="1" applyBorder="1"/>
    <xf numFmtId="164" fontId="0" fillId="19" borderId="75" xfId="0" applyNumberFormat="1" applyFill="1" applyBorder="1"/>
    <xf numFmtId="166" fontId="0" fillId="19" borderId="0" xfId="0" applyNumberFormat="1" applyFill="1" applyBorder="1"/>
    <xf numFmtId="164" fontId="0" fillId="19" borderId="74" xfId="0" applyNumberFormat="1" applyFill="1" applyBorder="1"/>
    <xf numFmtId="166" fontId="0" fillId="19" borderId="0" xfId="0" applyNumberFormat="1" applyFill="1"/>
    <xf numFmtId="10" fontId="0" fillId="19" borderId="76" xfId="0" applyNumberFormat="1" applyFill="1" applyBorder="1" applyAlignment="1">
      <alignment horizontal="center"/>
    </xf>
    <xf numFmtId="164" fontId="0" fillId="19" borderId="1" xfId="0" applyNumberFormat="1" applyFill="1" applyBorder="1"/>
    <xf numFmtId="164" fontId="8" fillId="19" borderId="1" xfId="0" applyNumberFormat="1" applyFont="1" applyFill="1" applyBorder="1"/>
    <xf numFmtId="164" fontId="8" fillId="19" borderId="2" xfId="0" applyNumberFormat="1" applyFont="1" applyFill="1" applyBorder="1"/>
    <xf numFmtId="164" fontId="0" fillId="19" borderId="76" xfId="0" applyNumberFormat="1" applyFill="1" applyBorder="1"/>
    <xf numFmtId="173" fontId="11" fillId="0" borderId="34" xfId="0" applyFont="1" applyFill="1" applyBorder="1"/>
    <xf numFmtId="166" fontId="0" fillId="0" borderId="75" xfId="0" applyNumberFormat="1" applyBorder="1"/>
    <xf numFmtId="173" fontId="0" fillId="0" borderId="30" xfId="0" applyFill="1" applyBorder="1"/>
    <xf numFmtId="164" fontId="11" fillId="0" borderId="26" xfId="0" applyNumberFormat="1" applyFont="1" applyFill="1" applyBorder="1" applyAlignment="1">
      <alignment horizontal="center"/>
    </xf>
    <xf numFmtId="173" fontId="11" fillId="0" borderId="69" xfId="0" applyFont="1" applyFill="1" applyBorder="1"/>
    <xf numFmtId="173" fontId="11" fillId="0" borderId="27" xfId="0" applyFont="1" applyFill="1" applyBorder="1"/>
    <xf numFmtId="49" fontId="8" fillId="0" borderId="13" xfId="0" applyNumberFormat="1" applyFont="1" applyFill="1" applyBorder="1"/>
    <xf numFmtId="164" fontId="0" fillId="0" borderId="67" xfId="0" applyNumberFormat="1" applyFill="1" applyBorder="1"/>
    <xf numFmtId="173" fontId="11" fillId="0" borderId="17" xfId="0" applyFont="1" applyFill="1" applyBorder="1"/>
    <xf numFmtId="164" fontId="27" fillId="0" borderId="26" xfId="0" applyNumberFormat="1" applyFont="1" applyFill="1" applyBorder="1" applyAlignment="1">
      <alignment horizontal="center"/>
    </xf>
    <xf numFmtId="167" fontId="11" fillId="0" borderId="12" xfId="2" applyNumberFormat="1" applyFont="1" applyFill="1" applyBorder="1"/>
    <xf numFmtId="167" fontId="11" fillId="0" borderId="67" xfId="2" applyNumberFormat="1" applyFont="1" applyFill="1" applyBorder="1"/>
    <xf numFmtId="167" fontId="7" fillId="0" borderId="5" xfId="2" applyNumberFormat="1" applyFont="1" applyFill="1" applyBorder="1"/>
    <xf numFmtId="167" fontId="7" fillId="0" borderId="12" xfId="2" applyNumberFormat="1" applyFont="1" applyFill="1" applyBorder="1"/>
    <xf numFmtId="167" fontId="7" fillId="0" borderId="67" xfId="2" applyNumberFormat="1" applyFont="1" applyFill="1" applyBorder="1"/>
    <xf numFmtId="164" fontId="7" fillId="0" borderId="67" xfId="0" applyNumberFormat="1" applyFont="1" applyFill="1" applyBorder="1"/>
    <xf numFmtId="167" fontId="7" fillId="0" borderId="0" xfId="2" applyNumberFormat="1" applyFont="1" applyFill="1" applyBorder="1"/>
    <xf numFmtId="164" fontId="7" fillId="0" borderId="26" xfId="0" applyNumberFormat="1" applyFont="1" applyFill="1" applyBorder="1" applyAlignment="1">
      <alignment horizontal="center"/>
    </xf>
    <xf numFmtId="164" fontId="8" fillId="19" borderId="26" xfId="0" applyNumberFormat="1" applyFont="1" applyFill="1" applyBorder="1" applyAlignment="1">
      <alignment horizontal="center"/>
    </xf>
    <xf numFmtId="164" fontId="0" fillId="19" borderId="46" xfId="0" applyNumberFormat="1" applyFill="1" applyBorder="1" applyAlignment="1">
      <alignment horizontal="right"/>
    </xf>
    <xf numFmtId="164" fontId="0" fillId="19" borderId="67" xfId="0" applyNumberFormat="1" applyFill="1" applyBorder="1" applyAlignment="1">
      <alignment horizontal="center"/>
    </xf>
    <xf numFmtId="173" fontId="0" fillId="0" borderId="4" xfId="0" applyFill="1" applyBorder="1"/>
    <xf numFmtId="167" fontId="32" fillId="19" borderId="46" xfId="2" applyNumberFormat="1" applyFont="1" applyFill="1" applyBorder="1"/>
    <xf numFmtId="167" fontId="10" fillId="19" borderId="12" xfId="2" applyNumberFormat="1" applyFont="1" applyFill="1" applyBorder="1"/>
    <xf numFmtId="167" fontId="10" fillId="19" borderId="67" xfId="2" applyNumberFormat="1" applyFont="1" applyFill="1" applyBorder="1"/>
    <xf numFmtId="167" fontId="10" fillId="0" borderId="46" xfId="2" applyNumberFormat="1" applyFont="1" applyFill="1" applyBorder="1"/>
    <xf numFmtId="3" fontId="0" fillId="19" borderId="0" xfId="0" applyNumberFormat="1" applyFill="1"/>
    <xf numFmtId="2" fontId="0" fillId="19" borderId="0" xfId="0" applyNumberFormat="1" applyFill="1"/>
    <xf numFmtId="173" fontId="8" fillId="0" borderId="13" xfId="0" applyFont="1" applyFill="1" applyBorder="1"/>
    <xf numFmtId="49" fontId="10" fillId="0" borderId="0" xfId="0" applyNumberFormat="1" applyFont="1" applyFill="1" applyAlignment="1">
      <alignment horizontal="right"/>
    </xf>
    <xf numFmtId="49" fontId="7" fillId="0" borderId="0" xfId="0" applyNumberFormat="1" applyFont="1" applyFill="1" applyAlignment="1">
      <alignment horizontal="right"/>
    </xf>
    <xf numFmtId="49" fontId="8" fillId="0" borderId="108" xfId="0" applyNumberFormat="1" applyFont="1" applyFill="1" applyBorder="1"/>
    <xf numFmtId="173" fontId="0" fillId="0" borderId="109" xfId="0" applyFill="1" applyBorder="1"/>
    <xf numFmtId="173" fontId="0" fillId="0" borderId="37" xfId="0" applyFill="1" applyBorder="1"/>
    <xf numFmtId="173" fontId="0" fillId="0" borderId="28" xfId="0" applyFill="1" applyBorder="1"/>
    <xf numFmtId="173" fontId="7" fillId="19" borderId="4" xfId="0" applyFont="1" applyFill="1" applyBorder="1"/>
    <xf numFmtId="173" fontId="7" fillId="19" borderId="7" xfId="0" applyFont="1" applyFill="1" applyBorder="1"/>
    <xf numFmtId="173" fontId="7" fillId="19" borderId="16" xfId="0" applyFont="1" applyFill="1" applyBorder="1"/>
    <xf numFmtId="167" fontId="7" fillId="19" borderId="46" xfId="2" applyNumberFormat="1" applyFill="1" applyBorder="1"/>
    <xf numFmtId="167" fontId="7" fillId="19" borderId="12" xfId="2" applyNumberFormat="1" applyFill="1" applyBorder="1"/>
    <xf numFmtId="167" fontId="7" fillId="19" borderId="67" xfId="2" applyNumberFormat="1" applyFill="1" applyBorder="1"/>
    <xf numFmtId="167" fontId="11" fillId="0" borderId="46" xfId="2" applyNumberFormat="1" applyFont="1" applyFill="1" applyBorder="1"/>
    <xf numFmtId="164" fontId="8" fillId="0" borderId="2" xfId="0" applyNumberFormat="1" applyFont="1" applyFill="1" applyBorder="1" applyAlignment="1">
      <alignment horizontal="center"/>
    </xf>
    <xf numFmtId="164" fontId="8" fillId="19" borderId="0" xfId="0" applyNumberFormat="1" applyFont="1" applyFill="1"/>
    <xf numFmtId="49" fontId="8" fillId="19" borderId="0" xfId="0" applyNumberFormat="1" applyFont="1" applyFill="1" applyBorder="1" applyAlignment="1">
      <alignment horizontal="left"/>
    </xf>
    <xf numFmtId="173" fontId="0" fillId="21" borderId="26" xfId="0" applyFill="1" applyBorder="1" applyAlignment="1">
      <alignment horizontal="left" vertical="center" wrapText="1"/>
    </xf>
    <xf numFmtId="173" fontId="10" fillId="0" borderId="70" xfId="0" applyFont="1" applyFill="1" applyBorder="1"/>
    <xf numFmtId="173" fontId="10" fillId="0" borderId="5" xfId="0" applyFont="1" applyFill="1" applyBorder="1" applyAlignment="1">
      <alignment horizontal="center"/>
    </xf>
    <xf numFmtId="173" fontId="10" fillId="0" borderId="12" xfId="0" applyFont="1" applyFill="1" applyBorder="1" applyAlignment="1">
      <alignment horizontal="center"/>
    </xf>
    <xf numFmtId="173" fontId="10" fillId="0" borderId="26" xfId="0" applyFont="1" applyFill="1" applyBorder="1" applyAlignment="1">
      <alignment horizontal="center"/>
    </xf>
    <xf numFmtId="49" fontId="10" fillId="0" borderId="26" xfId="0" applyNumberFormat="1" applyFont="1" applyFill="1" applyBorder="1" applyAlignment="1">
      <alignment horizontal="center"/>
    </xf>
    <xf numFmtId="173" fontId="10" fillId="0" borderId="26" xfId="0" applyFont="1" applyFill="1" applyBorder="1" applyAlignment="1">
      <alignment horizontal="left" vertical="center" wrapText="1"/>
    </xf>
    <xf numFmtId="173" fontId="10" fillId="0" borderId="26" xfId="0" applyFont="1" applyFill="1" applyBorder="1"/>
    <xf numFmtId="16" fontId="0" fillId="0" borderId="26" xfId="0" applyNumberFormat="1" applyFill="1" applyBorder="1" applyAlignment="1">
      <alignment horizontal="center"/>
    </xf>
    <xf numFmtId="49" fontId="8" fillId="18" borderId="14" xfId="0" applyNumberFormat="1" applyFont="1" applyFill="1" applyBorder="1"/>
    <xf numFmtId="173" fontId="7" fillId="0" borderId="26" xfId="0" applyFont="1" applyBorder="1" applyAlignment="1">
      <alignment horizontal="left" vertical="center" wrapText="1"/>
    </xf>
    <xf numFmtId="167" fontId="23" fillId="8" borderId="6" xfId="2" applyNumberFormat="1" applyFont="1" applyFill="1" applyBorder="1" applyAlignment="1">
      <alignment horizontal="center"/>
    </xf>
    <xf numFmtId="167" fontId="23" fillId="8" borderId="12" xfId="2" applyNumberFormat="1" applyFont="1" applyFill="1" applyBorder="1" applyAlignment="1">
      <alignment horizontal="center"/>
    </xf>
    <xf numFmtId="167" fontId="24" fillId="0" borderId="0" xfId="2" applyNumberFormat="1" applyFont="1" applyFill="1" applyBorder="1" applyAlignment="1">
      <alignment horizontal="center"/>
    </xf>
    <xf numFmtId="167" fontId="0" fillId="0" borderId="0" xfId="2" applyNumberFormat="1" applyFont="1" applyFill="1" applyBorder="1" applyAlignment="1">
      <alignment horizontal="center"/>
    </xf>
    <xf numFmtId="167" fontId="0" fillId="0" borderId="18" xfId="2" applyNumberFormat="1" applyFont="1" applyFill="1" applyBorder="1" applyAlignment="1">
      <alignment horizontal="center"/>
    </xf>
    <xf numFmtId="167" fontId="0" fillId="0" borderId="0" xfId="2" applyNumberFormat="1" applyFont="1" applyBorder="1" applyAlignment="1">
      <alignment horizontal="center"/>
    </xf>
    <xf numFmtId="167" fontId="0" fillId="0" borderId="0" xfId="2" applyNumberFormat="1" applyFont="1" applyAlignment="1">
      <alignment horizontal="center"/>
    </xf>
    <xf numFmtId="15" fontId="23" fillId="19" borderId="110" xfId="0" applyNumberFormat="1" applyFont="1" applyFill="1" applyBorder="1" applyAlignment="1">
      <alignment horizontal="center"/>
    </xf>
    <xf numFmtId="173" fontId="23" fillId="19" borderId="110" xfId="0" applyFont="1" applyFill="1" applyBorder="1" applyAlignment="1">
      <alignment horizontal="center"/>
    </xf>
    <xf numFmtId="173" fontId="23" fillId="19" borderId="95" xfId="0" applyFont="1" applyFill="1" applyBorder="1" applyAlignment="1">
      <alignment horizontal="center"/>
    </xf>
    <xf numFmtId="167" fontId="23" fillId="19" borderId="95" xfId="2" applyNumberFormat="1" applyFont="1" applyFill="1" applyBorder="1" applyAlignment="1">
      <alignment horizontal="right"/>
    </xf>
    <xf numFmtId="10" fontId="23" fillId="19" borderId="95" xfId="0" applyNumberFormat="1" applyFont="1" applyFill="1" applyBorder="1" applyAlignment="1">
      <alignment horizontal="center"/>
    </xf>
    <xf numFmtId="15" fontId="23" fillId="19" borderId="46" xfId="0" applyNumberFormat="1" applyFont="1" applyFill="1" applyBorder="1" applyAlignment="1">
      <alignment horizontal="center"/>
    </xf>
    <xf numFmtId="173" fontId="23" fillId="19" borderId="46" xfId="0" applyFont="1" applyFill="1" applyBorder="1" applyAlignment="1">
      <alignment horizontal="center"/>
    </xf>
    <xf numFmtId="173" fontId="23" fillId="19" borderId="12" xfId="0" applyFont="1" applyFill="1" applyBorder="1" applyAlignment="1">
      <alignment horizontal="center"/>
    </xf>
    <xf numFmtId="167" fontId="23" fillId="19" borderId="12" xfId="2" applyNumberFormat="1" applyFont="1" applyFill="1" applyBorder="1" applyAlignment="1">
      <alignment horizontal="right"/>
    </xf>
    <xf numFmtId="10" fontId="23" fillId="19" borderId="12" xfId="0" applyNumberFormat="1" applyFont="1" applyFill="1" applyBorder="1" applyAlignment="1">
      <alignment horizontal="center"/>
    </xf>
    <xf numFmtId="167" fontId="23" fillId="19" borderId="0" xfId="2" applyNumberFormat="1" applyFont="1" applyFill="1" applyBorder="1" applyAlignment="1">
      <alignment horizontal="right"/>
    </xf>
    <xf numFmtId="15" fontId="23" fillId="19" borderId="12" xfId="0" applyNumberFormat="1" applyFont="1" applyFill="1" applyBorder="1" applyAlignment="1">
      <alignment horizontal="center"/>
    </xf>
    <xf numFmtId="15" fontId="23" fillId="24" borderId="12" xfId="0" applyNumberFormat="1" applyFont="1" applyFill="1" applyBorder="1" applyAlignment="1">
      <alignment horizontal="center"/>
    </xf>
    <xf numFmtId="173" fontId="23" fillId="24" borderId="12" xfId="0" applyFont="1" applyFill="1" applyBorder="1" applyAlignment="1">
      <alignment horizontal="center"/>
    </xf>
    <xf numFmtId="167" fontId="23" fillId="24" borderId="12" xfId="2" applyNumberFormat="1" applyFont="1" applyFill="1" applyBorder="1" applyAlignment="1">
      <alignment horizontal="right"/>
    </xf>
    <xf numFmtId="10" fontId="23" fillId="24" borderId="12" xfId="0" applyNumberFormat="1" applyFont="1" applyFill="1" applyBorder="1" applyAlignment="1">
      <alignment horizontal="center"/>
    </xf>
    <xf numFmtId="164" fontId="23" fillId="24" borderId="12" xfId="0" applyNumberFormat="1" applyFont="1" applyFill="1" applyBorder="1" applyAlignment="1">
      <alignment horizontal="center"/>
    </xf>
    <xf numFmtId="15" fontId="23" fillId="25" borderId="12" xfId="0" applyNumberFormat="1" applyFont="1" applyFill="1" applyBorder="1" applyAlignment="1">
      <alignment horizontal="center"/>
    </xf>
    <xf numFmtId="173" fontId="23" fillId="25" borderId="12" xfId="0" applyFont="1" applyFill="1" applyBorder="1" applyAlignment="1">
      <alignment horizontal="center"/>
    </xf>
    <xf numFmtId="167" fontId="23" fillId="25" borderId="12" xfId="2" applyNumberFormat="1" applyFont="1" applyFill="1" applyBorder="1" applyAlignment="1">
      <alignment horizontal="right"/>
    </xf>
    <xf numFmtId="10" fontId="23" fillId="25" borderId="12" xfId="0" applyNumberFormat="1" applyFont="1" applyFill="1" applyBorder="1" applyAlignment="1">
      <alignment horizontal="center"/>
    </xf>
    <xf numFmtId="167" fontId="23" fillId="25" borderId="12" xfId="2" applyNumberFormat="1" applyFont="1" applyFill="1" applyBorder="1" applyAlignment="1"/>
    <xf numFmtId="164" fontId="23" fillId="25" borderId="12" xfId="0" applyNumberFormat="1" applyFont="1" applyFill="1" applyBorder="1" applyAlignment="1">
      <alignment horizontal="center"/>
    </xf>
    <xf numFmtId="173" fontId="24" fillId="25" borderId="2" xfId="0" applyFont="1" applyFill="1" applyBorder="1"/>
    <xf numFmtId="173" fontId="24" fillId="25" borderId="0" xfId="0" applyFont="1" applyFill="1" applyBorder="1" applyAlignment="1">
      <alignment horizontal="center"/>
    </xf>
    <xf numFmtId="173" fontId="24" fillId="24" borderId="2" xfId="0" applyFont="1" applyFill="1" applyBorder="1"/>
    <xf numFmtId="173" fontId="24" fillId="24" borderId="0" xfId="0" applyFont="1" applyFill="1" applyBorder="1" applyAlignment="1">
      <alignment horizontal="center"/>
    </xf>
    <xf numFmtId="173" fontId="23" fillId="24" borderId="0" xfId="0" applyFont="1" applyFill="1" applyBorder="1" applyAlignment="1">
      <alignment horizontal="center"/>
    </xf>
    <xf numFmtId="173" fontId="24" fillId="19" borderId="2" xfId="0" applyFont="1" applyFill="1" applyBorder="1"/>
    <xf numFmtId="173" fontId="24" fillId="19" borderId="0" xfId="0" applyFont="1" applyFill="1" applyBorder="1" applyAlignment="1">
      <alignment horizontal="center"/>
    </xf>
    <xf numFmtId="167" fontId="8" fillId="26" borderId="0" xfId="2" applyNumberFormat="1" applyFont="1" applyFill="1" applyAlignment="1">
      <alignment horizontal="center"/>
    </xf>
    <xf numFmtId="167" fontId="11" fillId="0" borderId="0" xfId="2" applyNumberFormat="1" applyFont="1"/>
    <xf numFmtId="167" fontId="7" fillId="0" borderId="0" xfId="2" applyNumberFormat="1" applyFont="1"/>
    <xf numFmtId="49" fontId="8" fillId="0" borderId="0" xfId="0" applyNumberFormat="1" applyFont="1" applyFill="1"/>
    <xf numFmtId="10" fontId="8" fillId="0" borderId="28" xfId="4" applyNumberFormat="1" applyFont="1" applyFill="1" applyBorder="1"/>
    <xf numFmtId="173" fontId="11" fillId="21" borderId="0" xfId="0" applyFont="1" applyFill="1"/>
    <xf numFmtId="10" fontId="8" fillId="0" borderId="28" xfId="4" applyNumberFormat="1" applyFont="1" applyFill="1" applyBorder="1" applyAlignment="1">
      <alignment horizontal="center" vertical="center"/>
    </xf>
    <xf numFmtId="173" fontId="17" fillId="0" borderId="0" xfId="0" applyFont="1" applyFill="1" applyBorder="1" applyAlignment="1"/>
    <xf numFmtId="173" fontId="23" fillId="19" borderId="20" xfId="0" applyFont="1" applyFill="1" applyBorder="1"/>
    <xf numFmtId="10" fontId="23" fillId="19" borderId="21" xfId="0" applyNumberFormat="1" applyFont="1" applyFill="1" applyBorder="1" applyAlignment="1">
      <alignment horizontal="center"/>
    </xf>
    <xf numFmtId="173" fontId="23" fillId="19" borderId="5" xfId="0" applyFont="1" applyFill="1" applyBorder="1"/>
    <xf numFmtId="10" fontId="23" fillId="19" borderId="70" xfId="0" applyNumberFormat="1" applyFont="1" applyFill="1" applyBorder="1" applyAlignment="1">
      <alignment horizontal="center"/>
    </xf>
    <xf numFmtId="173" fontId="23" fillId="24" borderId="5" xfId="0" applyFont="1" applyFill="1" applyBorder="1"/>
    <xf numFmtId="10" fontId="23" fillId="24" borderId="70" xfId="0" applyNumberFormat="1" applyFont="1" applyFill="1" applyBorder="1" applyAlignment="1">
      <alignment horizontal="center"/>
    </xf>
    <xf numFmtId="173" fontId="23" fillId="24" borderId="70" xfId="0" applyFont="1" applyFill="1" applyBorder="1" applyAlignment="1">
      <alignment horizontal="center"/>
    </xf>
    <xf numFmtId="10" fontId="23" fillId="24" borderId="1" xfId="0" applyNumberFormat="1" applyFont="1" applyFill="1" applyBorder="1" applyAlignment="1">
      <alignment horizontal="center"/>
    </xf>
    <xf numFmtId="173" fontId="23" fillId="25" borderId="5" xfId="0" applyFont="1" applyFill="1" applyBorder="1"/>
    <xf numFmtId="10" fontId="23" fillId="25" borderId="70" xfId="0" applyNumberFormat="1" applyFont="1" applyFill="1" applyBorder="1" applyAlignment="1">
      <alignment horizontal="center"/>
    </xf>
    <xf numFmtId="173" fontId="23" fillId="25" borderId="70" xfId="0" applyFont="1" applyFill="1" applyBorder="1" applyAlignment="1">
      <alignment horizontal="center"/>
    </xf>
    <xf numFmtId="10" fontId="8" fillId="0" borderId="0" xfId="4" applyNumberFormat="1" applyFont="1" applyFill="1" applyBorder="1" applyAlignment="1">
      <alignment horizontal="center" vertical="center"/>
    </xf>
    <xf numFmtId="49" fontId="8" fillId="0" borderId="111" xfId="0" applyNumberFormat="1" applyFont="1" applyFill="1" applyBorder="1" applyAlignment="1">
      <alignment horizontal="left"/>
    </xf>
    <xf numFmtId="173" fontId="8" fillId="0" borderId="112" xfId="0" applyFont="1" applyFill="1" applyBorder="1"/>
    <xf numFmtId="173" fontId="8" fillId="0" borderId="113" xfId="0" applyFont="1" applyFill="1" applyBorder="1"/>
    <xf numFmtId="173" fontId="8" fillId="0" borderId="35" xfId="0" applyFont="1" applyFill="1" applyBorder="1"/>
    <xf numFmtId="9" fontId="7" fillId="0" borderId="0" xfId="4" applyFont="1" applyFill="1" applyAlignment="1">
      <alignment horizontal="center"/>
    </xf>
    <xf numFmtId="9" fontId="7" fillId="0" borderId="0" xfId="4" applyFont="1" applyFill="1"/>
    <xf numFmtId="9" fontId="8" fillId="0" borderId="9" xfId="4" applyFont="1" applyFill="1" applyBorder="1" applyAlignment="1">
      <alignment horizontal="left"/>
    </xf>
    <xf numFmtId="9" fontId="7" fillId="0" borderId="9" xfId="4" applyFont="1" applyFill="1" applyBorder="1"/>
    <xf numFmtId="173" fontId="8" fillId="0" borderId="114" xfId="0" applyFont="1" applyFill="1" applyBorder="1"/>
    <xf numFmtId="167" fontId="7" fillId="0" borderId="26" xfId="2" applyNumberFormat="1" applyFont="1" applyFill="1" applyBorder="1"/>
    <xf numFmtId="173" fontId="11" fillId="27" borderId="0" xfId="0" applyFont="1" applyFill="1" applyAlignment="1">
      <alignment horizontal="center"/>
    </xf>
    <xf numFmtId="173" fontId="11" fillId="27" borderId="0" xfId="0" applyFont="1" applyFill="1"/>
    <xf numFmtId="173" fontId="11" fillId="0" borderId="2" xfId="0" applyFont="1" applyFill="1" applyBorder="1" applyAlignment="1">
      <alignment horizontal="center"/>
    </xf>
    <xf numFmtId="173" fontId="11" fillId="21" borderId="18" xfId="0" applyFont="1" applyFill="1" applyBorder="1"/>
    <xf numFmtId="173" fontId="11" fillId="21" borderId="7" xfId="0" applyFont="1" applyFill="1" applyBorder="1"/>
    <xf numFmtId="164" fontId="11" fillId="0" borderId="5" xfId="0" applyNumberFormat="1" applyFont="1" applyFill="1" applyBorder="1" applyAlignment="1">
      <alignment horizontal="right"/>
    </xf>
    <xf numFmtId="173" fontId="11" fillId="0" borderId="0" xfId="0" applyFont="1" applyFill="1" applyAlignment="1">
      <alignment horizontal="right"/>
    </xf>
    <xf numFmtId="173" fontId="11" fillId="21" borderId="16" xfId="0" applyFont="1" applyFill="1" applyBorder="1"/>
    <xf numFmtId="167" fontId="11" fillId="0" borderId="0" xfId="2" applyNumberFormat="1" applyFont="1" applyFill="1"/>
    <xf numFmtId="164" fontId="8" fillId="0" borderId="23" xfId="0" applyNumberFormat="1" applyFont="1" applyFill="1" applyBorder="1"/>
    <xf numFmtId="164" fontId="8" fillId="0" borderId="17" xfId="0" applyNumberFormat="1" applyFont="1" applyFill="1" applyBorder="1"/>
    <xf numFmtId="164" fontId="11" fillId="0" borderId="23" xfId="0" applyNumberFormat="1" applyFont="1" applyFill="1" applyBorder="1"/>
    <xf numFmtId="164" fontId="11" fillId="0" borderId="17" xfId="0" applyNumberFormat="1" applyFont="1" applyFill="1" applyBorder="1"/>
    <xf numFmtId="164" fontId="11" fillId="0" borderId="75" xfId="0" applyNumberFormat="1" applyFont="1" applyFill="1" applyBorder="1"/>
    <xf numFmtId="166" fontId="11" fillId="0" borderId="0" xfId="0" applyNumberFormat="1" applyFont="1" applyFill="1" applyBorder="1"/>
    <xf numFmtId="166" fontId="11" fillId="0" borderId="0" xfId="0" applyNumberFormat="1" applyFont="1" applyFill="1"/>
    <xf numFmtId="10" fontId="11" fillId="0" borderId="76" xfId="0" applyNumberFormat="1" applyFont="1" applyFill="1" applyBorder="1" applyAlignment="1">
      <alignment horizontal="center"/>
    </xf>
    <xf numFmtId="164" fontId="11" fillId="0" borderId="76" xfId="0" applyNumberFormat="1" applyFont="1" applyFill="1" applyBorder="1"/>
    <xf numFmtId="173" fontId="7" fillId="0" borderId="9" xfId="0" applyFont="1" applyFill="1" applyBorder="1"/>
    <xf numFmtId="167" fontId="0" fillId="0" borderId="5" xfId="2" applyNumberFormat="1" applyFont="1" applyFill="1" applyBorder="1"/>
    <xf numFmtId="173" fontId="0" fillId="0" borderId="46" xfId="0" applyBorder="1" applyAlignment="1">
      <alignment horizontal="center"/>
    </xf>
    <xf numFmtId="173" fontId="0" fillId="0" borderId="46" xfId="0" applyFill="1" applyBorder="1" applyAlignment="1">
      <alignment horizontal="center"/>
    </xf>
    <xf numFmtId="173" fontId="8" fillId="0" borderId="1" xfId="0" applyFont="1" applyFill="1" applyBorder="1" applyAlignment="1">
      <alignment horizontal="center"/>
    </xf>
    <xf numFmtId="173" fontId="7" fillId="0" borderId="70" xfId="0" applyFont="1" applyFill="1" applyBorder="1" applyAlignment="1">
      <alignment horizontal="center"/>
    </xf>
    <xf numFmtId="16" fontId="7" fillId="0" borderId="26" xfId="0" applyNumberFormat="1" applyFont="1" applyFill="1" applyBorder="1" applyAlignment="1">
      <alignment horizontal="center"/>
    </xf>
    <xf numFmtId="173" fontId="7" fillId="0" borderId="26" xfId="0" applyFont="1" applyFill="1" applyBorder="1" applyAlignment="1">
      <alignment horizontal="center" wrapText="1"/>
    </xf>
    <xf numFmtId="15" fontId="7" fillId="0" borderId="2" xfId="0" applyNumberFormat="1" applyFont="1" applyFill="1" applyBorder="1" applyAlignment="1">
      <alignment horizontal="center"/>
    </xf>
    <xf numFmtId="15" fontId="7" fillId="0" borderId="0" xfId="0" applyNumberFormat="1" applyFont="1" applyFill="1" applyAlignment="1">
      <alignment horizontal="center"/>
    </xf>
    <xf numFmtId="49" fontId="8" fillId="18" borderId="111" xfId="0" applyNumberFormat="1" applyFont="1" applyFill="1" applyBorder="1" applyAlignment="1">
      <alignment horizontal="left"/>
    </xf>
    <xf numFmtId="173" fontId="8" fillId="18" borderId="112" xfId="0" applyFont="1" applyFill="1" applyBorder="1"/>
    <xf numFmtId="173" fontId="8" fillId="18" borderId="113" xfId="0" applyFont="1" applyFill="1" applyBorder="1"/>
    <xf numFmtId="173" fontId="8" fillId="0" borderId="26" xfId="0" applyFont="1" applyFill="1" applyBorder="1"/>
    <xf numFmtId="173" fontId="8" fillId="0" borderId="26" xfId="0" applyFont="1" applyFill="1" applyBorder="1" applyAlignment="1">
      <alignment horizontal="center" vertical="center"/>
    </xf>
    <xf numFmtId="173" fontId="7" fillId="0" borderId="5" xfId="0" applyFont="1" applyBorder="1" applyAlignment="1">
      <alignment horizontal="center"/>
    </xf>
    <xf numFmtId="173" fontId="7" fillId="0" borderId="5" xfId="0" applyFont="1" applyFill="1" applyBorder="1"/>
    <xf numFmtId="173" fontId="24" fillId="0" borderId="0" xfId="0" applyFont="1" applyFill="1" applyBorder="1" applyAlignment="1">
      <alignment horizontal="left"/>
    </xf>
    <xf numFmtId="164" fontId="24" fillId="0" borderId="18" xfId="0" applyNumberFormat="1" applyFont="1" applyFill="1" applyBorder="1" applyAlignment="1">
      <alignment horizontal="left"/>
    </xf>
    <xf numFmtId="164" fontId="24" fillId="0" borderId="0" xfId="0" applyNumberFormat="1" applyFont="1" applyAlignment="1">
      <alignment horizontal="center"/>
    </xf>
    <xf numFmtId="167" fontId="24" fillId="0" borderId="18" xfId="2" applyNumberFormat="1" applyFont="1" applyFill="1" applyBorder="1" applyAlignment="1">
      <alignment horizontal="center"/>
    </xf>
    <xf numFmtId="164" fontId="24" fillId="0" borderId="18" xfId="0" applyNumberFormat="1" applyFont="1" applyBorder="1" applyAlignment="1">
      <alignment horizontal="center"/>
    </xf>
    <xf numFmtId="167" fontId="24" fillId="0" borderId="0" xfId="2" applyNumberFormat="1" applyFont="1" applyFill="1" applyBorder="1" applyAlignment="1">
      <alignment horizontal="left"/>
    </xf>
    <xf numFmtId="167" fontId="24" fillId="0" borderId="0" xfId="2" applyNumberFormat="1" applyFont="1" applyFill="1" applyBorder="1" applyAlignment="1">
      <alignment horizontal="left" vertical="center"/>
    </xf>
    <xf numFmtId="167" fontId="23" fillId="0" borderId="0" xfId="2" applyNumberFormat="1" applyFont="1" applyFill="1" applyBorder="1" applyAlignment="1">
      <alignment horizontal="left"/>
    </xf>
    <xf numFmtId="10" fontId="24" fillId="0" borderId="0" xfId="0" applyNumberFormat="1" applyFont="1" applyFill="1" applyBorder="1" applyAlignment="1">
      <alignment horizontal="center"/>
    </xf>
    <xf numFmtId="9" fontId="24" fillId="0" borderId="0" xfId="4" applyFont="1" applyFill="1" applyBorder="1" applyAlignment="1">
      <alignment horizontal="center"/>
    </xf>
    <xf numFmtId="167" fontId="24" fillId="0" borderId="0" xfId="2" applyNumberFormat="1" applyFont="1" applyFill="1" applyBorder="1" applyAlignment="1">
      <alignment horizontal="right" vertical="center"/>
    </xf>
    <xf numFmtId="9" fontId="24" fillId="0" borderId="0" xfId="0" applyNumberFormat="1" applyFont="1" applyFill="1" applyBorder="1" applyAlignment="1">
      <alignment horizontal="right" vertical="center"/>
    </xf>
    <xf numFmtId="10" fontId="0" fillId="0" borderId="18" xfId="0" applyNumberFormat="1" applyFill="1" applyBorder="1" applyAlignment="1">
      <alignment horizontal="center"/>
    </xf>
    <xf numFmtId="164" fontId="24" fillId="0" borderId="0" xfId="0" applyNumberFormat="1" applyFont="1" applyFill="1" applyBorder="1" applyAlignment="1">
      <alignment horizontal="right" vertical="center"/>
    </xf>
    <xf numFmtId="10" fontId="24" fillId="0" borderId="0" xfId="0" applyNumberFormat="1" applyFont="1" applyBorder="1"/>
    <xf numFmtId="10" fontId="23" fillId="0" borderId="0" xfId="0" applyNumberFormat="1" applyFont="1" applyFill="1" applyBorder="1" applyAlignment="1">
      <alignment horizontal="left" vertical="center"/>
    </xf>
    <xf numFmtId="10" fontId="24" fillId="0" borderId="0" xfId="0" applyNumberFormat="1" applyFont="1" applyFill="1" applyBorder="1" applyAlignment="1">
      <alignment horizontal="center" vertical="center"/>
    </xf>
    <xf numFmtId="173" fontId="24" fillId="0" borderId="0" xfId="0" applyFont="1" applyFill="1" applyBorder="1" applyAlignment="1">
      <alignment horizontal="center" vertical="center"/>
    </xf>
    <xf numFmtId="167" fontId="24" fillId="0" borderId="0" xfId="2" applyNumberFormat="1" applyFont="1" applyAlignment="1">
      <alignment horizontal="left"/>
    </xf>
    <xf numFmtId="167" fontId="24" fillId="0" borderId="0" xfId="2" applyNumberFormat="1" applyFont="1" applyAlignment="1">
      <alignment horizontal="left" vertical="center"/>
    </xf>
    <xf numFmtId="167" fontId="23" fillId="0" borderId="0" xfId="2" applyNumberFormat="1" applyFont="1" applyAlignment="1">
      <alignment horizontal="left" vertical="center"/>
    </xf>
    <xf numFmtId="167" fontId="24" fillId="0" borderId="0" xfId="2" applyNumberFormat="1" applyFont="1" applyFill="1" applyBorder="1" applyAlignment="1">
      <alignment vertical="center"/>
    </xf>
    <xf numFmtId="1" fontId="24" fillId="0" borderId="0" xfId="2" applyNumberFormat="1" applyFont="1" applyFill="1" applyBorder="1" applyAlignment="1">
      <alignment horizontal="left" vertical="center"/>
    </xf>
    <xf numFmtId="1" fontId="24" fillId="0" borderId="0" xfId="2" applyNumberFormat="1" applyFont="1" applyAlignment="1">
      <alignment horizontal="left" vertical="center"/>
    </xf>
    <xf numFmtId="173" fontId="24" fillId="0" borderId="1" xfId="0" applyFont="1" applyBorder="1"/>
    <xf numFmtId="1" fontId="24" fillId="0" borderId="1" xfId="0" applyNumberFormat="1" applyFont="1" applyBorder="1" applyAlignment="1">
      <alignment horizontal="left"/>
    </xf>
    <xf numFmtId="167" fontId="24" fillId="0" borderId="1" xfId="2" applyNumberFormat="1" applyFont="1" applyFill="1" applyBorder="1" applyAlignment="1">
      <alignment horizontal="left"/>
    </xf>
    <xf numFmtId="1" fontId="24" fillId="0" borderId="1" xfId="0" applyNumberFormat="1" applyFont="1" applyFill="1" applyBorder="1" applyAlignment="1">
      <alignment horizontal="left" vertical="center"/>
    </xf>
    <xf numFmtId="173" fontId="23" fillId="0" borderId="19" xfId="0" applyFont="1" applyFill="1" applyBorder="1" applyAlignment="1">
      <alignment horizontal="center"/>
    </xf>
    <xf numFmtId="173" fontId="23" fillId="0" borderId="109" xfId="0" applyFont="1" applyFill="1" applyBorder="1" applyAlignment="1">
      <alignment horizontal="center"/>
    </xf>
    <xf numFmtId="173" fontId="8" fillId="0" borderId="19" xfId="0" applyFont="1" applyFill="1" applyBorder="1" applyAlignment="1">
      <alignment horizontal="center"/>
    </xf>
    <xf numFmtId="167" fontId="8" fillId="0" borderId="19" xfId="2" applyNumberFormat="1" applyFont="1" applyFill="1" applyBorder="1" applyAlignment="1">
      <alignment horizontal="center"/>
    </xf>
    <xf numFmtId="164" fontId="8" fillId="0" borderId="19" xfId="0" applyNumberFormat="1" applyFont="1" applyFill="1" applyBorder="1" applyAlignment="1">
      <alignment horizontal="center"/>
    </xf>
    <xf numFmtId="167" fontId="0" fillId="0" borderId="19" xfId="2" applyNumberFormat="1" applyFont="1" applyFill="1" applyBorder="1" applyAlignment="1">
      <alignment horizontal="center"/>
    </xf>
    <xf numFmtId="10" fontId="0" fillId="0" borderId="19" xfId="0" applyNumberFormat="1" applyFill="1" applyBorder="1" applyAlignment="1">
      <alignment horizontal="center"/>
    </xf>
    <xf numFmtId="10" fontId="0" fillId="0" borderId="115" xfId="0" applyNumberFormat="1" applyFill="1" applyBorder="1"/>
    <xf numFmtId="167" fontId="24" fillId="0" borderId="46" xfId="2" applyNumberFormat="1" applyFont="1" applyFill="1" applyBorder="1" applyAlignment="1">
      <alignment horizontal="right"/>
    </xf>
    <xf numFmtId="167" fontId="24" fillId="19" borderId="46" xfId="2" applyNumberFormat="1" applyFont="1" applyFill="1" applyBorder="1" applyAlignment="1">
      <alignment horizontal="right"/>
    </xf>
    <xf numFmtId="167" fontId="24" fillId="24" borderId="46" xfId="2" applyNumberFormat="1" applyFont="1" applyFill="1" applyBorder="1" applyAlignment="1">
      <alignment horizontal="right"/>
    </xf>
    <xf numFmtId="167" fontId="24" fillId="25" borderId="46" xfId="2" applyNumberFormat="1" applyFont="1" applyFill="1" applyBorder="1" applyAlignment="1">
      <alignment horizontal="right"/>
    </xf>
    <xf numFmtId="167" fontId="23" fillId="0" borderId="46" xfId="2" applyNumberFormat="1" applyFont="1" applyFill="1" applyBorder="1" applyAlignment="1">
      <alignment horizontal="center"/>
    </xf>
    <xf numFmtId="167" fontId="23" fillId="0" borderId="116" xfId="2" applyNumberFormat="1" applyFont="1" applyFill="1" applyBorder="1" applyAlignment="1">
      <alignment horizontal="right"/>
    </xf>
    <xf numFmtId="173" fontId="23" fillId="0" borderId="110" xfId="0" applyFont="1" applyFill="1" applyBorder="1" applyAlignment="1">
      <alignment horizontal="center"/>
    </xf>
    <xf numFmtId="173" fontId="30" fillId="0" borderId="117" xfId="0" applyFont="1" applyFill="1" applyBorder="1"/>
    <xf numFmtId="173" fontId="30" fillId="0" borderId="2" xfId="0" applyFont="1" applyFill="1" applyBorder="1"/>
    <xf numFmtId="167" fontId="30" fillId="0" borderId="0" xfId="2" applyNumberFormat="1" applyFont="1" applyFill="1" applyBorder="1" applyAlignment="1">
      <alignment horizontal="left" vertical="center"/>
    </xf>
    <xf numFmtId="49" fontId="0" fillId="0" borderId="0" xfId="0" applyNumberFormat="1" applyBorder="1"/>
    <xf numFmtId="173" fontId="8" fillId="0" borderId="0" xfId="0" applyNumberFormat="1" applyFont="1" applyBorder="1"/>
    <xf numFmtId="164" fontId="8" fillId="0" borderId="0" xfId="0" applyNumberFormat="1" applyFont="1" applyBorder="1"/>
    <xf numFmtId="49" fontId="7" fillId="0" borderId="9" xfId="0" applyNumberFormat="1" applyFont="1" applyFill="1" applyBorder="1" applyAlignment="1">
      <alignment horizontal="left"/>
    </xf>
    <xf numFmtId="164" fontId="7" fillId="0" borderId="9" xfId="0" applyNumberFormat="1" applyFont="1" applyFill="1" applyBorder="1"/>
    <xf numFmtId="164" fontId="7" fillId="0" borderId="9" xfId="0" applyNumberFormat="1" applyFont="1" applyFill="1" applyBorder="1" applyAlignment="1">
      <alignment horizontal="center"/>
    </xf>
    <xf numFmtId="10" fontId="7" fillId="0" borderId="9" xfId="0" applyNumberFormat="1" applyFont="1" applyFill="1" applyBorder="1"/>
    <xf numFmtId="173" fontId="0" fillId="0" borderId="1" xfId="0" applyBorder="1" applyAlignment="1">
      <alignment horizontal="center"/>
    </xf>
    <xf numFmtId="49" fontId="7" fillId="0" borderId="0" xfId="0" applyNumberFormat="1" applyFont="1" applyFill="1" applyBorder="1" applyAlignment="1">
      <alignment horizontal="left"/>
    </xf>
    <xf numFmtId="173" fontId="11" fillId="0" borderId="5" xfId="0" applyFont="1" applyFill="1" applyBorder="1"/>
    <xf numFmtId="167" fontId="11" fillId="0" borderId="5" xfId="2" applyNumberFormat="1" applyFont="1" applyFill="1" applyBorder="1" applyAlignment="1">
      <alignment horizontal="center"/>
    </xf>
    <xf numFmtId="167" fontId="11" fillId="0" borderId="2" xfId="2" applyNumberFormat="1" applyFont="1" applyFill="1" applyBorder="1"/>
    <xf numFmtId="167" fontId="11" fillId="0" borderId="1" xfId="2" applyNumberFormat="1" applyFont="1" applyFill="1" applyBorder="1"/>
    <xf numFmtId="167" fontId="11" fillId="0" borderId="74" xfId="2" applyNumberFormat="1" applyFont="1" applyFill="1" applyBorder="1"/>
    <xf numFmtId="167" fontId="11" fillId="0" borderId="76" xfId="2" applyNumberFormat="1" applyFont="1" applyFill="1" applyBorder="1"/>
    <xf numFmtId="167" fontId="11" fillId="0" borderId="0" xfId="2" applyNumberFormat="1" applyFont="1" applyFill="1" applyBorder="1"/>
    <xf numFmtId="166" fontId="11" fillId="0" borderId="76" xfId="4" applyNumberFormat="1" applyFont="1" applyFill="1" applyBorder="1"/>
    <xf numFmtId="167" fontId="11" fillId="0" borderId="75" xfId="2" applyNumberFormat="1" applyFont="1" applyFill="1" applyBorder="1"/>
    <xf numFmtId="166" fontId="11" fillId="0" borderId="75" xfId="4" applyNumberFormat="1" applyFont="1" applyFill="1" applyBorder="1"/>
    <xf numFmtId="10" fontId="11" fillId="0" borderId="0" xfId="4" applyNumberFormat="1" applyFont="1" applyFill="1" applyAlignment="1">
      <alignment horizontal="center"/>
    </xf>
    <xf numFmtId="167" fontId="0" fillId="0" borderId="70" xfId="2" applyNumberFormat="1" applyFont="1" applyFill="1" applyBorder="1"/>
    <xf numFmtId="167" fontId="7" fillId="0" borderId="46" xfId="2" applyNumberFormat="1" applyFont="1" applyFill="1" applyBorder="1"/>
    <xf numFmtId="173" fontId="8" fillId="19" borderId="0" xfId="0" applyFont="1" applyFill="1"/>
    <xf numFmtId="173" fontId="0" fillId="0" borderId="0" xfId="0" applyFont="1" applyFill="1" applyBorder="1"/>
    <xf numFmtId="173" fontId="7" fillId="0" borderId="2" xfId="0" applyFont="1" applyBorder="1"/>
    <xf numFmtId="164" fontId="0" fillId="28" borderId="0" xfId="0" applyNumberFormat="1" applyFill="1"/>
    <xf numFmtId="173" fontId="0" fillId="28" borderId="0" xfId="0" applyFill="1"/>
    <xf numFmtId="173" fontId="7" fillId="28" borderId="0" xfId="0" applyFont="1" applyFill="1" applyBorder="1"/>
    <xf numFmtId="173" fontId="7" fillId="28" borderId="33" xfId="0" applyFont="1" applyFill="1" applyBorder="1"/>
    <xf numFmtId="173" fontId="10" fillId="0" borderId="108" xfId="0" applyFont="1" applyFill="1" applyBorder="1"/>
    <xf numFmtId="173" fontId="7" fillId="28" borderId="18" xfId="0" applyFont="1" applyFill="1" applyBorder="1"/>
    <xf numFmtId="173" fontId="7" fillId="0" borderId="108" xfId="0" applyFont="1" applyBorder="1"/>
    <xf numFmtId="173" fontId="0" fillId="0" borderId="108" xfId="0" applyBorder="1"/>
    <xf numFmtId="173" fontId="8" fillId="0" borderId="6" xfId="0" applyFont="1" applyFill="1" applyBorder="1" applyAlignment="1">
      <alignment horizontal="center"/>
    </xf>
    <xf numFmtId="173" fontId="8" fillId="0" borderId="35" xfId="0" applyFont="1" applyFill="1" applyBorder="1" applyAlignment="1">
      <alignment horizontal="center"/>
    </xf>
    <xf numFmtId="10" fontId="0" fillId="0" borderId="12" xfId="0" applyNumberFormat="1" applyFill="1" applyBorder="1"/>
    <xf numFmtId="10" fontId="0" fillId="0" borderId="70" xfId="0" applyNumberFormat="1" applyFill="1" applyBorder="1"/>
    <xf numFmtId="166" fontId="0" fillId="0" borderId="12" xfId="0" applyNumberFormat="1" applyFill="1" applyBorder="1"/>
    <xf numFmtId="164" fontId="0" fillId="28" borderId="7" xfId="0" applyNumberFormat="1" applyFill="1" applyBorder="1"/>
    <xf numFmtId="173" fontId="8" fillId="28" borderId="7" xfId="0" applyFont="1" applyFill="1" applyBorder="1"/>
    <xf numFmtId="173" fontId="8" fillId="0" borderId="6" xfId="0" applyFont="1" applyBorder="1" applyAlignment="1">
      <alignment horizontal="center"/>
    </xf>
    <xf numFmtId="167" fontId="0" fillId="0" borderId="12" xfId="2" applyNumberFormat="1" applyFont="1" applyBorder="1"/>
    <xf numFmtId="167" fontId="10" fillId="0" borderId="32" xfId="2" applyNumberFormat="1" applyFont="1" applyFill="1" applyBorder="1"/>
    <xf numFmtId="167" fontId="0" fillId="0" borderId="32" xfId="2" applyNumberFormat="1" applyFont="1" applyFill="1" applyBorder="1"/>
    <xf numFmtId="167" fontId="32" fillId="28" borderId="7" xfId="2" applyNumberFormat="1" applyFont="1" applyFill="1" applyBorder="1"/>
    <xf numFmtId="173" fontId="0" fillId="0" borderId="12" xfId="0" applyBorder="1"/>
    <xf numFmtId="164" fontId="0" fillId="28" borderId="12" xfId="0" applyNumberFormat="1" applyFill="1" applyBorder="1"/>
    <xf numFmtId="167" fontId="0" fillId="0" borderId="7" xfId="2" applyNumberFormat="1" applyFont="1" applyBorder="1" applyAlignment="1">
      <alignment horizontal="center"/>
    </xf>
    <xf numFmtId="167" fontId="0" fillId="0" borderId="7" xfId="2" applyNumberFormat="1" applyFont="1" applyBorder="1"/>
    <xf numFmtId="164" fontId="0" fillId="28" borderId="22" xfId="0" applyNumberFormat="1" applyFill="1" applyBorder="1"/>
    <xf numFmtId="173" fontId="8" fillId="0" borderId="35" xfId="0" applyFont="1" applyBorder="1" applyAlignment="1">
      <alignment horizontal="center"/>
    </xf>
    <xf numFmtId="167" fontId="0" fillId="0" borderId="97" xfId="2" applyNumberFormat="1" applyFont="1" applyFill="1" applyBorder="1"/>
    <xf numFmtId="164" fontId="0" fillId="28" borderId="70" xfId="0" applyNumberFormat="1" applyFill="1" applyBorder="1"/>
    <xf numFmtId="167" fontId="0" fillId="0" borderId="70" xfId="0" applyNumberFormat="1" applyBorder="1"/>
    <xf numFmtId="173" fontId="0" fillId="0" borderId="22" xfId="0" applyBorder="1"/>
    <xf numFmtId="1" fontId="0" fillId="28" borderId="12" xfId="0" applyNumberFormat="1" applyFill="1" applyBorder="1"/>
    <xf numFmtId="173" fontId="30" fillId="0" borderId="0" xfId="0" applyFont="1" applyFill="1" applyBorder="1" applyAlignment="1">
      <alignment horizontal="left" vertical="center"/>
    </xf>
    <xf numFmtId="172" fontId="24" fillId="0" borderId="0" xfId="1" applyNumberFormat="1" applyFont="1" applyFill="1" applyBorder="1" applyAlignment="1">
      <alignment horizontal="right"/>
    </xf>
    <xf numFmtId="172" fontId="24" fillId="0" borderId="46" xfId="1" applyNumberFormat="1" applyFont="1" applyFill="1" applyBorder="1" applyAlignment="1">
      <alignment horizontal="right"/>
    </xf>
    <xf numFmtId="164" fontId="11" fillId="19" borderId="7" xfId="0" applyNumberFormat="1" applyFont="1" applyFill="1" applyBorder="1" applyAlignment="1">
      <alignment horizontal="right"/>
    </xf>
    <xf numFmtId="49" fontId="8" fillId="0" borderId="9" xfId="0" applyNumberFormat="1" applyFont="1" applyFill="1" applyBorder="1" applyAlignment="1">
      <alignment horizontal="right"/>
    </xf>
    <xf numFmtId="49" fontId="8" fillId="29" borderId="0" xfId="0" applyNumberFormat="1" applyFont="1" applyFill="1" applyBorder="1" applyAlignment="1">
      <alignment horizontal="right"/>
    </xf>
    <xf numFmtId="164" fontId="8" fillId="29" borderId="0" xfId="0" applyNumberFormat="1" applyFont="1" applyFill="1" applyBorder="1"/>
    <xf numFmtId="49" fontId="8" fillId="19" borderId="0" xfId="0" applyNumberFormat="1" applyFont="1" applyFill="1" applyBorder="1" applyAlignment="1">
      <alignment horizontal="right"/>
    </xf>
    <xf numFmtId="164" fontId="8" fillId="0" borderId="10" xfId="0" applyNumberFormat="1" applyFont="1" applyFill="1" applyBorder="1"/>
    <xf numFmtId="164" fontId="8" fillId="0" borderId="10" xfId="0" applyNumberFormat="1" applyFont="1" applyFill="1" applyBorder="1" applyAlignment="1">
      <alignment horizontal="center"/>
    </xf>
    <xf numFmtId="164" fontId="0" fillId="0" borderId="10" xfId="0" applyNumberFormat="1" applyFill="1" applyBorder="1"/>
    <xf numFmtId="164" fontId="0" fillId="0" borderId="10" xfId="0" applyNumberFormat="1" applyFill="1" applyBorder="1" applyAlignment="1">
      <alignment horizontal="center"/>
    </xf>
    <xf numFmtId="10" fontId="0" fillId="0" borderId="10" xfId="0" applyNumberFormat="1" applyFill="1" applyBorder="1"/>
    <xf numFmtId="10" fontId="0" fillId="0" borderId="107" xfId="0" applyNumberFormat="1" applyFill="1" applyBorder="1"/>
    <xf numFmtId="10" fontId="8" fillId="0" borderId="10" xfId="0" applyNumberFormat="1" applyFont="1" applyFill="1" applyBorder="1"/>
    <xf numFmtId="10" fontId="8" fillId="0" borderId="107" xfId="0" applyNumberFormat="1" applyFont="1" applyFill="1" applyBorder="1"/>
    <xf numFmtId="164" fontId="8" fillId="0" borderId="14" xfId="0" applyNumberFormat="1" applyFont="1" applyFill="1" applyBorder="1"/>
    <xf numFmtId="164" fontId="8" fillId="0" borderId="14" xfId="0" applyNumberFormat="1" applyFont="1" applyFill="1" applyBorder="1" applyAlignment="1">
      <alignment horizontal="center"/>
    </xf>
    <xf numFmtId="10" fontId="8" fillId="0" borderId="14" xfId="0" applyNumberFormat="1" applyFont="1" applyFill="1" applyBorder="1"/>
    <xf numFmtId="10" fontId="8" fillId="0" borderId="15" xfId="0" applyNumberFormat="1" applyFont="1" applyFill="1" applyBorder="1"/>
    <xf numFmtId="164" fontId="8" fillId="0" borderId="69" xfId="0" applyNumberFormat="1" applyFont="1" applyFill="1" applyBorder="1"/>
    <xf numFmtId="49" fontId="8" fillId="0" borderId="14" xfId="0" applyNumberFormat="1" applyFont="1" applyFill="1" applyBorder="1" applyAlignment="1">
      <alignment horizontal="right"/>
    </xf>
    <xf numFmtId="164" fontId="8" fillId="0" borderId="112" xfId="0" applyNumberFormat="1" applyFont="1" applyFill="1" applyBorder="1"/>
    <xf numFmtId="164" fontId="8" fillId="0" borderId="112" xfId="0" applyNumberFormat="1" applyFont="1" applyFill="1" applyBorder="1" applyAlignment="1">
      <alignment horizontal="center"/>
    </xf>
    <xf numFmtId="10" fontId="8" fillId="0" borderId="112" xfId="0" applyNumberFormat="1" applyFont="1" applyFill="1" applyBorder="1"/>
    <xf numFmtId="164" fontId="8" fillId="0" borderId="114" xfId="0" applyNumberFormat="1" applyFont="1" applyFill="1" applyBorder="1"/>
    <xf numFmtId="10" fontId="8" fillId="0" borderId="113" xfId="0" applyNumberFormat="1" applyFont="1" applyFill="1" applyBorder="1"/>
    <xf numFmtId="10" fontId="0" fillId="0" borderId="0" xfId="4" applyNumberFormat="1" applyFont="1" applyFill="1" applyBorder="1" applyAlignment="1">
      <alignment horizontal="right"/>
    </xf>
    <xf numFmtId="173" fontId="7" fillId="0" borderId="35" xfId="0" applyFont="1" applyFill="1" applyBorder="1"/>
    <xf numFmtId="173" fontId="7" fillId="0" borderId="113" xfId="0" applyFont="1" applyFill="1" applyBorder="1"/>
    <xf numFmtId="167" fontId="8" fillId="0" borderId="0" xfId="2" applyNumberFormat="1" applyFont="1" applyFill="1"/>
    <xf numFmtId="164" fontId="8" fillId="0" borderId="108" xfId="0" applyNumberFormat="1" applyFont="1" applyFill="1" applyBorder="1"/>
    <xf numFmtId="164" fontId="8" fillId="0" borderId="118" xfId="0" applyNumberFormat="1" applyFont="1" applyFill="1" applyBorder="1"/>
    <xf numFmtId="173" fontId="11" fillId="19" borderId="69" xfId="0" applyFont="1" applyFill="1" applyBorder="1"/>
    <xf numFmtId="173" fontId="11" fillId="19" borderId="28" xfId="0" applyFont="1" applyFill="1" applyBorder="1"/>
    <xf numFmtId="173" fontId="0" fillId="0" borderId="0" xfId="0" applyFill="1" applyAlignment="1">
      <alignment wrapText="1"/>
    </xf>
    <xf numFmtId="173" fontId="0" fillId="0" borderId="26" xfId="0" applyNumberFormat="1" applyFill="1" applyBorder="1" applyAlignment="1">
      <alignment horizontal="center"/>
    </xf>
    <xf numFmtId="173" fontId="8" fillId="0" borderId="2" xfId="0" applyFont="1" applyFill="1" applyBorder="1" applyAlignment="1">
      <alignment horizontal="center" vertical="center"/>
    </xf>
    <xf numFmtId="173" fontId="8" fillId="18" borderId="114" xfId="0" applyFont="1" applyFill="1" applyBorder="1"/>
    <xf numFmtId="173" fontId="8" fillId="19" borderId="5" xfId="0" applyFont="1" applyFill="1" applyBorder="1" applyAlignment="1">
      <alignment horizontal="center"/>
    </xf>
    <xf numFmtId="173" fontId="8" fillId="19" borderId="12" xfId="0" applyFont="1" applyFill="1" applyBorder="1" applyAlignment="1">
      <alignment horizontal="center"/>
    </xf>
    <xf numFmtId="173" fontId="8" fillId="19" borderId="70" xfId="0" applyFont="1" applyFill="1" applyBorder="1" applyAlignment="1">
      <alignment horizontal="center"/>
    </xf>
    <xf numFmtId="49" fontId="8" fillId="19" borderId="26" xfId="0" applyNumberFormat="1" applyFont="1" applyFill="1" applyBorder="1" applyAlignment="1">
      <alignment horizontal="center"/>
    </xf>
    <xf numFmtId="173" fontId="8" fillId="19" borderId="26" xfId="0" applyFont="1" applyFill="1" applyBorder="1" applyAlignment="1">
      <alignment horizontal="center" wrapText="1"/>
    </xf>
    <xf numFmtId="173" fontId="8" fillId="19" borderId="26" xfId="0" applyFont="1" applyFill="1" applyBorder="1" applyAlignment="1">
      <alignment horizontal="left" vertical="center" wrapText="1"/>
    </xf>
    <xf numFmtId="173" fontId="8" fillId="19" borderId="26" xfId="0" applyFont="1" applyFill="1" applyBorder="1"/>
    <xf numFmtId="164" fontId="8" fillId="19" borderId="26" xfId="0" applyNumberFormat="1" applyFont="1" applyFill="1" applyBorder="1"/>
    <xf numFmtId="15" fontId="8" fillId="19" borderId="2" xfId="0" applyNumberFormat="1" applyFont="1" applyFill="1" applyBorder="1" applyAlignment="1">
      <alignment horizontal="center"/>
    </xf>
    <xf numFmtId="15" fontId="8" fillId="19" borderId="0" xfId="0" applyNumberFormat="1" applyFont="1" applyFill="1" applyAlignment="1">
      <alignment horizontal="center"/>
    </xf>
    <xf numFmtId="173" fontId="8" fillId="19" borderId="0" xfId="0" applyFont="1" applyFill="1" applyAlignment="1">
      <alignment horizontal="left"/>
    </xf>
    <xf numFmtId="49" fontId="11" fillId="0" borderId="4" xfId="0" applyNumberFormat="1" applyFont="1" applyFill="1" applyBorder="1" applyAlignment="1">
      <alignment horizontal="left"/>
    </xf>
    <xf numFmtId="173" fontId="11" fillId="0" borderId="7" xfId="0" applyFont="1" applyFill="1" applyBorder="1"/>
    <xf numFmtId="173" fontId="11" fillId="0" borderId="16" xfId="0" applyFont="1" applyFill="1" applyBorder="1"/>
    <xf numFmtId="173" fontId="11" fillId="0" borderId="4" xfId="0" applyFont="1" applyFill="1" applyBorder="1"/>
    <xf numFmtId="173" fontId="11" fillId="0" borderId="20" xfId="0" applyFont="1" applyFill="1" applyBorder="1"/>
    <xf numFmtId="173" fontId="11" fillId="0" borderId="95" xfId="0" applyFont="1" applyFill="1" applyBorder="1"/>
    <xf numFmtId="173" fontId="11" fillId="0" borderId="96" xfId="0" applyFont="1" applyFill="1" applyBorder="1"/>
    <xf numFmtId="173" fontId="11" fillId="0" borderId="9" xfId="0" applyFont="1" applyFill="1" applyBorder="1"/>
    <xf numFmtId="173" fontId="11" fillId="0" borderId="1" xfId="0" applyFont="1" applyFill="1" applyBorder="1"/>
    <xf numFmtId="173" fontId="27" fillId="0" borderId="0" xfId="0" applyFont="1" applyFill="1"/>
    <xf numFmtId="173" fontId="27" fillId="0" borderId="1" xfId="0" applyFont="1" applyFill="1" applyBorder="1"/>
    <xf numFmtId="173" fontId="11" fillId="0" borderId="35" xfId="0" applyFont="1" applyFill="1" applyBorder="1"/>
    <xf numFmtId="44" fontId="0" fillId="0" borderId="12" xfId="2" applyFont="1" applyBorder="1"/>
    <xf numFmtId="44" fontId="0" fillId="0" borderId="70" xfId="2" applyFont="1" applyBorder="1"/>
    <xf numFmtId="167" fontId="0" fillId="0" borderId="70" xfId="2" applyNumberFormat="1" applyFont="1" applyBorder="1"/>
    <xf numFmtId="167" fontId="0" fillId="0" borderId="32" xfId="2" applyNumberFormat="1" applyFont="1" applyBorder="1"/>
    <xf numFmtId="167" fontId="0" fillId="0" borderId="97" xfId="2" applyNumberFormat="1" applyFont="1" applyBorder="1"/>
    <xf numFmtId="167" fontId="32" fillId="28" borderId="12" xfId="2" applyNumberFormat="1" applyFont="1" applyFill="1" applyBorder="1"/>
    <xf numFmtId="44" fontId="0" fillId="0" borderId="7" xfId="2" applyFont="1" applyBorder="1"/>
    <xf numFmtId="44" fontId="0" fillId="0" borderId="22" xfId="2" applyFont="1" applyBorder="1"/>
    <xf numFmtId="173" fontId="23" fillId="25" borderId="2" xfId="0" applyFont="1" applyFill="1" applyBorder="1"/>
    <xf numFmtId="173" fontId="23" fillId="25" borderId="1" xfId="0" applyFont="1" applyFill="1" applyBorder="1" applyAlignment="1">
      <alignment horizontal="center"/>
    </xf>
    <xf numFmtId="167" fontId="23" fillId="25" borderId="67" xfId="2" applyNumberFormat="1" applyFont="1" applyFill="1" applyBorder="1" applyAlignment="1">
      <alignment horizontal="right"/>
    </xf>
    <xf numFmtId="173" fontId="23" fillId="30" borderId="5" xfId="0" applyFont="1" applyFill="1" applyBorder="1"/>
    <xf numFmtId="15" fontId="23" fillId="30" borderId="12" xfId="0" applyNumberFormat="1" applyFont="1" applyFill="1" applyBorder="1" applyAlignment="1">
      <alignment horizontal="center"/>
    </xf>
    <xf numFmtId="173" fontId="23" fillId="30" borderId="12" xfId="0" applyFont="1" applyFill="1" applyBorder="1" applyAlignment="1">
      <alignment horizontal="center"/>
    </xf>
    <xf numFmtId="167" fontId="23" fillId="30" borderId="12" xfId="2" applyNumberFormat="1" applyFont="1" applyFill="1" applyBorder="1" applyAlignment="1">
      <alignment horizontal="right"/>
    </xf>
    <xf numFmtId="10" fontId="23" fillId="30" borderId="12" xfId="0" applyNumberFormat="1" applyFont="1" applyFill="1" applyBorder="1" applyAlignment="1">
      <alignment horizontal="center"/>
    </xf>
    <xf numFmtId="167" fontId="23" fillId="30" borderId="67" xfId="2" applyNumberFormat="1" applyFont="1" applyFill="1" applyBorder="1" applyAlignment="1">
      <alignment horizontal="right"/>
    </xf>
    <xf numFmtId="173" fontId="24" fillId="30" borderId="2" xfId="0" applyFont="1" applyFill="1" applyBorder="1"/>
    <xf numFmtId="173" fontId="24" fillId="30" borderId="0" xfId="0" applyFont="1" applyFill="1" applyBorder="1" applyAlignment="1">
      <alignment horizontal="center"/>
    </xf>
    <xf numFmtId="167" fontId="24" fillId="30" borderId="46" xfId="2" applyNumberFormat="1" applyFont="1" applyFill="1" applyBorder="1" applyAlignment="1">
      <alignment horizontal="right"/>
    </xf>
    <xf numFmtId="173" fontId="8" fillId="4" borderId="63" xfId="0" applyFont="1" applyFill="1" applyBorder="1" applyAlignment="1">
      <alignment horizontal="center"/>
    </xf>
    <xf numFmtId="49" fontId="11" fillId="24" borderId="0" xfId="0" applyNumberFormat="1" applyFont="1" applyFill="1"/>
    <xf numFmtId="49" fontId="11" fillId="24" borderId="4" xfId="0" applyNumberFormat="1" applyFont="1" applyFill="1" applyBorder="1" applyAlignment="1">
      <alignment horizontal="left"/>
    </xf>
    <xf numFmtId="173" fontId="11" fillId="24" borderId="7" xfId="0" applyFont="1" applyFill="1" applyBorder="1"/>
    <xf numFmtId="164" fontId="11" fillId="24" borderId="7" xfId="0" applyNumberFormat="1" applyFont="1" applyFill="1" applyBorder="1"/>
    <xf numFmtId="164" fontId="11" fillId="24" borderId="7" xfId="0" applyNumberFormat="1" applyFont="1" applyFill="1" applyBorder="1" applyAlignment="1">
      <alignment horizontal="right"/>
    </xf>
    <xf numFmtId="164" fontId="11" fillId="24" borderId="7" xfId="0" applyNumberFormat="1" applyFont="1" applyFill="1" applyBorder="1" applyAlignment="1">
      <alignment horizontal="center"/>
    </xf>
    <xf numFmtId="10" fontId="11" fillId="24" borderId="7" xfId="0" applyNumberFormat="1" applyFont="1" applyFill="1" applyBorder="1"/>
    <xf numFmtId="10" fontId="11" fillId="24" borderId="22" xfId="0" applyNumberFormat="1" applyFont="1" applyFill="1" applyBorder="1"/>
    <xf numFmtId="10" fontId="27" fillId="24" borderId="0" xfId="0" applyNumberFormat="1" applyFont="1" applyFill="1" applyBorder="1"/>
    <xf numFmtId="10" fontId="11" fillId="24" borderId="0" xfId="0" applyNumberFormat="1" applyFont="1" applyFill="1" applyBorder="1" applyAlignment="1"/>
    <xf numFmtId="173" fontId="11" fillId="24" borderId="0" xfId="0" applyFont="1" applyFill="1" applyBorder="1" applyAlignment="1"/>
    <xf numFmtId="173" fontId="11" fillId="24" borderId="0" xfId="0" applyFont="1" applyFill="1" applyBorder="1"/>
    <xf numFmtId="9" fontId="11" fillId="24" borderId="0" xfId="0" applyNumberFormat="1" applyFont="1" applyFill="1" applyBorder="1"/>
    <xf numFmtId="173" fontId="11" fillId="24" borderId="0" xfId="0" applyFont="1" applyFill="1"/>
    <xf numFmtId="164" fontId="11" fillId="24" borderId="0" xfId="0" applyNumberFormat="1" applyFont="1" applyFill="1"/>
    <xf numFmtId="49" fontId="11" fillId="24" borderId="2" xfId="0" applyNumberFormat="1" applyFont="1" applyFill="1" applyBorder="1" applyAlignment="1">
      <alignment horizontal="left"/>
    </xf>
    <xf numFmtId="164" fontId="11" fillId="24" borderId="0" xfId="0" applyNumberFormat="1" applyFont="1" applyFill="1" applyBorder="1"/>
    <xf numFmtId="164" fontId="11" fillId="24" borderId="0" xfId="0" applyNumberFormat="1" applyFont="1" applyFill="1" applyBorder="1" applyAlignment="1">
      <alignment horizontal="center"/>
    </xf>
    <xf numFmtId="49" fontId="11" fillId="24" borderId="0" xfId="0" applyNumberFormat="1" applyFont="1" applyFill="1" applyBorder="1" applyAlignment="1">
      <alignment horizontal="right"/>
    </xf>
    <xf numFmtId="10" fontId="11" fillId="24" borderId="0" xfId="0" applyNumberFormat="1" applyFont="1" applyFill="1" applyBorder="1"/>
    <xf numFmtId="10" fontId="11" fillId="24" borderId="1" xfId="0" applyNumberFormat="1" applyFont="1" applyFill="1" applyBorder="1"/>
    <xf numFmtId="49" fontId="11" fillId="24" borderId="33" xfId="0" applyNumberFormat="1" applyFont="1" applyFill="1" applyBorder="1" applyAlignment="1">
      <alignment horizontal="left"/>
    </xf>
    <xf numFmtId="173" fontId="11" fillId="24" borderId="18" xfId="0" applyFont="1" applyFill="1" applyBorder="1"/>
    <xf numFmtId="164" fontId="11" fillId="24" borderId="18" xfId="0" applyNumberFormat="1" applyFont="1" applyFill="1" applyBorder="1"/>
    <xf numFmtId="164" fontId="11" fillId="24" borderId="18" xfId="0" applyNumberFormat="1" applyFont="1" applyFill="1" applyBorder="1" applyAlignment="1">
      <alignment horizontal="center"/>
    </xf>
    <xf numFmtId="49" fontId="11" fillId="24" borderId="18" xfId="0" applyNumberFormat="1" applyFont="1" applyFill="1" applyBorder="1" applyAlignment="1">
      <alignment horizontal="right"/>
    </xf>
    <xf numFmtId="10" fontId="11" fillId="24" borderId="18" xfId="0" applyNumberFormat="1" applyFont="1" applyFill="1" applyBorder="1"/>
    <xf numFmtId="10" fontId="11" fillId="24" borderId="34" xfId="0" applyNumberFormat="1" applyFont="1" applyFill="1" applyBorder="1"/>
    <xf numFmtId="10" fontId="8" fillId="24" borderId="0" xfId="0" applyNumberFormat="1" applyFont="1" applyFill="1" applyBorder="1"/>
    <xf numFmtId="10" fontId="0" fillId="24" borderId="0" xfId="0" applyNumberFormat="1" applyFill="1" applyBorder="1" applyAlignment="1"/>
    <xf numFmtId="173" fontId="0" fillId="24" borderId="0" xfId="0" applyFill="1" applyBorder="1" applyAlignment="1"/>
    <xf numFmtId="173" fontId="0" fillId="24" borderId="0" xfId="0" applyFill="1" applyBorder="1"/>
    <xf numFmtId="9" fontId="0" fillId="24" borderId="0" xfId="0" applyNumberFormat="1" applyFill="1" applyBorder="1"/>
    <xf numFmtId="173" fontId="0" fillId="24" borderId="0" xfId="0" applyFill="1"/>
    <xf numFmtId="164" fontId="0" fillId="24" borderId="0" xfId="0" applyNumberFormat="1" applyFill="1"/>
    <xf numFmtId="49" fontId="8" fillId="24" borderId="0" xfId="0" applyNumberFormat="1" applyFont="1" applyFill="1"/>
    <xf numFmtId="49" fontId="7" fillId="24" borderId="0" xfId="0" applyNumberFormat="1" applyFont="1" applyFill="1"/>
    <xf numFmtId="49" fontId="8" fillId="24" borderId="5" xfId="0" applyNumberFormat="1" applyFont="1" applyFill="1" applyBorder="1" applyAlignment="1">
      <alignment horizontal="left"/>
    </xf>
    <xf numFmtId="173" fontId="8" fillId="24" borderId="12" xfId="0" applyFont="1" applyFill="1" applyBorder="1"/>
    <xf numFmtId="164" fontId="8" fillId="24" borderId="12" xfId="0" applyNumberFormat="1" applyFont="1" applyFill="1" applyBorder="1"/>
    <xf numFmtId="164" fontId="8" fillId="24" borderId="12" xfId="0" applyNumberFormat="1" applyFont="1" applyFill="1" applyBorder="1" applyAlignment="1">
      <alignment horizontal="right"/>
    </xf>
    <xf numFmtId="164" fontId="8" fillId="24" borderId="12" xfId="0" applyNumberFormat="1" applyFont="1" applyFill="1" applyBorder="1" applyAlignment="1">
      <alignment horizontal="center"/>
    </xf>
    <xf numFmtId="10" fontId="8" fillId="24" borderId="12" xfId="0" applyNumberFormat="1" applyFont="1" applyFill="1" applyBorder="1"/>
    <xf numFmtId="164" fontId="8" fillId="24" borderId="67" xfId="0" applyNumberFormat="1" applyFont="1" applyFill="1" applyBorder="1"/>
    <xf numFmtId="10" fontId="8" fillId="24" borderId="70" xfId="0" applyNumberFormat="1" applyFont="1" applyFill="1" applyBorder="1"/>
    <xf numFmtId="173" fontId="8" fillId="24" borderId="3" xfId="0" applyFont="1" applyFill="1" applyBorder="1"/>
    <xf numFmtId="173" fontId="8" fillId="24" borderId="6" xfId="0" applyFont="1" applyFill="1" applyBorder="1"/>
    <xf numFmtId="173" fontId="27" fillId="24" borderId="6" xfId="0" applyFont="1" applyFill="1" applyBorder="1"/>
    <xf numFmtId="164" fontId="27" fillId="24" borderId="6" xfId="0" applyNumberFormat="1" applyFont="1" applyFill="1" applyBorder="1" applyAlignment="1">
      <alignment horizontal="center"/>
    </xf>
    <xf numFmtId="164" fontId="8" fillId="24" borderId="6" xfId="0" applyNumberFormat="1" applyFont="1" applyFill="1" applyBorder="1" applyAlignment="1">
      <alignment horizontal="right"/>
    </xf>
    <xf numFmtId="164" fontId="8" fillId="24" borderId="6" xfId="0" applyNumberFormat="1" applyFont="1" applyFill="1" applyBorder="1" applyAlignment="1">
      <alignment horizontal="center"/>
    </xf>
    <xf numFmtId="164" fontId="8" fillId="24" borderId="6" xfId="0" applyNumberFormat="1" applyFont="1" applyFill="1" applyBorder="1"/>
    <xf numFmtId="10" fontId="8" fillId="24" borderId="6" xfId="0" applyNumberFormat="1" applyFont="1" applyFill="1" applyBorder="1"/>
    <xf numFmtId="10" fontId="8" fillId="24" borderId="35" xfId="0" applyNumberFormat="1" applyFont="1" applyFill="1" applyBorder="1"/>
    <xf numFmtId="49" fontId="11" fillId="24" borderId="5" xfId="0" applyNumberFormat="1" applyFont="1" applyFill="1" applyBorder="1" applyAlignment="1">
      <alignment horizontal="left"/>
    </xf>
    <xf numFmtId="173" fontId="11" fillId="24" borderId="12" xfId="0" applyFont="1" applyFill="1" applyBorder="1"/>
    <xf numFmtId="164" fontId="11" fillId="24" borderId="12" xfId="0" applyNumberFormat="1" applyFont="1" applyFill="1" applyBorder="1"/>
    <xf numFmtId="49" fontId="8" fillId="24" borderId="12" xfId="0" applyNumberFormat="1" applyFont="1" applyFill="1" applyBorder="1" applyAlignment="1">
      <alignment horizontal="center"/>
    </xf>
    <xf numFmtId="173" fontId="11" fillId="24" borderId="3" xfId="0" applyFont="1" applyFill="1" applyBorder="1"/>
    <xf numFmtId="173" fontId="11" fillId="24" borderId="6" xfId="0" applyFont="1" applyFill="1" applyBorder="1"/>
    <xf numFmtId="164" fontId="11" fillId="24" borderId="6" xfId="0" applyNumberFormat="1" applyFont="1" applyFill="1" applyBorder="1" applyAlignment="1">
      <alignment horizontal="right"/>
    </xf>
    <xf numFmtId="164" fontId="11" fillId="24" borderId="6" xfId="0" applyNumberFormat="1" applyFont="1" applyFill="1" applyBorder="1" applyAlignment="1">
      <alignment horizontal="center"/>
    </xf>
    <xf numFmtId="164" fontId="11" fillId="24" borderId="6" xfId="0" applyNumberFormat="1" applyFont="1" applyFill="1" applyBorder="1"/>
    <xf numFmtId="10" fontId="11" fillId="24" borderId="6" xfId="0" applyNumberFormat="1" applyFont="1" applyFill="1" applyBorder="1"/>
    <xf numFmtId="10" fontId="11" fillId="24" borderId="35" xfId="0" applyNumberFormat="1" applyFont="1" applyFill="1" applyBorder="1"/>
    <xf numFmtId="173" fontId="11" fillId="24" borderId="5" xfId="0" applyFont="1" applyFill="1" applyBorder="1"/>
    <xf numFmtId="164" fontId="11" fillId="24" borderId="12" xfId="0" applyNumberFormat="1" applyFont="1" applyFill="1" applyBorder="1" applyAlignment="1">
      <alignment horizontal="right"/>
    </xf>
    <xf numFmtId="164" fontId="11" fillId="24" borderId="12" xfId="0" applyNumberFormat="1" applyFont="1" applyFill="1" applyBorder="1" applyAlignment="1">
      <alignment horizontal="center"/>
    </xf>
    <xf numFmtId="10" fontId="11" fillId="24" borderId="12" xfId="0" applyNumberFormat="1" applyFont="1" applyFill="1" applyBorder="1"/>
    <xf numFmtId="10" fontId="11" fillId="24" borderId="70" xfId="0" applyNumberFormat="1" applyFont="1" applyFill="1" applyBorder="1"/>
    <xf numFmtId="164" fontId="8" fillId="24" borderId="0" xfId="0" applyNumberFormat="1" applyFont="1" applyFill="1"/>
    <xf numFmtId="173" fontId="8" fillId="24" borderId="0" xfId="0" applyFont="1" applyFill="1"/>
    <xf numFmtId="173" fontId="8" fillId="24" borderId="0" xfId="0" applyFont="1" applyFill="1" applyBorder="1"/>
    <xf numFmtId="173" fontId="11" fillId="24" borderId="4" xfId="0" applyFont="1" applyFill="1" applyBorder="1"/>
    <xf numFmtId="164" fontId="27" fillId="24" borderId="7" xfId="0" applyNumberFormat="1" applyFont="1" applyFill="1" applyBorder="1" applyAlignment="1">
      <alignment horizontal="right"/>
    </xf>
    <xf numFmtId="164" fontId="27" fillId="24" borderId="7" xfId="0" applyNumberFormat="1" applyFont="1" applyFill="1" applyBorder="1" applyAlignment="1">
      <alignment horizontal="center"/>
    </xf>
    <xf numFmtId="164" fontId="11" fillId="24" borderId="16" xfId="0" applyNumberFormat="1" applyFont="1" applyFill="1" applyBorder="1"/>
    <xf numFmtId="10" fontId="27" fillId="25" borderId="0" xfId="0" applyNumberFormat="1" applyFont="1" applyFill="1" applyBorder="1"/>
    <xf numFmtId="10" fontId="11" fillId="25" borderId="0" xfId="0" applyNumberFormat="1" applyFont="1" applyFill="1" applyBorder="1" applyAlignment="1"/>
    <xf numFmtId="173" fontId="11" fillId="25" borderId="0" xfId="0" applyFont="1" applyFill="1" applyBorder="1" applyAlignment="1"/>
    <xf numFmtId="173" fontId="11" fillId="25" borderId="0" xfId="0" applyFont="1" applyFill="1" applyBorder="1"/>
    <xf numFmtId="9" fontId="11" fillId="25" borderId="0" xfId="0" applyNumberFormat="1" applyFont="1" applyFill="1" applyBorder="1"/>
    <xf numFmtId="173" fontId="11" fillId="25" borderId="0" xfId="0" applyFont="1" applyFill="1"/>
    <xf numFmtId="164" fontId="11" fillId="25" borderId="0" xfId="0" applyNumberFormat="1" applyFont="1" applyFill="1"/>
    <xf numFmtId="49" fontId="11" fillId="24" borderId="12" xfId="0" applyNumberFormat="1" applyFont="1" applyFill="1" applyBorder="1" applyAlignment="1">
      <alignment horizontal="center"/>
    </xf>
    <xf numFmtId="164" fontId="11" fillId="24" borderId="67" xfId="0" applyNumberFormat="1" applyFont="1" applyFill="1" applyBorder="1"/>
    <xf numFmtId="173" fontId="7" fillId="30" borderId="12" xfId="0" applyFont="1" applyFill="1" applyBorder="1"/>
    <xf numFmtId="164" fontId="7" fillId="30" borderId="0" xfId="0" applyNumberFormat="1" applyFont="1" applyFill="1"/>
    <xf numFmtId="173" fontId="7" fillId="30" borderId="0" xfId="0" applyFont="1" applyFill="1"/>
    <xf numFmtId="173" fontId="7" fillId="30" borderId="0" xfId="0" applyFont="1" applyFill="1" applyBorder="1"/>
    <xf numFmtId="173" fontId="11" fillId="25" borderId="5" xfId="0" applyFont="1" applyFill="1" applyBorder="1"/>
    <xf numFmtId="173" fontId="11" fillId="25" borderId="12" xfId="0" applyFont="1" applyFill="1" applyBorder="1"/>
    <xf numFmtId="164" fontId="11" fillId="25" borderId="12" xfId="0" applyNumberFormat="1" applyFont="1" applyFill="1" applyBorder="1" applyAlignment="1">
      <alignment horizontal="right"/>
    </xf>
    <xf numFmtId="164" fontId="11" fillId="25" borderId="12" xfId="0" applyNumberFormat="1" applyFont="1" applyFill="1" applyBorder="1" applyAlignment="1">
      <alignment horizontal="center"/>
    </xf>
    <xf numFmtId="164" fontId="11" fillId="25" borderId="12" xfId="0" applyNumberFormat="1" applyFont="1" applyFill="1" applyBorder="1"/>
    <xf numFmtId="10" fontId="11" fillId="25" borderId="12" xfId="0" applyNumberFormat="1" applyFont="1" applyFill="1" applyBorder="1"/>
    <xf numFmtId="10" fontId="11" fillId="25" borderId="70" xfId="0" applyNumberFormat="1" applyFont="1" applyFill="1" applyBorder="1"/>
    <xf numFmtId="49" fontId="11" fillId="25" borderId="5" xfId="0" applyNumberFormat="1" applyFont="1" applyFill="1" applyBorder="1" applyAlignment="1">
      <alignment horizontal="left"/>
    </xf>
    <xf numFmtId="49" fontId="11" fillId="25" borderId="12" xfId="0" applyNumberFormat="1" applyFont="1" applyFill="1" applyBorder="1" applyAlignment="1">
      <alignment horizontal="center"/>
    </xf>
    <xf numFmtId="49" fontId="8" fillId="25" borderId="0" xfId="0" applyNumberFormat="1" applyFont="1" applyFill="1"/>
    <xf numFmtId="49" fontId="8" fillId="25" borderId="5" xfId="0" applyNumberFormat="1" applyFont="1" applyFill="1" applyBorder="1" applyAlignment="1">
      <alignment horizontal="left"/>
    </xf>
    <xf numFmtId="173" fontId="8" fillId="25" borderId="12" xfId="0" applyFont="1" applyFill="1" applyBorder="1"/>
    <xf numFmtId="164" fontId="8" fillId="25" borderId="12" xfId="0" applyNumberFormat="1" applyFont="1" applyFill="1" applyBorder="1"/>
    <xf numFmtId="164" fontId="8" fillId="25" borderId="12" xfId="0" applyNumberFormat="1" applyFont="1" applyFill="1" applyBorder="1" applyAlignment="1">
      <alignment horizontal="center"/>
    </xf>
    <xf numFmtId="49" fontId="8" fillId="25" borderId="12" xfId="0" applyNumberFormat="1" applyFont="1" applyFill="1" applyBorder="1" applyAlignment="1">
      <alignment horizontal="center"/>
    </xf>
    <xf numFmtId="10" fontId="8" fillId="25" borderId="12" xfId="0" applyNumberFormat="1" applyFont="1" applyFill="1" applyBorder="1"/>
    <xf numFmtId="10" fontId="8" fillId="25" borderId="70" xfId="0" applyNumberFormat="1" applyFont="1" applyFill="1" applyBorder="1"/>
    <xf numFmtId="164" fontId="8" fillId="25" borderId="0" xfId="0" applyNumberFormat="1" applyFont="1" applyFill="1"/>
    <xf numFmtId="173" fontId="8" fillId="25" borderId="0" xfId="0" applyFont="1" applyFill="1"/>
    <xf numFmtId="173" fontId="8" fillId="25" borderId="0" xfId="0" applyFont="1" applyFill="1" applyBorder="1"/>
    <xf numFmtId="164" fontId="8" fillId="25" borderId="67" xfId="0" applyNumberFormat="1" applyFont="1" applyFill="1" applyBorder="1"/>
    <xf numFmtId="49" fontId="7" fillId="25" borderId="0" xfId="0" applyNumberFormat="1" applyFont="1" applyFill="1"/>
    <xf numFmtId="164" fontId="0" fillId="25" borderId="0" xfId="0" applyNumberFormat="1" applyFill="1"/>
    <xf numFmtId="173" fontId="0" fillId="25" borderId="0" xfId="0" applyFill="1"/>
    <xf numFmtId="173" fontId="0" fillId="25" borderId="0" xfId="0" applyFill="1" applyBorder="1"/>
    <xf numFmtId="49" fontId="7" fillId="25" borderId="5" xfId="0" applyNumberFormat="1" applyFont="1" applyFill="1" applyBorder="1" applyAlignment="1">
      <alignment horizontal="left"/>
    </xf>
    <xf numFmtId="173" fontId="7" fillId="25" borderId="12" xfId="0" applyFont="1" applyFill="1" applyBorder="1"/>
    <xf numFmtId="164" fontId="7" fillId="25" borderId="12" xfId="0" applyNumberFormat="1" applyFont="1" applyFill="1" applyBorder="1"/>
    <xf numFmtId="164" fontId="7" fillId="25" borderId="0" xfId="0" applyNumberFormat="1" applyFont="1" applyFill="1"/>
    <xf numFmtId="173" fontId="7" fillId="25" borderId="0" xfId="0" applyFont="1" applyFill="1"/>
    <xf numFmtId="173" fontId="7" fillId="25" borderId="0" xfId="0" applyFont="1" applyFill="1" applyBorder="1"/>
    <xf numFmtId="49" fontId="8" fillId="25" borderId="0" xfId="0" applyNumberFormat="1" applyFont="1" applyFill="1" applyAlignment="1">
      <alignment horizontal="left" vertical="center"/>
    </xf>
    <xf numFmtId="49" fontId="8" fillId="25" borderId="101" xfId="0" applyNumberFormat="1" applyFont="1" applyFill="1" applyBorder="1" applyAlignment="1">
      <alignment horizontal="left"/>
    </xf>
    <xf numFmtId="173" fontId="8" fillId="25" borderId="98" xfId="0" applyFont="1" applyFill="1" applyBorder="1"/>
    <xf numFmtId="164" fontId="8" fillId="25" borderId="98" xfId="0" applyNumberFormat="1" applyFont="1" applyFill="1" applyBorder="1"/>
    <xf numFmtId="164" fontId="8" fillId="25" borderId="98" xfId="0" applyNumberFormat="1" applyFont="1" applyFill="1" applyBorder="1" applyAlignment="1">
      <alignment horizontal="center"/>
    </xf>
    <xf numFmtId="10" fontId="8" fillId="25" borderId="98" xfId="0" applyNumberFormat="1" applyFont="1" applyFill="1" applyBorder="1"/>
    <xf numFmtId="164" fontId="8" fillId="25" borderId="102" xfId="0" applyNumberFormat="1" applyFont="1" applyFill="1" applyBorder="1"/>
    <xf numFmtId="10" fontId="8" fillId="25" borderId="103" xfId="0" applyNumberFormat="1" applyFont="1" applyFill="1" applyBorder="1"/>
    <xf numFmtId="173" fontId="8" fillId="25" borderId="3" xfId="0" applyFont="1" applyFill="1" applyBorder="1"/>
    <xf numFmtId="173" fontId="8" fillId="25" borderId="6" xfId="0" applyFont="1" applyFill="1" applyBorder="1"/>
    <xf numFmtId="164" fontId="8" fillId="25" borderId="6" xfId="0" applyNumberFormat="1" applyFont="1" applyFill="1" applyBorder="1" applyAlignment="1">
      <alignment horizontal="right"/>
    </xf>
    <xf numFmtId="164" fontId="8" fillId="25" borderId="6" xfId="0" applyNumberFormat="1" applyFont="1" applyFill="1" applyBorder="1" applyAlignment="1">
      <alignment horizontal="center"/>
    </xf>
    <xf numFmtId="164" fontId="8" fillId="25" borderId="6" xfId="0" applyNumberFormat="1" applyFont="1" applyFill="1" applyBorder="1"/>
    <xf numFmtId="10" fontId="8" fillId="25" borderId="6" xfId="0" applyNumberFormat="1" applyFont="1" applyFill="1" applyBorder="1"/>
    <xf numFmtId="10" fontId="8" fillId="25" borderId="35" xfId="0" applyNumberFormat="1" applyFont="1" applyFill="1" applyBorder="1"/>
    <xf numFmtId="167" fontId="23" fillId="0" borderId="19" xfId="2" applyNumberFormat="1" applyFont="1" applyFill="1" applyBorder="1" applyAlignment="1">
      <alignment horizontal="center"/>
    </xf>
    <xf numFmtId="1" fontId="23" fillId="0" borderId="109" xfId="2" applyNumberFormat="1" applyFont="1" applyFill="1" applyBorder="1" applyAlignment="1">
      <alignment horizontal="center"/>
    </xf>
    <xf numFmtId="164" fontId="23" fillId="31" borderId="2" xfId="0" applyNumberFormat="1" applyFont="1" applyFill="1" applyBorder="1" applyAlignment="1">
      <alignment horizontal="center"/>
    </xf>
    <xf numFmtId="1" fontId="23" fillId="31" borderId="33" xfId="0" applyNumberFormat="1" applyFont="1" applyFill="1" applyBorder="1" applyAlignment="1">
      <alignment horizontal="center" vertical="center"/>
    </xf>
    <xf numFmtId="167" fontId="23" fillId="31" borderId="0" xfId="2" applyNumberFormat="1" applyFont="1" applyFill="1" applyBorder="1" applyAlignment="1">
      <alignment horizontal="center"/>
    </xf>
    <xf numFmtId="10" fontId="23" fillId="31" borderId="1" xfId="0" applyNumberFormat="1" applyFont="1" applyFill="1" applyBorder="1" applyAlignment="1">
      <alignment horizontal="center"/>
    </xf>
    <xf numFmtId="1" fontId="23" fillId="31" borderId="18" xfId="2" applyNumberFormat="1" applyFont="1" applyFill="1" applyBorder="1" applyAlignment="1">
      <alignment horizontal="center" vertical="center"/>
    </xf>
    <xf numFmtId="1" fontId="23" fillId="31" borderId="34" xfId="0" applyNumberFormat="1" applyFont="1" applyFill="1" applyBorder="1" applyAlignment="1">
      <alignment horizontal="center" vertical="center"/>
    </xf>
    <xf numFmtId="49" fontId="11" fillId="25" borderId="2" xfId="0" applyNumberFormat="1" applyFont="1" applyFill="1" applyBorder="1" applyAlignment="1">
      <alignment horizontal="left"/>
    </xf>
    <xf numFmtId="164" fontId="11" fillId="25" borderId="0" xfId="0" applyNumberFormat="1" applyFont="1" applyFill="1" applyBorder="1"/>
    <xf numFmtId="164" fontId="11" fillId="25" borderId="0" xfId="0" applyNumberFormat="1" applyFont="1" applyFill="1" applyBorder="1" applyAlignment="1">
      <alignment horizontal="center"/>
    </xf>
    <xf numFmtId="49" fontId="11" fillId="25" borderId="0" xfId="0" applyNumberFormat="1" applyFont="1" applyFill="1" applyBorder="1" applyAlignment="1">
      <alignment horizontal="right"/>
    </xf>
    <xf numFmtId="10" fontId="11" fillId="25" borderId="0" xfId="0" applyNumberFormat="1" applyFont="1" applyFill="1" applyBorder="1"/>
    <xf numFmtId="10" fontId="11" fillId="25" borderId="1" xfId="0" applyNumberFormat="1" applyFont="1" applyFill="1" applyBorder="1"/>
    <xf numFmtId="164" fontId="11" fillId="25" borderId="67" xfId="0" applyNumberFormat="1" applyFont="1" applyFill="1" applyBorder="1"/>
    <xf numFmtId="49" fontId="8" fillId="30" borderId="0" xfId="0" applyNumberFormat="1" applyFont="1" applyFill="1" applyBorder="1" applyAlignment="1">
      <alignment horizontal="right"/>
    </xf>
    <xf numFmtId="164" fontId="8" fillId="30" borderId="0" xfId="0" applyNumberFormat="1" applyFont="1" applyFill="1" applyBorder="1"/>
    <xf numFmtId="49" fontId="0" fillId="30" borderId="0" xfId="0" applyNumberFormat="1" applyFill="1" applyAlignment="1">
      <alignment horizontal="right"/>
    </xf>
    <xf numFmtId="49" fontId="8" fillId="25" borderId="0" xfId="0" applyNumberFormat="1" applyFont="1" applyFill="1" applyBorder="1" applyAlignment="1">
      <alignment horizontal="right"/>
    </xf>
    <xf numFmtId="164" fontId="8" fillId="25" borderId="0" xfId="0" applyNumberFormat="1" applyFont="1" applyFill="1" applyBorder="1"/>
    <xf numFmtId="49" fontId="8" fillId="25" borderId="0" xfId="0" applyNumberFormat="1" applyFont="1" applyFill="1" applyAlignment="1">
      <alignment horizontal="right"/>
    </xf>
    <xf numFmtId="164" fontId="8" fillId="25" borderId="0" xfId="0" applyNumberFormat="1" applyFont="1" applyFill="1" applyAlignment="1">
      <alignment horizontal="right"/>
    </xf>
    <xf numFmtId="1" fontId="8" fillId="25" borderId="0" xfId="0" applyNumberFormat="1" applyFont="1" applyFill="1" applyBorder="1"/>
    <xf numFmtId="49" fontId="8" fillId="25" borderId="18" xfId="0" applyNumberFormat="1" applyFont="1" applyFill="1" applyBorder="1" applyAlignment="1">
      <alignment horizontal="right"/>
    </xf>
    <xf numFmtId="164" fontId="8" fillId="25" borderId="18" xfId="0" applyNumberFormat="1" applyFont="1" applyFill="1" applyBorder="1" applyAlignment="1">
      <alignment horizontal="right"/>
    </xf>
    <xf numFmtId="49" fontId="8" fillId="25" borderId="9" xfId="0" applyNumberFormat="1" applyFont="1" applyFill="1" applyBorder="1" applyAlignment="1">
      <alignment horizontal="right"/>
    </xf>
    <xf numFmtId="164" fontId="8" fillId="25" borderId="9" xfId="0" applyNumberFormat="1" applyFont="1" applyFill="1" applyBorder="1" applyAlignment="1">
      <alignment horizontal="right"/>
    </xf>
    <xf numFmtId="49" fontId="8" fillId="25" borderId="28" xfId="0" applyNumberFormat="1" applyFont="1" applyFill="1" applyBorder="1" applyAlignment="1">
      <alignment horizontal="right"/>
    </xf>
    <xf numFmtId="164" fontId="8" fillId="25" borderId="28" xfId="0" applyNumberFormat="1" applyFont="1" applyFill="1" applyBorder="1"/>
    <xf numFmtId="164" fontId="0" fillId="0" borderId="9" xfId="0" applyNumberFormat="1" applyBorder="1"/>
    <xf numFmtId="164" fontId="0" fillId="30" borderId="0" xfId="0" applyNumberFormat="1" applyFill="1"/>
    <xf numFmtId="10" fontId="0" fillId="19" borderId="0" xfId="0" applyNumberFormat="1" applyFill="1" applyBorder="1" applyAlignment="1"/>
    <xf numFmtId="173" fontId="0" fillId="19" borderId="0" xfId="0" applyFill="1" applyBorder="1" applyAlignment="1"/>
    <xf numFmtId="10" fontId="11" fillId="19" borderId="0" xfId="0" applyNumberFormat="1" applyFont="1" applyFill="1" applyBorder="1" applyAlignment="1"/>
    <xf numFmtId="173" fontId="11" fillId="19" borderId="0" xfId="0" applyFont="1" applyFill="1" applyBorder="1" applyAlignment="1"/>
    <xf numFmtId="173" fontId="27" fillId="19" borderId="0" xfId="0" applyFont="1" applyFill="1" applyBorder="1" applyAlignment="1">
      <alignment horizontal="center"/>
    </xf>
    <xf numFmtId="173" fontId="0" fillId="0" borderId="12" xfId="0" applyBorder="1" applyAlignment="1">
      <alignment horizontal="center" vertical="center"/>
    </xf>
    <xf numFmtId="173" fontId="0" fillId="19" borderId="2" xfId="0" applyFill="1" applyBorder="1"/>
    <xf numFmtId="10" fontId="32" fillId="19" borderId="0" xfId="4" applyNumberFormat="1" applyFont="1" applyFill="1" applyBorder="1" applyAlignment="1">
      <alignment horizontal="right"/>
    </xf>
    <xf numFmtId="164" fontId="8" fillId="19" borderId="0" xfId="0" applyNumberFormat="1" applyFont="1" applyFill="1" applyBorder="1" applyAlignment="1">
      <alignment horizontal="center"/>
    </xf>
    <xf numFmtId="164" fontId="0" fillId="19" borderId="0" xfId="0" applyNumberFormat="1" applyFill="1" applyBorder="1" applyAlignment="1">
      <alignment horizontal="right"/>
    </xf>
    <xf numFmtId="173" fontId="0" fillId="24" borderId="2" xfId="0" applyFill="1" applyBorder="1"/>
    <xf numFmtId="164" fontId="0" fillId="24" borderId="0" xfId="0" applyNumberFormat="1" applyFill="1" applyBorder="1"/>
    <xf numFmtId="173" fontId="10" fillId="24" borderId="0" xfId="0" applyFont="1" applyFill="1" applyBorder="1"/>
    <xf numFmtId="10" fontId="0" fillId="24" borderId="0" xfId="0" applyNumberFormat="1" applyFill="1" applyBorder="1"/>
    <xf numFmtId="10" fontId="32" fillId="24" borderId="0" xfId="4" applyNumberFormat="1" applyFont="1" applyFill="1" applyBorder="1" applyAlignment="1">
      <alignment horizontal="right"/>
    </xf>
    <xf numFmtId="164" fontId="8" fillId="24" borderId="0" xfId="0" applyNumberFormat="1" applyFont="1" applyFill="1" applyBorder="1" applyAlignment="1">
      <alignment horizontal="center"/>
    </xf>
    <xf numFmtId="164" fontId="0" fillId="24" borderId="0" xfId="0" applyNumberFormat="1" applyFill="1" applyBorder="1" applyAlignment="1">
      <alignment horizontal="right"/>
    </xf>
    <xf numFmtId="173" fontId="7" fillId="25" borderId="2" xfId="0" applyFont="1" applyFill="1" applyBorder="1"/>
    <xf numFmtId="164" fontId="0" fillId="25" borderId="0" xfId="0" applyNumberFormat="1" applyFill="1" applyBorder="1"/>
    <xf numFmtId="173" fontId="10" fillId="25" borderId="0" xfId="0" applyFont="1" applyFill="1" applyBorder="1"/>
    <xf numFmtId="10" fontId="0" fillId="25" borderId="0" xfId="0" applyNumberFormat="1" applyFill="1" applyBorder="1"/>
    <xf numFmtId="10" fontId="32" fillId="25" borderId="0" xfId="4" applyNumberFormat="1" applyFont="1" applyFill="1" applyBorder="1" applyAlignment="1">
      <alignment horizontal="right"/>
    </xf>
    <xf numFmtId="164" fontId="0" fillId="25" borderId="0" xfId="0" applyNumberFormat="1" applyFill="1" applyBorder="1" applyAlignment="1">
      <alignment horizontal="center"/>
    </xf>
    <xf numFmtId="173" fontId="0" fillId="30" borderId="0" xfId="0" applyFill="1" applyBorder="1"/>
    <xf numFmtId="164" fontId="0" fillId="30" borderId="0" xfId="0" applyNumberFormat="1" applyFill="1" applyBorder="1"/>
    <xf numFmtId="10" fontId="0" fillId="30" borderId="0" xfId="0" applyNumberFormat="1" applyFill="1" applyBorder="1"/>
    <xf numFmtId="164" fontId="0" fillId="30" borderId="0" xfId="0" applyNumberFormat="1" applyFill="1" applyBorder="1" applyAlignment="1">
      <alignment horizontal="center"/>
    </xf>
    <xf numFmtId="167" fontId="24" fillId="30" borderId="0" xfId="2" applyNumberFormat="1" applyFont="1" applyFill="1" applyBorder="1" applyAlignment="1">
      <alignment horizontal="right"/>
    </xf>
    <xf numFmtId="10" fontId="32" fillId="30" borderId="0" xfId="4" applyNumberFormat="1" applyFont="1" applyFill="1" applyBorder="1" applyAlignment="1">
      <alignment horizontal="right"/>
    </xf>
    <xf numFmtId="164" fontId="7" fillId="19" borderId="0" xfId="0" applyNumberFormat="1" applyFont="1" applyFill="1" applyBorder="1" applyAlignment="1">
      <alignment horizontal="center"/>
    </xf>
    <xf numFmtId="164" fontId="7" fillId="24" borderId="0" xfId="0" applyNumberFormat="1" applyFont="1" applyFill="1" applyBorder="1" applyAlignment="1">
      <alignment horizontal="center"/>
    </xf>
    <xf numFmtId="164" fontId="7" fillId="25" borderId="0" xfId="0" applyNumberFormat="1" applyFont="1" applyFill="1" applyBorder="1" applyAlignment="1">
      <alignment horizontal="center"/>
    </xf>
    <xf numFmtId="164" fontId="7" fillId="30" borderId="0" xfId="0" applyNumberFormat="1" applyFont="1" applyFill="1" applyBorder="1" applyAlignment="1">
      <alignment horizontal="center"/>
    </xf>
    <xf numFmtId="173" fontId="8" fillId="25" borderId="18" xfId="0" applyFont="1" applyFill="1" applyBorder="1" applyAlignment="1">
      <alignment horizontal="center"/>
    </xf>
    <xf numFmtId="173" fontId="8" fillId="25" borderId="18" xfId="0" applyFont="1" applyFill="1" applyBorder="1"/>
    <xf numFmtId="164" fontId="7" fillId="25" borderId="0" xfId="0" applyNumberFormat="1" applyFont="1" applyFill="1" applyBorder="1"/>
    <xf numFmtId="173" fontId="0" fillId="25" borderId="14" xfId="0" applyFill="1" applyBorder="1"/>
    <xf numFmtId="171" fontId="0" fillId="25" borderId="0" xfId="0" applyNumberFormat="1" applyFill="1"/>
    <xf numFmtId="164" fontId="0" fillId="25" borderId="1" xfId="0" applyNumberFormat="1" applyFill="1" applyBorder="1"/>
    <xf numFmtId="173" fontId="0" fillId="30" borderId="2" xfId="0" applyFill="1" applyBorder="1"/>
    <xf numFmtId="173" fontId="0" fillId="30" borderId="13" xfId="0" applyFill="1" applyBorder="1"/>
    <xf numFmtId="173" fontId="0" fillId="19" borderId="1" xfId="0" applyFill="1" applyBorder="1"/>
    <xf numFmtId="173" fontId="8" fillId="19" borderId="18" xfId="0" applyFont="1" applyFill="1" applyBorder="1" applyAlignment="1">
      <alignment horizontal="center"/>
    </xf>
    <xf numFmtId="173" fontId="0" fillId="19" borderId="14" xfId="0" applyFill="1" applyBorder="1"/>
    <xf numFmtId="173" fontId="0" fillId="19" borderId="15" xfId="0" applyFill="1" applyBorder="1"/>
    <xf numFmtId="171" fontId="0" fillId="19" borderId="0" xfId="0" applyNumberFormat="1" applyFill="1"/>
    <xf numFmtId="171" fontId="0" fillId="19" borderId="1" xfId="0" applyNumberFormat="1" applyFill="1" applyBorder="1"/>
    <xf numFmtId="173" fontId="0" fillId="24" borderId="1" xfId="0" applyFill="1" applyBorder="1"/>
    <xf numFmtId="173" fontId="8" fillId="24" borderId="18" xfId="0" applyFont="1" applyFill="1" applyBorder="1" applyAlignment="1">
      <alignment horizontal="center"/>
    </xf>
    <xf numFmtId="173" fontId="8" fillId="24" borderId="34" xfId="0" applyFont="1" applyFill="1" applyBorder="1" applyAlignment="1">
      <alignment horizontal="center"/>
    </xf>
    <xf numFmtId="167" fontId="8" fillId="24" borderId="0" xfId="2" applyNumberFormat="1" applyFont="1" applyFill="1"/>
    <xf numFmtId="164" fontId="0" fillId="24" borderId="1" xfId="0" applyNumberFormat="1" applyFill="1" applyBorder="1"/>
    <xf numFmtId="167" fontId="32" fillId="24" borderId="0" xfId="2" applyNumberFormat="1" applyFont="1" applyFill="1"/>
    <xf numFmtId="164" fontId="8" fillId="24" borderId="1" xfId="0" applyNumberFormat="1" applyFont="1" applyFill="1" applyBorder="1"/>
    <xf numFmtId="173" fontId="0" fillId="24" borderId="14" xfId="0" applyFill="1" applyBorder="1"/>
    <xf numFmtId="173" fontId="0" fillId="24" borderId="15" xfId="0" applyFill="1" applyBorder="1"/>
    <xf numFmtId="171" fontId="0" fillId="24" borderId="0" xfId="0" applyNumberFormat="1" applyFill="1"/>
    <xf numFmtId="171" fontId="0" fillId="24" borderId="1" xfId="0" applyNumberFormat="1" applyFill="1" applyBorder="1"/>
    <xf numFmtId="164" fontId="8" fillId="19" borderId="0" xfId="0" applyNumberFormat="1" applyFont="1" applyFill="1" applyAlignment="1">
      <alignment horizontal="center"/>
    </xf>
    <xf numFmtId="164" fontId="8" fillId="19" borderId="73" xfId="0" applyNumberFormat="1" applyFont="1" applyFill="1" applyBorder="1" applyAlignment="1">
      <alignment horizontal="center"/>
    </xf>
    <xf numFmtId="173" fontId="0" fillId="4" borderId="63" xfId="0" applyFill="1" applyBorder="1" applyAlignment="1">
      <alignment horizontal="center"/>
    </xf>
    <xf numFmtId="173" fontId="11" fillId="25" borderId="7" xfId="0" applyFont="1" applyFill="1" applyBorder="1"/>
    <xf numFmtId="173" fontId="11" fillId="25" borderId="16" xfId="0" applyFont="1" applyFill="1" applyBorder="1"/>
    <xf numFmtId="173" fontId="11" fillId="24" borderId="16" xfId="0" applyFont="1" applyFill="1" applyBorder="1"/>
    <xf numFmtId="173" fontId="11" fillId="25" borderId="6" xfId="0" applyFont="1" applyFill="1" applyBorder="1"/>
    <xf numFmtId="173" fontId="11" fillId="25" borderId="35" xfId="0" applyFont="1" applyFill="1" applyBorder="1"/>
    <xf numFmtId="173" fontId="11" fillId="24" borderId="22" xfId="0" applyFont="1" applyFill="1" applyBorder="1"/>
    <xf numFmtId="173" fontId="11" fillId="24" borderId="29" xfId="0" applyFont="1" applyFill="1" applyBorder="1"/>
    <xf numFmtId="173" fontId="8" fillId="24" borderId="35" xfId="0" applyFont="1" applyFill="1" applyBorder="1"/>
    <xf numFmtId="173" fontId="8" fillId="24" borderId="0" xfId="0" applyFont="1" applyFill="1" applyBorder="1" applyAlignment="1">
      <alignment horizontal="center"/>
    </xf>
    <xf numFmtId="173" fontId="8" fillId="24" borderId="26" xfId="0" applyFont="1" applyFill="1" applyBorder="1" applyAlignment="1">
      <alignment horizontal="center"/>
    </xf>
    <xf numFmtId="173" fontId="8" fillId="24" borderId="0" xfId="0" applyFont="1" applyFill="1" applyAlignment="1">
      <alignment horizontal="center"/>
    </xf>
    <xf numFmtId="173" fontId="0" fillId="24" borderId="0" xfId="0" applyFill="1" applyAlignment="1">
      <alignment horizontal="center"/>
    </xf>
    <xf numFmtId="173" fontId="11" fillId="24" borderId="35" xfId="0" applyFont="1" applyFill="1" applyBorder="1"/>
    <xf numFmtId="173" fontId="8" fillId="24" borderId="18" xfId="0" applyFont="1" applyFill="1" applyBorder="1"/>
    <xf numFmtId="173" fontId="8" fillId="24" borderId="7" xfId="0" applyFont="1" applyFill="1" applyBorder="1"/>
    <xf numFmtId="173" fontId="8" fillId="24" borderId="22" xfId="0" applyFont="1" applyFill="1" applyBorder="1"/>
    <xf numFmtId="173" fontId="11" fillId="24" borderId="70" xfId="0" applyFont="1" applyFill="1" applyBorder="1"/>
    <xf numFmtId="173" fontId="11" fillId="25" borderId="2" xfId="0" applyFont="1" applyFill="1" applyBorder="1"/>
    <xf numFmtId="173" fontId="11" fillId="25" borderId="70" xfId="0" applyFont="1" applyFill="1" applyBorder="1"/>
    <xf numFmtId="173" fontId="11" fillId="25" borderId="18" xfId="0" applyFont="1" applyFill="1" applyBorder="1"/>
    <xf numFmtId="173" fontId="11" fillId="25" borderId="22" xfId="0" applyFont="1" applyFill="1" applyBorder="1"/>
    <xf numFmtId="173" fontId="8" fillId="24" borderId="2" xfId="0" applyFont="1" applyFill="1" applyBorder="1"/>
    <xf numFmtId="173" fontId="8" fillId="24" borderId="70" xfId="0" applyFont="1" applyFill="1" applyBorder="1"/>
    <xf numFmtId="173" fontId="7" fillId="24" borderId="0" xfId="0" applyFont="1" applyFill="1" applyAlignment="1">
      <alignment horizontal="center"/>
    </xf>
    <xf numFmtId="173" fontId="7" fillId="24" borderId="0" xfId="0" applyFont="1" applyFill="1"/>
    <xf numFmtId="173" fontId="8" fillId="24" borderId="16" xfId="0" applyFont="1" applyFill="1" applyBorder="1"/>
    <xf numFmtId="173" fontId="8" fillId="25" borderId="16" xfId="0" applyFont="1" applyFill="1" applyBorder="1"/>
    <xf numFmtId="173" fontId="8" fillId="25" borderId="7" xfId="0" applyFont="1" applyFill="1" applyBorder="1"/>
    <xf numFmtId="173" fontId="8" fillId="25" borderId="22" xfId="0" applyFont="1" applyFill="1" applyBorder="1"/>
    <xf numFmtId="173" fontId="8" fillId="25" borderId="0" xfId="0" applyFont="1" applyFill="1" applyBorder="1" applyAlignment="1">
      <alignment horizontal="center"/>
    </xf>
    <xf numFmtId="173" fontId="8" fillId="25" borderId="26" xfId="0" applyFont="1" applyFill="1" applyBorder="1" applyAlignment="1">
      <alignment horizontal="center"/>
    </xf>
    <xf numFmtId="173" fontId="8" fillId="25" borderId="0" xfId="0" applyFont="1" applyFill="1" applyAlignment="1">
      <alignment horizontal="center"/>
    </xf>
    <xf numFmtId="173" fontId="7" fillId="25" borderId="0" xfId="0" applyFont="1" applyFill="1" applyAlignment="1">
      <alignment horizontal="center"/>
    </xf>
    <xf numFmtId="173" fontId="7" fillId="25" borderId="21" xfId="0" applyFont="1" applyFill="1" applyBorder="1"/>
    <xf numFmtId="173" fontId="7" fillId="25" borderId="70" xfId="0" applyFont="1" applyFill="1" applyBorder="1"/>
    <xf numFmtId="173" fontId="8" fillId="25" borderId="70" xfId="0" applyFont="1" applyFill="1" applyBorder="1"/>
    <xf numFmtId="49" fontId="11" fillId="25" borderId="4" xfId="0" applyNumberFormat="1" applyFont="1" applyFill="1" applyBorder="1" applyAlignment="1">
      <alignment horizontal="left"/>
    </xf>
    <xf numFmtId="173" fontId="8" fillId="25" borderId="103" xfId="0" applyFont="1" applyFill="1" applyBorder="1"/>
    <xf numFmtId="173" fontId="7" fillId="25" borderId="0" xfId="0" applyFont="1" applyFill="1" applyBorder="1" applyAlignment="1">
      <alignment horizontal="center"/>
    </xf>
    <xf numFmtId="173" fontId="7" fillId="25" borderId="26" xfId="0" applyFont="1" applyFill="1" applyBorder="1" applyAlignment="1">
      <alignment horizontal="center"/>
    </xf>
    <xf numFmtId="173" fontId="7" fillId="25" borderId="22" xfId="0" applyFont="1" applyFill="1" applyBorder="1"/>
    <xf numFmtId="173" fontId="7" fillId="30" borderId="5" xfId="0" applyFont="1" applyFill="1" applyBorder="1"/>
    <xf numFmtId="173" fontId="0" fillId="3" borderId="17" xfId="0" applyFill="1" applyBorder="1"/>
    <xf numFmtId="173" fontId="0" fillId="3" borderId="66" xfId="0" applyFill="1" applyBorder="1" applyAlignment="1">
      <alignment horizontal="center"/>
    </xf>
    <xf numFmtId="173" fontId="11" fillId="25" borderId="23" xfId="0" applyFont="1" applyFill="1" applyBorder="1"/>
    <xf numFmtId="173" fontId="11" fillId="25" borderId="9" xfId="0" applyFont="1" applyFill="1" applyBorder="1"/>
    <xf numFmtId="173" fontId="11" fillId="25" borderId="17" xfId="0" applyFont="1" applyFill="1" applyBorder="1"/>
    <xf numFmtId="173" fontId="11" fillId="24" borderId="33" xfId="0" applyFont="1" applyFill="1" applyBorder="1"/>
    <xf numFmtId="173" fontId="11" fillId="24" borderId="34" xfId="0" applyFont="1" applyFill="1" applyBorder="1"/>
    <xf numFmtId="173" fontId="11" fillId="24" borderId="69" xfId="0" applyFont="1" applyFill="1" applyBorder="1"/>
    <xf numFmtId="173" fontId="8" fillId="24" borderId="8" xfId="0" applyFont="1" applyFill="1" applyBorder="1"/>
    <xf numFmtId="164" fontId="29" fillId="24" borderId="26" xfId="2" applyNumberFormat="1" applyFont="1" applyFill="1" applyBorder="1" applyAlignment="1">
      <alignment horizontal="center"/>
    </xf>
    <xf numFmtId="164" fontId="29" fillId="24" borderId="46" xfId="2" applyNumberFormat="1" applyFont="1" applyFill="1" applyBorder="1" applyAlignment="1">
      <alignment horizontal="center"/>
    </xf>
    <xf numFmtId="173" fontId="0" fillId="24" borderId="12" xfId="0" applyFill="1" applyBorder="1" applyAlignment="1">
      <alignment horizontal="right"/>
    </xf>
    <xf numFmtId="164" fontId="0" fillId="24" borderId="12" xfId="0" applyNumberFormat="1" applyFill="1" applyBorder="1" applyAlignment="1">
      <alignment horizontal="right"/>
    </xf>
    <xf numFmtId="164" fontId="0" fillId="24" borderId="67" xfId="0" applyNumberFormat="1" applyFill="1" applyBorder="1" applyAlignment="1">
      <alignment horizontal="right"/>
    </xf>
    <xf numFmtId="164" fontId="0" fillId="24" borderId="70" xfId="0" applyNumberFormat="1" applyFill="1" applyBorder="1" applyAlignment="1">
      <alignment horizontal="right"/>
    </xf>
    <xf numFmtId="9" fontId="0" fillId="24" borderId="26" xfId="0" applyNumberFormat="1" applyFill="1" applyBorder="1"/>
    <xf numFmtId="9" fontId="0" fillId="24" borderId="26" xfId="0" applyNumberFormat="1" applyFill="1" applyBorder="1" applyAlignment="1">
      <alignment horizontal="center"/>
    </xf>
    <xf numFmtId="167" fontId="32" fillId="24" borderId="0" xfId="2" applyNumberFormat="1" applyFont="1" applyFill="1"/>
    <xf numFmtId="173" fontId="11" fillId="24" borderId="8" xfId="0" applyFont="1" applyFill="1" applyBorder="1"/>
    <xf numFmtId="167" fontId="29" fillId="24" borderId="46" xfId="2" applyNumberFormat="1" applyFont="1" applyFill="1" applyBorder="1" applyAlignment="1">
      <alignment horizontal="center"/>
    </xf>
    <xf numFmtId="167" fontId="32" fillId="24" borderId="12" xfId="2" applyNumberFormat="1" applyFont="1" applyFill="1" applyBorder="1" applyAlignment="1">
      <alignment horizontal="right"/>
    </xf>
    <xf numFmtId="173" fontId="11" fillId="24" borderId="67" xfId="0" applyFont="1" applyFill="1" applyBorder="1"/>
    <xf numFmtId="173" fontId="11" fillId="25" borderId="67" xfId="0" applyFont="1" applyFill="1" applyBorder="1"/>
    <xf numFmtId="173" fontId="11" fillId="24" borderId="46" xfId="0" applyFont="1" applyFill="1" applyBorder="1"/>
    <xf numFmtId="164" fontId="7" fillId="24" borderId="26" xfId="2" applyNumberFormat="1" applyFont="1" applyFill="1" applyBorder="1" applyAlignment="1">
      <alignment horizontal="center"/>
    </xf>
    <xf numFmtId="167" fontId="7" fillId="24" borderId="46" xfId="2" applyNumberFormat="1" applyFont="1" applyFill="1" applyBorder="1" applyAlignment="1">
      <alignment horizontal="center"/>
    </xf>
    <xf numFmtId="167" fontId="7" fillId="24" borderId="12" xfId="2" applyNumberFormat="1" applyFont="1" applyFill="1" applyBorder="1" applyAlignment="1">
      <alignment horizontal="right"/>
    </xf>
    <xf numFmtId="164" fontId="7" fillId="24" borderId="12" xfId="0" applyNumberFormat="1" applyFont="1" applyFill="1" applyBorder="1" applyAlignment="1">
      <alignment horizontal="right"/>
    </xf>
    <xf numFmtId="164" fontId="7" fillId="24" borderId="67" xfId="0" applyNumberFormat="1" applyFont="1" applyFill="1" applyBorder="1" applyAlignment="1">
      <alignment horizontal="right"/>
    </xf>
    <xf numFmtId="164" fontId="7" fillId="24" borderId="70" xfId="0" applyNumberFormat="1" applyFont="1" applyFill="1" applyBorder="1" applyAlignment="1">
      <alignment horizontal="right"/>
    </xf>
    <xf numFmtId="9" fontId="7" fillId="24" borderId="26" xfId="0" applyNumberFormat="1" applyFont="1" applyFill="1" applyBorder="1"/>
    <xf numFmtId="9" fontId="7" fillId="24" borderId="26" xfId="0" applyNumberFormat="1" applyFont="1" applyFill="1" applyBorder="1" applyAlignment="1">
      <alignment horizontal="center"/>
    </xf>
    <xf numFmtId="173" fontId="8" fillId="24" borderId="67" xfId="0" applyFont="1" applyFill="1" applyBorder="1"/>
    <xf numFmtId="167" fontId="7" fillId="24" borderId="5" xfId="2" applyNumberFormat="1" applyFont="1" applyFill="1" applyBorder="1" applyAlignment="1">
      <alignment horizontal="center"/>
    </xf>
    <xf numFmtId="167" fontId="7" fillId="24" borderId="0" xfId="2" applyNumberFormat="1" applyFont="1" applyFill="1"/>
    <xf numFmtId="164" fontId="7" fillId="25" borderId="26" xfId="2" applyNumberFormat="1" applyFont="1" applyFill="1" applyBorder="1" applyAlignment="1">
      <alignment horizontal="center"/>
    </xf>
    <xf numFmtId="167" fontId="7" fillId="25" borderId="5" xfId="2" applyNumberFormat="1" applyFont="1" applyFill="1" applyBorder="1" applyAlignment="1">
      <alignment horizontal="center"/>
    </xf>
    <xf numFmtId="167" fontId="7" fillId="25" borderId="12" xfId="2" applyNumberFormat="1" applyFont="1" applyFill="1" applyBorder="1" applyAlignment="1">
      <alignment horizontal="right"/>
    </xf>
    <xf numFmtId="164" fontId="7" fillId="25" borderId="12" xfId="0" applyNumberFormat="1" applyFont="1" applyFill="1" applyBorder="1" applyAlignment="1">
      <alignment horizontal="right"/>
    </xf>
    <xf numFmtId="164" fontId="7" fillId="25" borderId="70" xfId="0" applyNumberFormat="1" applyFont="1" applyFill="1" applyBorder="1" applyAlignment="1">
      <alignment horizontal="right"/>
    </xf>
    <xf numFmtId="9" fontId="7" fillId="25" borderId="26" xfId="0" applyNumberFormat="1" applyFont="1" applyFill="1" applyBorder="1"/>
    <xf numFmtId="9" fontId="7" fillId="25" borderId="26" xfId="0" applyNumberFormat="1" applyFont="1" applyFill="1" applyBorder="1" applyAlignment="1">
      <alignment horizontal="center"/>
    </xf>
    <xf numFmtId="167" fontId="7" fillId="25" borderId="0" xfId="2" applyNumberFormat="1" applyFont="1" applyFill="1"/>
    <xf numFmtId="173" fontId="7" fillId="25" borderId="96" xfId="0" applyFont="1" applyFill="1" applyBorder="1"/>
    <xf numFmtId="167" fontId="7" fillId="25" borderId="26" xfId="2" applyNumberFormat="1" applyFont="1" applyFill="1" applyBorder="1"/>
    <xf numFmtId="173" fontId="7" fillId="25" borderId="67" xfId="0" applyFont="1" applyFill="1" applyBorder="1"/>
    <xf numFmtId="173" fontId="8" fillId="25" borderId="67" xfId="0" applyFont="1" applyFill="1" applyBorder="1"/>
    <xf numFmtId="173" fontId="7" fillId="0" borderId="8" xfId="0" applyFont="1" applyFill="1" applyBorder="1"/>
    <xf numFmtId="173" fontId="8" fillId="25" borderId="102" xfId="0" applyFont="1" applyFill="1" applyBorder="1"/>
    <xf numFmtId="173" fontId="7" fillId="0" borderId="114" xfId="0" applyFont="1" applyFill="1" applyBorder="1"/>
    <xf numFmtId="173" fontId="7" fillId="25" borderId="16" xfId="0" applyFont="1" applyFill="1" applyBorder="1"/>
    <xf numFmtId="173" fontId="7" fillId="30" borderId="67" xfId="0" applyFont="1" applyFill="1" applyBorder="1"/>
    <xf numFmtId="167" fontId="7" fillId="25" borderId="46" xfId="2" applyNumberFormat="1" applyFont="1" applyFill="1" applyBorder="1" applyAlignment="1">
      <alignment horizontal="center"/>
    </xf>
    <xf numFmtId="164" fontId="7" fillId="25" borderId="67" xfId="0" applyNumberFormat="1" applyFont="1" applyFill="1" applyBorder="1" applyAlignment="1">
      <alignment horizontal="right"/>
    </xf>
    <xf numFmtId="173" fontId="0" fillId="0" borderId="70" xfId="0" applyBorder="1" applyAlignment="1">
      <alignment horizontal="right"/>
    </xf>
    <xf numFmtId="173" fontId="0" fillId="10" borderId="17" xfId="0" applyFill="1" applyBorder="1" applyAlignment="1">
      <alignment horizontal="right"/>
    </xf>
    <xf numFmtId="173" fontId="8" fillId="10" borderId="20" xfId="0" applyFont="1" applyFill="1" applyBorder="1" applyAlignment="1">
      <alignment horizontal="center"/>
    </xf>
    <xf numFmtId="173" fontId="8" fillId="10" borderId="95" xfId="0" applyFont="1" applyFill="1" applyBorder="1" applyAlignment="1">
      <alignment horizontal="center"/>
    </xf>
    <xf numFmtId="173" fontId="8" fillId="10" borderId="96" xfId="0" applyFont="1" applyFill="1" applyBorder="1" applyAlignment="1">
      <alignment horizontal="center"/>
    </xf>
    <xf numFmtId="173" fontId="8" fillId="10" borderId="21" xfId="0" applyFont="1" applyFill="1" applyBorder="1" applyAlignment="1">
      <alignment horizontal="center"/>
    </xf>
    <xf numFmtId="173" fontId="8" fillId="32" borderId="12" xfId="0" applyFont="1" applyFill="1" applyBorder="1" applyAlignment="1">
      <alignment horizontal="center"/>
    </xf>
    <xf numFmtId="173" fontId="28" fillId="19" borderId="12" xfId="0" applyFont="1" applyFill="1" applyBorder="1"/>
    <xf numFmtId="164" fontId="8" fillId="0" borderId="12" xfId="0" applyNumberFormat="1" applyFont="1" applyFill="1" applyBorder="1"/>
    <xf numFmtId="164" fontId="8" fillId="25" borderId="12" xfId="0" applyNumberFormat="1" applyFont="1" applyFill="1" applyBorder="1" applyAlignment="1">
      <alignment horizontal="right"/>
    </xf>
    <xf numFmtId="164" fontId="27" fillId="24" borderId="12" xfId="0" applyNumberFormat="1" applyFont="1" applyFill="1" applyBorder="1" applyAlignment="1">
      <alignment horizontal="right"/>
    </xf>
    <xf numFmtId="173" fontId="27" fillId="24" borderId="12" xfId="0" applyFont="1" applyFill="1" applyBorder="1"/>
    <xf numFmtId="173" fontId="7" fillId="25" borderId="5" xfId="0" applyFont="1" applyFill="1" applyBorder="1"/>
    <xf numFmtId="164" fontId="8" fillId="0" borderId="12" xfId="0" applyNumberFormat="1" applyFont="1" applyFill="1" applyBorder="1" applyAlignment="1">
      <alignment horizontal="right"/>
    </xf>
    <xf numFmtId="164" fontId="0" fillId="0" borderId="12" xfId="0" applyNumberFormat="1" applyBorder="1" applyAlignment="1">
      <alignment horizontal="right"/>
    </xf>
    <xf numFmtId="173" fontId="7" fillId="24" borderId="12" xfId="0" applyFont="1" applyFill="1" applyBorder="1"/>
    <xf numFmtId="164" fontId="7" fillId="24" borderId="12" xfId="0" applyNumberFormat="1" applyFont="1" applyFill="1" applyBorder="1"/>
    <xf numFmtId="173" fontId="7" fillId="24" borderId="5" xfId="0" applyFont="1" applyFill="1" applyBorder="1"/>
    <xf numFmtId="173" fontId="0" fillId="30" borderId="0" xfId="0" applyFill="1"/>
    <xf numFmtId="15" fontId="8" fillId="19" borderId="12" xfId="0" applyNumberFormat="1" applyFont="1" applyFill="1" applyBorder="1"/>
    <xf numFmtId="15" fontId="7" fillId="19" borderId="12" xfId="0" applyNumberFormat="1" applyFont="1" applyFill="1" applyBorder="1"/>
    <xf numFmtId="15" fontId="11" fillId="19" borderId="12" xfId="0" applyNumberFormat="1" applyFont="1" applyFill="1" applyBorder="1"/>
    <xf numFmtId="173" fontId="8" fillId="19" borderId="12" xfId="0" applyNumberFormat="1" applyFont="1" applyFill="1" applyBorder="1"/>
    <xf numFmtId="15" fontId="11" fillId="24" borderId="12" xfId="0" applyNumberFormat="1" applyFont="1" applyFill="1" applyBorder="1"/>
    <xf numFmtId="15" fontId="8" fillId="24" borderId="12" xfId="0" applyNumberFormat="1" applyFont="1" applyFill="1" applyBorder="1"/>
    <xf numFmtId="164" fontId="8" fillId="32" borderId="12" xfId="0" applyNumberFormat="1" applyFont="1" applyFill="1" applyBorder="1" applyAlignment="1">
      <alignment horizontal="center" vertical="center"/>
    </xf>
    <xf numFmtId="164" fontId="8" fillId="19" borderId="12" xfId="0" applyNumberFormat="1" applyFont="1" applyFill="1" applyBorder="1" applyAlignment="1">
      <alignment horizontal="center" vertical="center"/>
    </xf>
    <xf numFmtId="164" fontId="11" fillId="19" borderId="12" xfId="0" applyNumberFormat="1" applyFont="1" applyFill="1" applyBorder="1" applyAlignment="1">
      <alignment horizontal="center" vertical="center"/>
    </xf>
    <xf numFmtId="164" fontId="11" fillId="24" borderId="12" xfId="0" applyNumberFormat="1" applyFont="1" applyFill="1" applyBorder="1" applyAlignment="1">
      <alignment horizontal="center" vertical="center"/>
    </xf>
    <xf numFmtId="169" fontId="11" fillId="19" borderId="12" xfId="0" applyNumberFormat="1" applyFont="1" applyFill="1" applyBorder="1" applyAlignment="1">
      <alignment horizontal="center" vertical="center"/>
    </xf>
    <xf numFmtId="164" fontId="8" fillId="24" borderId="12" xfId="0" applyNumberFormat="1" applyFont="1" applyFill="1" applyBorder="1" applyAlignment="1">
      <alignment horizontal="center" vertical="center"/>
    </xf>
    <xf numFmtId="49" fontId="8" fillId="24" borderId="12" xfId="0" applyNumberFormat="1" applyFont="1" applyFill="1" applyBorder="1" applyAlignment="1">
      <alignment horizontal="center" vertical="center"/>
    </xf>
    <xf numFmtId="49" fontId="11" fillId="24" borderId="12"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25" borderId="12" xfId="0" applyNumberFormat="1" applyFont="1" applyFill="1" applyBorder="1" applyAlignment="1">
      <alignment horizontal="center" vertical="center"/>
    </xf>
    <xf numFmtId="49" fontId="11" fillId="25" borderId="12" xfId="0" applyNumberFormat="1" applyFont="1" applyFill="1" applyBorder="1" applyAlignment="1">
      <alignment horizontal="center" vertical="center"/>
    </xf>
    <xf numFmtId="164" fontId="11" fillId="25" borderId="12" xfId="0" applyNumberFormat="1" applyFont="1" applyFill="1" applyBorder="1" applyAlignment="1">
      <alignment horizontal="center" vertical="center"/>
    </xf>
    <xf numFmtId="164" fontId="8" fillId="25" borderId="12"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164" fontId="0" fillId="0" borderId="12" xfId="0" applyNumberFormat="1" applyBorder="1" applyAlignment="1">
      <alignment horizontal="center" vertical="center"/>
    </xf>
    <xf numFmtId="173" fontId="0" fillId="32" borderId="12" xfId="0" applyFill="1" applyBorder="1" applyAlignment="1">
      <alignment horizontal="center" vertical="center"/>
    </xf>
    <xf numFmtId="10" fontId="11" fillId="19" borderId="12" xfId="0" applyNumberFormat="1" applyFont="1" applyFill="1" applyBorder="1" applyAlignment="1">
      <alignment horizontal="center" vertical="center"/>
    </xf>
    <xf numFmtId="10" fontId="8" fillId="19" borderId="12" xfId="0" applyNumberFormat="1" applyFont="1" applyFill="1" applyBorder="1" applyAlignment="1">
      <alignment horizontal="center" vertical="center"/>
    </xf>
    <xf numFmtId="10" fontId="8" fillId="0" borderId="12" xfId="0" applyNumberFormat="1" applyFont="1" applyFill="1" applyBorder="1" applyAlignment="1">
      <alignment horizontal="center" vertical="center"/>
    </xf>
    <xf numFmtId="10" fontId="8" fillId="24" borderId="12" xfId="0" applyNumberFormat="1" applyFont="1" applyFill="1" applyBorder="1" applyAlignment="1">
      <alignment horizontal="center" vertical="center"/>
    </xf>
    <xf numFmtId="10" fontId="11" fillId="24" borderId="12" xfId="0" applyNumberFormat="1" applyFont="1" applyFill="1" applyBorder="1" applyAlignment="1">
      <alignment horizontal="center" vertical="center"/>
    </xf>
    <xf numFmtId="10" fontId="8" fillId="25" borderId="12" xfId="0" applyNumberFormat="1" applyFont="1" applyFill="1" applyBorder="1" applyAlignment="1">
      <alignment horizontal="center" vertical="center"/>
    </xf>
    <xf numFmtId="10" fontId="11" fillId="25" borderId="12" xfId="0" applyNumberFormat="1" applyFont="1" applyFill="1" applyBorder="1" applyAlignment="1">
      <alignment horizontal="center" vertical="center"/>
    </xf>
    <xf numFmtId="10" fontId="0" fillId="0" borderId="12" xfId="0" applyNumberFormat="1" applyBorder="1" applyAlignment="1">
      <alignment horizontal="center" vertical="center"/>
    </xf>
    <xf numFmtId="15" fontId="11" fillId="25" borderId="12" xfId="0" applyNumberFormat="1" applyFont="1" applyFill="1" applyBorder="1"/>
    <xf numFmtId="15" fontId="8" fillId="25" borderId="12" xfId="0" applyNumberFormat="1" applyFont="1" applyFill="1" applyBorder="1"/>
    <xf numFmtId="49" fontId="0" fillId="0" borderId="12" xfId="0" applyNumberFormat="1" applyBorder="1"/>
    <xf numFmtId="49" fontId="0" fillId="32" borderId="12" xfId="0" applyNumberFormat="1" applyFill="1" applyBorder="1"/>
    <xf numFmtId="49" fontId="7" fillId="32" borderId="12" xfId="0" applyNumberFormat="1" applyFont="1" applyFill="1" applyBorder="1"/>
    <xf numFmtId="173" fontId="8" fillId="32" borderId="12" xfId="0" applyFont="1" applyFill="1" applyBorder="1" applyAlignment="1">
      <alignment horizontal="center" vertical="center"/>
    </xf>
    <xf numFmtId="49" fontId="11" fillId="19" borderId="12" xfId="0" applyNumberFormat="1" applyFont="1" applyFill="1" applyBorder="1"/>
    <xf numFmtId="49" fontId="8" fillId="19" borderId="12" xfId="0" applyNumberFormat="1" applyFont="1" applyFill="1" applyBorder="1"/>
    <xf numFmtId="49" fontId="8" fillId="19" borderId="12" xfId="0" applyNumberFormat="1" applyFont="1" applyFill="1" applyBorder="1" applyAlignment="1">
      <alignment horizontal="left"/>
    </xf>
    <xf numFmtId="49" fontId="8" fillId="0" borderId="12" xfId="0" applyNumberFormat="1" applyFont="1" applyFill="1" applyBorder="1"/>
    <xf numFmtId="49" fontId="11" fillId="24" borderId="12" xfId="0" applyNumberFormat="1" applyFont="1" applyFill="1" applyBorder="1"/>
    <xf numFmtId="49" fontId="11" fillId="24" borderId="12" xfId="0" applyNumberFormat="1" applyFont="1" applyFill="1" applyBorder="1" applyAlignment="1">
      <alignment horizontal="left"/>
    </xf>
    <xf numFmtId="49" fontId="8" fillId="24" borderId="12" xfId="0" applyNumberFormat="1" applyFont="1" applyFill="1" applyBorder="1"/>
    <xf numFmtId="49" fontId="7" fillId="24" borderId="12" xfId="0" applyNumberFormat="1" applyFont="1" applyFill="1" applyBorder="1"/>
    <xf numFmtId="49" fontId="8" fillId="24" borderId="12" xfId="0" applyNumberFormat="1" applyFont="1" applyFill="1" applyBorder="1" applyAlignment="1">
      <alignment horizontal="left"/>
    </xf>
    <xf numFmtId="49" fontId="8" fillId="0" borderId="12" xfId="0" applyNumberFormat="1" applyFont="1" applyFill="1" applyBorder="1" applyAlignment="1">
      <alignment horizontal="left"/>
    </xf>
    <xf numFmtId="49" fontId="8" fillId="25" borderId="12" xfId="0" applyNumberFormat="1" applyFont="1" applyFill="1" applyBorder="1"/>
    <xf numFmtId="49" fontId="11" fillId="25" borderId="12" xfId="0" applyNumberFormat="1" applyFont="1" applyFill="1" applyBorder="1"/>
    <xf numFmtId="49" fontId="11" fillId="25" borderId="12" xfId="0" applyNumberFormat="1" applyFont="1" applyFill="1" applyBorder="1" applyAlignment="1">
      <alignment horizontal="left"/>
    </xf>
    <xf numFmtId="49" fontId="7" fillId="25" borderId="12" xfId="0" applyNumberFormat="1" applyFont="1" applyFill="1" applyBorder="1"/>
    <xf numFmtId="49" fontId="8" fillId="25" borderId="12" xfId="0" applyNumberFormat="1" applyFont="1" applyFill="1" applyBorder="1" applyAlignment="1">
      <alignment horizontal="left"/>
    </xf>
    <xf numFmtId="49" fontId="8" fillId="25" borderId="12" xfId="0" applyNumberFormat="1" applyFont="1" applyFill="1" applyBorder="1" applyAlignment="1">
      <alignment horizontal="left" vertical="center"/>
    </xf>
    <xf numFmtId="173" fontId="0" fillId="25" borderId="12" xfId="0" applyFill="1" applyBorder="1"/>
    <xf numFmtId="173" fontId="8" fillId="0" borderId="12" xfId="0" applyFont="1" applyBorder="1"/>
    <xf numFmtId="49" fontId="0" fillId="19" borderId="28" xfId="0" applyNumberFormat="1" applyFill="1" applyBorder="1"/>
    <xf numFmtId="49" fontId="7" fillId="19" borderId="28" xfId="0" applyNumberFormat="1" applyFont="1" applyFill="1" applyBorder="1"/>
    <xf numFmtId="173" fontId="33" fillId="19" borderId="28" xfId="0" applyFont="1" applyFill="1" applyBorder="1" applyAlignment="1">
      <alignment horizontal="center" vertical="center"/>
    </xf>
    <xf numFmtId="173" fontId="8" fillId="19" borderId="28" xfId="0" applyFont="1" applyFill="1" applyBorder="1" applyAlignment="1">
      <alignment horizontal="center"/>
    </xf>
    <xf numFmtId="164" fontId="8" fillId="19" borderId="28" xfId="0" applyNumberFormat="1" applyFont="1" applyFill="1" applyBorder="1" applyAlignment="1">
      <alignment horizontal="right"/>
    </xf>
    <xf numFmtId="164" fontId="8" fillId="19" borderId="28" xfId="0" applyNumberFormat="1" applyFont="1" applyFill="1" applyBorder="1" applyAlignment="1">
      <alignment horizontal="center" vertical="center"/>
    </xf>
    <xf numFmtId="173" fontId="8" fillId="19" borderId="28" xfId="0" applyFont="1" applyFill="1" applyBorder="1" applyAlignment="1">
      <alignment horizontal="center" vertical="center"/>
    </xf>
    <xf numFmtId="173" fontId="8" fillId="19" borderId="14" xfId="0" applyFont="1" applyFill="1" applyBorder="1" applyAlignment="1">
      <alignment horizontal="center"/>
    </xf>
    <xf numFmtId="173" fontId="8" fillId="19" borderId="14" xfId="0" applyFont="1" applyFill="1" applyBorder="1"/>
    <xf numFmtId="49" fontId="0" fillId="24" borderId="28" xfId="0" applyNumberFormat="1" applyFill="1" applyBorder="1"/>
    <xf numFmtId="173" fontId="33" fillId="24" borderId="28" xfId="0" applyFont="1" applyFill="1" applyBorder="1" applyAlignment="1">
      <alignment horizontal="center" vertical="center"/>
    </xf>
    <xf numFmtId="173" fontId="8" fillId="24" borderId="28" xfId="0" applyFont="1" applyFill="1" applyBorder="1"/>
    <xf numFmtId="164" fontId="8" fillId="24" borderId="28" xfId="0" applyNumberFormat="1" applyFont="1" applyFill="1" applyBorder="1" applyAlignment="1">
      <alignment horizontal="right"/>
    </xf>
    <xf numFmtId="164" fontId="8" fillId="24" borderId="28" xfId="0" applyNumberFormat="1" applyFont="1" applyFill="1" applyBorder="1" applyAlignment="1">
      <alignment horizontal="center" vertical="center"/>
    </xf>
    <xf numFmtId="10" fontId="8" fillId="24" borderId="28" xfId="0" applyNumberFormat="1" applyFont="1" applyFill="1" applyBorder="1" applyAlignment="1">
      <alignment horizontal="center" vertical="center"/>
    </xf>
    <xf numFmtId="164" fontId="8" fillId="24" borderId="28" xfId="0" applyNumberFormat="1" applyFont="1" applyFill="1" applyBorder="1"/>
    <xf numFmtId="10" fontId="8" fillId="24" borderId="14" xfId="0" applyNumberFormat="1" applyFont="1" applyFill="1" applyBorder="1"/>
    <xf numFmtId="10" fontId="0" fillId="24" borderId="14" xfId="0" applyNumberFormat="1" applyFill="1" applyBorder="1" applyAlignment="1"/>
    <xf numFmtId="173" fontId="0" fillId="24" borderId="14" xfId="0" applyFill="1" applyBorder="1" applyAlignment="1"/>
    <xf numFmtId="9" fontId="0" fillId="24" borderId="14" xfId="0" applyNumberFormat="1" applyFill="1" applyBorder="1"/>
    <xf numFmtId="164" fontId="0" fillId="24" borderId="14" xfId="0" applyNumberFormat="1" applyFill="1" applyBorder="1"/>
    <xf numFmtId="49" fontId="8" fillId="25" borderId="28" xfId="0" applyNumberFormat="1" applyFont="1" applyFill="1" applyBorder="1"/>
    <xf numFmtId="49" fontId="33" fillId="25" borderId="28" xfId="0" applyNumberFormat="1" applyFont="1" applyFill="1" applyBorder="1" applyAlignment="1">
      <alignment horizontal="center" vertical="center"/>
    </xf>
    <xf numFmtId="173" fontId="8" fillId="25" borderId="28" xfId="0" applyFont="1" applyFill="1" applyBorder="1"/>
    <xf numFmtId="164" fontId="8" fillId="25" borderId="28" xfId="0" applyNumberFormat="1" applyFont="1" applyFill="1" applyBorder="1" applyAlignment="1">
      <alignment horizontal="right"/>
    </xf>
    <xf numFmtId="49" fontId="8" fillId="25" borderId="28" xfId="0" applyNumberFormat="1" applyFont="1" applyFill="1" applyBorder="1" applyAlignment="1">
      <alignment horizontal="center" vertical="center"/>
    </xf>
    <xf numFmtId="10" fontId="8" fillId="25" borderId="28" xfId="0" applyNumberFormat="1" applyFont="1" applyFill="1" applyBorder="1" applyAlignment="1">
      <alignment horizontal="center" vertical="center"/>
    </xf>
    <xf numFmtId="164" fontId="8" fillId="25" borderId="14" xfId="0" applyNumberFormat="1" applyFont="1" applyFill="1" applyBorder="1"/>
    <xf numFmtId="173" fontId="8" fillId="25" borderId="14" xfId="0" applyFont="1" applyFill="1" applyBorder="1"/>
    <xf numFmtId="49" fontId="0" fillId="30" borderId="28" xfId="0" applyNumberFormat="1" applyFill="1" applyBorder="1"/>
    <xf numFmtId="173" fontId="33" fillId="30" borderId="28" xfId="0" applyFont="1" applyFill="1" applyBorder="1" applyAlignment="1">
      <alignment horizontal="center" vertical="center"/>
    </xf>
    <xf numFmtId="173" fontId="0" fillId="30" borderId="28" xfId="0" applyFill="1" applyBorder="1"/>
    <xf numFmtId="164" fontId="0" fillId="30" borderId="28" xfId="0" applyNumberFormat="1" applyFill="1" applyBorder="1" applyAlignment="1">
      <alignment horizontal="right"/>
    </xf>
    <xf numFmtId="164" fontId="0" fillId="30" borderId="28" xfId="0" applyNumberFormat="1" applyFill="1" applyBorder="1" applyAlignment="1">
      <alignment horizontal="center" vertical="center"/>
    </xf>
    <xf numFmtId="173" fontId="0" fillId="30" borderId="28" xfId="0" applyFill="1" applyBorder="1" applyAlignment="1">
      <alignment horizontal="center" vertical="center"/>
    </xf>
    <xf numFmtId="173" fontId="0" fillId="30" borderId="14" xfId="0" applyFill="1" applyBorder="1"/>
    <xf numFmtId="173" fontId="11" fillId="24" borderId="14" xfId="0" applyFont="1" applyFill="1" applyBorder="1"/>
    <xf numFmtId="173" fontId="11" fillId="24" borderId="15" xfId="0" applyFont="1" applyFill="1" applyBorder="1"/>
    <xf numFmtId="173" fontId="7" fillId="24" borderId="0" xfId="0" applyFont="1" applyFill="1" applyBorder="1"/>
    <xf numFmtId="173" fontId="7" fillId="24" borderId="6" xfId="0" applyFont="1" applyFill="1" applyBorder="1"/>
    <xf numFmtId="173" fontId="7" fillId="24" borderId="8" xfId="0" applyFont="1" applyFill="1" applyBorder="1"/>
    <xf numFmtId="164" fontId="0" fillId="24" borderId="2" xfId="0" applyNumberFormat="1" applyFill="1" applyBorder="1"/>
    <xf numFmtId="164" fontId="0" fillId="24" borderId="12" xfId="0" applyNumberFormat="1" applyFill="1" applyBorder="1"/>
    <xf numFmtId="164" fontId="0" fillId="24" borderId="5" xfId="0" applyNumberFormat="1" applyFill="1" applyBorder="1"/>
    <xf numFmtId="164" fontId="0" fillId="24" borderId="46" xfId="0" applyNumberFormat="1" applyFill="1" applyBorder="1"/>
    <xf numFmtId="173" fontId="0" fillId="24" borderId="12" xfId="0" applyFill="1" applyBorder="1"/>
    <xf numFmtId="173" fontId="0" fillId="24" borderId="67" xfId="0" applyFill="1" applyBorder="1"/>
    <xf numFmtId="164" fontId="0" fillId="25" borderId="2" xfId="0" applyNumberFormat="1" applyFill="1" applyBorder="1"/>
    <xf numFmtId="164" fontId="7" fillId="24" borderId="2" xfId="0" applyNumberFormat="1" applyFont="1" applyFill="1" applyBorder="1"/>
    <xf numFmtId="164" fontId="7" fillId="24" borderId="0" xfId="0" applyNumberFormat="1" applyFont="1" applyFill="1" applyBorder="1"/>
    <xf numFmtId="164" fontId="7" fillId="24" borderId="5" xfId="0" applyNumberFormat="1" applyFont="1" applyFill="1" applyBorder="1"/>
    <xf numFmtId="164" fontId="7" fillId="24" borderId="46" xfId="0" applyNumberFormat="1" applyFont="1" applyFill="1" applyBorder="1"/>
    <xf numFmtId="164" fontId="7" fillId="24" borderId="1" xfId="0" applyNumberFormat="1" applyFont="1" applyFill="1" applyBorder="1"/>
    <xf numFmtId="173" fontId="7" fillId="24" borderId="67" xfId="0" applyFont="1" applyFill="1" applyBorder="1"/>
    <xf numFmtId="164" fontId="7" fillId="25" borderId="2" xfId="0" applyNumberFormat="1" applyFont="1" applyFill="1" applyBorder="1"/>
    <xf numFmtId="164" fontId="7" fillId="25" borderId="5" xfId="0" applyNumberFormat="1" applyFont="1" applyFill="1" applyBorder="1"/>
    <xf numFmtId="164" fontId="7" fillId="25" borderId="46" xfId="0" applyNumberFormat="1" applyFont="1" applyFill="1" applyBorder="1"/>
    <xf numFmtId="164" fontId="7" fillId="25" borderId="1" xfId="0" applyNumberFormat="1" applyFont="1" applyFill="1" applyBorder="1"/>
    <xf numFmtId="173" fontId="0" fillId="0" borderId="3" xfId="0" applyFill="1" applyBorder="1"/>
    <xf numFmtId="173" fontId="0" fillId="0" borderId="6" xfId="0" applyFill="1" applyBorder="1"/>
    <xf numFmtId="173" fontId="0" fillId="24" borderId="5" xfId="0" applyFill="1" applyBorder="1"/>
    <xf numFmtId="173" fontId="11" fillId="24" borderId="9" xfId="0" applyFont="1" applyFill="1" applyBorder="1"/>
    <xf numFmtId="173" fontId="8" fillId="24" borderId="23" xfId="0" applyFont="1" applyFill="1" applyBorder="1"/>
    <xf numFmtId="173" fontId="8" fillId="24" borderId="9" xfId="0" applyFont="1" applyFill="1" applyBorder="1"/>
    <xf numFmtId="164" fontId="8" fillId="24" borderId="23" xfId="0" applyNumberFormat="1" applyFont="1" applyFill="1" applyBorder="1"/>
    <xf numFmtId="164" fontId="8" fillId="24" borderId="17" xfId="0" applyNumberFormat="1" applyFont="1" applyFill="1" applyBorder="1"/>
    <xf numFmtId="164" fontId="0" fillId="24" borderId="75" xfId="0" applyNumberFormat="1" applyFill="1" applyBorder="1"/>
    <xf numFmtId="166" fontId="0" fillId="24" borderId="0" xfId="0" applyNumberFormat="1" applyFill="1" applyBorder="1"/>
    <xf numFmtId="164" fontId="0" fillId="24" borderId="74" xfId="0" applyNumberFormat="1" applyFill="1" applyBorder="1"/>
    <xf numFmtId="166" fontId="0" fillId="24" borderId="0" xfId="0" applyNumberFormat="1" applyFill="1"/>
    <xf numFmtId="10" fontId="0" fillId="24" borderId="76" xfId="0" applyNumberFormat="1" applyFill="1" applyBorder="1" applyAlignment="1">
      <alignment horizontal="center"/>
    </xf>
    <xf numFmtId="164" fontId="0" fillId="24" borderId="76" xfId="0" applyNumberFormat="1" applyFill="1" applyBorder="1"/>
    <xf numFmtId="164" fontId="8" fillId="24" borderId="33" xfId="0" applyNumberFormat="1" applyFont="1" applyFill="1" applyBorder="1"/>
    <xf numFmtId="164" fontId="8" fillId="24" borderId="34" xfId="0" applyNumberFormat="1" applyFont="1" applyFill="1" applyBorder="1"/>
    <xf numFmtId="164" fontId="8" fillId="24" borderId="2" xfId="0" applyNumberFormat="1" applyFont="1" applyFill="1" applyBorder="1"/>
    <xf numFmtId="164" fontId="8" fillId="25" borderId="2" xfId="0" applyNumberFormat="1" applyFont="1" applyFill="1" applyBorder="1"/>
    <xf numFmtId="164" fontId="8" fillId="25" borderId="1" xfId="0" applyNumberFormat="1" applyFont="1" applyFill="1" applyBorder="1"/>
    <xf numFmtId="164" fontId="0" fillId="25" borderId="75" xfId="0" applyNumberFormat="1" applyFill="1" applyBorder="1"/>
    <xf numFmtId="166" fontId="0" fillId="25" borderId="0" xfId="0" applyNumberFormat="1" applyFill="1" applyBorder="1"/>
    <xf numFmtId="166" fontId="0" fillId="25" borderId="0" xfId="0" applyNumberFormat="1" applyFill="1"/>
    <xf numFmtId="10" fontId="0" fillId="25" borderId="76" xfId="0" applyNumberFormat="1" applyFill="1" applyBorder="1" applyAlignment="1">
      <alignment horizontal="center"/>
    </xf>
    <xf numFmtId="164" fontId="0" fillId="25" borderId="76" xfId="0" applyNumberFormat="1" applyFill="1" applyBorder="1"/>
    <xf numFmtId="164" fontId="8" fillId="25" borderId="13" xfId="0" applyNumberFormat="1" applyFont="1" applyFill="1" applyBorder="1"/>
    <xf numFmtId="164" fontId="8" fillId="25" borderId="15" xfId="0" applyNumberFormat="1" applyFont="1" applyFill="1" applyBorder="1"/>
    <xf numFmtId="164" fontId="8" fillId="25" borderId="33" xfId="0" applyNumberFormat="1" applyFont="1" applyFill="1" applyBorder="1"/>
    <xf numFmtId="164" fontId="8" fillId="25" borderId="34" xfId="0" applyNumberFormat="1" applyFont="1" applyFill="1" applyBorder="1"/>
    <xf numFmtId="164" fontId="8" fillId="30" borderId="2" xfId="0" applyNumberFormat="1" applyFont="1" applyFill="1" applyBorder="1"/>
    <xf numFmtId="164" fontId="8" fillId="30" borderId="1" xfId="0" applyNumberFormat="1" applyFont="1" applyFill="1" applyBorder="1"/>
    <xf numFmtId="164" fontId="0" fillId="30" borderId="2" xfId="0" applyNumberFormat="1" applyFill="1" applyBorder="1"/>
    <xf numFmtId="164" fontId="0" fillId="30" borderId="1" xfId="0" applyNumberFormat="1" applyFill="1" applyBorder="1"/>
    <xf numFmtId="164" fontId="8" fillId="24" borderId="26" xfId="0" applyNumberFormat="1" applyFont="1" applyFill="1" applyBorder="1" applyAlignment="1">
      <alignment horizontal="center"/>
    </xf>
    <xf numFmtId="167" fontId="10" fillId="24" borderId="12" xfId="2" applyNumberFormat="1" applyFont="1" applyFill="1" applyBorder="1"/>
    <xf numFmtId="167" fontId="10" fillId="24" borderId="67" xfId="2" applyNumberFormat="1" applyFont="1" applyFill="1" applyBorder="1"/>
    <xf numFmtId="173" fontId="11" fillId="24" borderId="116" xfId="0" applyFont="1" applyFill="1" applyBorder="1"/>
    <xf numFmtId="167" fontId="10" fillId="24" borderId="0" xfId="2" applyNumberFormat="1" applyFont="1" applyFill="1" applyBorder="1"/>
    <xf numFmtId="167" fontId="8" fillId="24" borderId="12" xfId="2" applyNumberFormat="1" applyFont="1" applyFill="1" applyBorder="1"/>
    <xf numFmtId="164" fontId="27" fillId="25" borderId="26" xfId="0" applyNumberFormat="1" applyFont="1" applyFill="1" applyBorder="1" applyAlignment="1">
      <alignment horizontal="center"/>
    </xf>
    <xf numFmtId="167" fontId="8" fillId="25" borderId="0" xfId="2" applyNumberFormat="1" applyFont="1" applyFill="1"/>
    <xf numFmtId="167" fontId="8" fillId="25" borderId="12" xfId="2" applyNumberFormat="1" applyFont="1" applyFill="1" applyBorder="1"/>
    <xf numFmtId="164" fontId="8" fillId="25" borderId="5" xfId="0" applyNumberFormat="1" applyFont="1" applyFill="1" applyBorder="1"/>
    <xf numFmtId="167" fontId="32" fillId="25" borderId="12" xfId="2" applyNumberFormat="1" applyFont="1" applyFill="1" applyBorder="1"/>
    <xf numFmtId="173" fontId="0" fillId="25" borderId="67" xfId="0" applyFill="1" applyBorder="1"/>
    <xf numFmtId="167" fontId="10" fillId="19" borderId="46" xfId="2" applyNumberFormat="1" applyFont="1" applyFill="1" applyBorder="1"/>
    <xf numFmtId="167" fontId="10" fillId="24" borderId="46" xfId="2" applyNumberFormat="1" applyFont="1" applyFill="1" applyBorder="1"/>
    <xf numFmtId="164" fontId="8" fillId="0" borderId="46" xfId="0" applyNumberFormat="1" applyFont="1" applyFill="1" applyBorder="1"/>
    <xf numFmtId="164" fontId="8" fillId="25" borderId="46" xfId="0" applyNumberFormat="1" applyFont="1" applyFill="1" applyBorder="1"/>
    <xf numFmtId="164" fontId="8" fillId="0" borderId="26" xfId="0" applyNumberFormat="1" applyFont="1" applyFill="1" applyBorder="1"/>
    <xf numFmtId="164" fontId="8" fillId="25" borderId="26" xfId="0" applyNumberFormat="1" applyFont="1" applyFill="1" applyBorder="1" applyAlignment="1">
      <alignment horizontal="center"/>
    </xf>
    <xf numFmtId="164" fontId="8" fillId="0" borderId="26" xfId="0" applyNumberFormat="1" applyFont="1" applyBorder="1" applyAlignment="1">
      <alignment horizontal="center"/>
    </xf>
    <xf numFmtId="164" fontId="0" fillId="0" borderId="26" xfId="0" applyNumberFormat="1" applyBorder="1" applyAlignment="1">
      <alignment horizontal="center"/>
    </xf>
    <xf numFmtId="3" fontId="0" fillId="19" borderId="26" xfId="0" applyNumberFormat="1" applyFill="1" applyBorder="1"/>
    <xf numFmtId="3" fontId="0" fillId="0" borderId="26" xfId="0" applyNumberFormat="1" applyBorder="1"/>
    <xf numFmtId="3" fontId="8" fillId="0" borderId="26" xfId="0" applyNumberFormat="1" applyFont="1" applyBorder="1"/>
    <xf numFmtId="3" fontId="0" fillId="24" borderId="26" xfId="0" applyNumberFormat="1" applyFill="1" applyBorder="1"/>
    <xf numFmtId="3" fontId="0" fillId="24" borderId="0" xfId="0" applyNumberFormat="1" applyFill="1"/>
    <xf numFmtId="3" fontId="7" fillId="24" borderId="0" xfId="0" applyNumberFormat="1" applyFont="1" applyFill="1"/>
    <xf numFmtId="2" fontId="0" fillId="24" borderId="0" xfId="0" applyNumberFormat="1" applyFill="1"/>
    <xf numFmtId="3" fontId="0" fillId="25" borderId="26" xfId="0" applyNumberFormat="1" applyFill="1" applyBorder="1"/>
    <xf numFmtId="3" fontId="0" fillId="25" borderId="0" xfId="0" applyNumberFormat="1" applyFill="1"/>
    <xf numFmtId="2" fontId="0" fillId="25" borderId="0" xfId="0" applyNumberFormat="1" applyFill="1"/>
    <xf numFmtId="167" fontId="32" fillId="25" borderId="67" xfId="2" applyNumberFormat="1" applyFont="1" applyFill="1" applyBorder="1"/>
    <xf numFmtId="173" fontId="8" fillId="24" borderId="1" xfId="0" applyFont="1" applyFill="1" applyBorder="1"/>
    <xf numFmtId="173" fontId="8" fillId="25" borderId="1" xfId="0" applyFont="1" applyFill="1" applyBorder="1"/>
    <xf numFmtId="173" fontId="0" fillId="25" borderId="1" xfId="0" applyFill="1" applyBorder="1"/>
    <xf numFmtId="2" fontId="0" fillId="19" borderId="1" xfId="0" applyNumberFormat="1" applyFill="1" applyBorder="1"/>
    <xf numFmtId="2" fontId="0" fillId="0" borderId="1" xfId="0" applyNumberFormat="1" applyBorder="1"/>
    <xf numFmtId="2" fontId="0" fillId="24" borderId="1" xfId="0" applyNumberFormat="1" applyFill="1" applyBorder="1"/>
    <xf numFmtId="2" fontId="0" fillId="25" borderId="1" xfId="0" applyNumberFormat="1" applyFill="1" applyBorder="1"/>
    <xf numFmtId="173" fontId="8" fillId="31" borderId="24" xfId="0" applyFont="1" applyFill="1" applyBorder="1" applyAlignment="1">
      <alignment horizontal="center"/>
    </xf>
    <xf numFmtId="173" fontId="8" fillId="31" borderId="110" xfId="0" applyFont="1" applyFill="1" applyBorder="1" applyAlignment="1">
      <alignment horizontal="center"/>
    </xf>
    <xf numFmtId="173" fontId="8" fillId="31" borderId="95" xfId="0" applyFont="1" applyFill="1" applyBorder="1" applyAlignment="1">
      <alignment horizontal="center"/>
    </xf>
    <xf numFmtId="173" fontId="8" fillId="31" borderId="6" xfId="0" applyFont="1" applyFill="1" applyBorder="1" applyAlignment="1">
      <alignment horizontal="center"/>
    </xf>
    <xf numFmtId="173" fontId="8" fillId="31" borderId="8" xfId="0" applyFont="1" applyFill="1" applyBorder="1" applyAlignment="1">
      <alignment horizontal="center"/>
    </xf>
    <xf numFmtId="173" fontId="0" fillId="31" borderId="25" xfId="0" applyFill="1" applyBorder="1" applyAlignment="1">
      <alignment horizontal="center"/>
    </xf>
    <xf numFmtId="173" fontId="0" fillId="31" borderId="116" xfId="0" applyFill="1" applyBorder="1" applyAlignment="1">
      <alignment horizontal="center"/>
    </xf>
    <xf numFmtId="173" fontId="0" fillId="31" borderId="7" xfId="0" applyFill="1" applyBorder="1" applyAlignment="1">
      <alignment horizontal="center"/>
    </xf>
    <xf numFmtId="173" fontId="8" fillId="31" borderId="7" xfId="0" applyFont="1" applyFill="1" applyBorder="1" applyAlignment="1">
      <alignment horizontal="center"/>
    </xf>
    <xf numFmtId="173" fontId="8" fillId="31" borderId="16" xfId="0" applyFont="1" applyFill="1" applyBorder="1" applyAlignment="1">
      <alignment horizontal="center"/>
    </xf>
    <xf numFmtId="167" fontId="32" fillId="25" borderId="12" xfId="2" applyNumberFormat="1" applyFont="1" applyFill="1" applyBorder="1"/>
    <xf numFmtId="167" fontId="32" fillId="25" borderId="67" xfId="2" applyNumberFormat="1" applyFont="1" applyFill="1" applyBorder="1"/>
    <xf numFmtId="3" fontId="0" fillId="30" borderId="26" xfId="0" applyNumberFormat="1" applyFill="1" applyBorder="1"/>
    <xf numFmtId="3" fontId="0" fillId="30" borderId="0" xfId="0" applyNumberFormat="1" applyFill="1"/>
    <xf numFmtId="2" fontId="0" fillId="30" borderId="0" xfId="0" applyNumberFormat="1" applyFill="1"/>
    <xf numFmtId="173" fontId="8" fillId="31" borderId="17" xfId="0" applyFont="1" applyFill="1" applyBorder="1" applyAlignment="1">
      <alignment horizontal="center" vertical="center"/>
    </xf>
    <xf numFmtId="173" fontId="0" fillId="31" borderId="34" xfId="0" applyFill="1" applyBorder="1"/>
    <xf numFmtId="3" fontId="0" fillId="30" borderId="0" xfId="0" applyNumberFormat="1" applyFill="1" applyBorder="1"/>
    <xf numFmtId="2" fontId="0" fillId="30" borderId="1" xfId="0" applyNumberFormat="1" applyFill="1" applyBorder="1"/>
    <xf numFmtId="164" fontId="8" fillId="0" borderId="0" xfId="0" applyNumberFormat="1" applyFont="1" applyBorder="1" applyAlignment="1">
      <alignment horizontal="center"/>
    </xf>
    <xf numFmtId="10" fontId="0" fillId="0" borderId="0" xfId="4" applyNumberFormat="1" applyFont="1" applyBorder="1"/>
    <xf numFmtId="9" fontId="0" fillId="0" borderId="0" xfId="0" applyNumberFormat="1" applyBorder="1"/>
    <xf numFmtId="167" fontId="0" fillId="0" borderId="0" xfId="2" applyNumberFormat="1" applyFont="1" applyBorder="1"/>
    <xf numFmtId="3" fontId="0" fillId="19" borderId="0" xfId="0" applyNumberFormat="1" applyFill="1" applyBorder="1"/>
    <xf numFmtId="3" fontId="0" fillId="0" borderId="0" xfId="0" applyNumberFormat="1" applyBorder="1"/>
    <xf numFmtId="3" fontId="0" fillId="24" borderId="0" xfId="0" applyNumberFormat="1" applyFill="1" applyBorder="1"/>
    <xf numFmtId="3" fontId="0" fillId="25" borderId="0" xfId="0" applyNumberFormat="1" applyFill="1" applyBorder="1"/>
    <xf numFmtId="2" fontId="0" fillId="0" borderId="0" xfId="0" applyNumberFormat="1" applyBorder="1"/>
    <xf numFmtId="173" fontId="0" fillId="31" borderId="7" xfId="0" applyFill="1" applyBorder="1"/>
    <xf numFmtId="3" fontId="11" fillId="0" borderId="12" xfId="0" applyNumberFormat="1" applyFont="1" applyFill="1" applyBorder="1"/>
    <xf numFmtId="164" fontId="7" fillId="0" borderId="12" xfId="2" applyNumberFormat="1" applyFont="1" applyFill="1" applyBorder="1"/>
    <xf numFmtId="164" fontId="8" fillId="0" borderId="2" xfId="0" applyNumberFormat="1" applyFont="1" applyBorder="1" applyAlignment="1">
      <alignment horizontal="center"/>
    </xf>
    <xf numFmtId="173" fontId="27" fillId="24" borderId="2" xfId="0" applyFont="1" applyFill="1" applyBorder="1"/>
    <xf numFmtId="173" fontId="27" fillId="24" borderId="0" xfId="0" applyFont="1" applyFill="1" applyBorder="1"/>
    <xf numFmtId="164" fontId="7" fillId="25" borderId="26" xfId="0" applyNumberFormat="1" applyFont="1" applyFill="1" applyBorder="1" applyAlignment="1">
      <alignment horizontal="center"/>
    </xf>
    <xf numFmtId="167" fontId="7" fillId="25" borderId="5" xfId="2" applyNumberFormat="1" applyFont="1" applyFill="1" applyBorder="1"/>
    <xf numFmtId="167" fontId="7" fillId="25" borderId="12" xfId="2" applyNumberFormat="1" applyFont="1" applyFill="1" applyBorder="1"/>
    <xf numFmtId="167" fontId="7" fillId="25" borderId="46" xfId="2" applyNumberFormat="1" applyFont="1" applyFill="1" applyBorder="1"/>
    <xf numFmtId="173" fontId="0" fillId="0" borderId="69" xfId="0" applyFill="1" applyBorder="1"/>
    <xf numFmtId="164" fontId="0" fillId="19" borderId="26" xfId="0" applyNumberFormat="1" applyFill="1" applyBorder="1"/>
    <xf numFmtId="49" fontId="0" fillId="24" borderId="0" xfId="0" applyNumberFormat="1" applyFill="1" applyBorder="1" applyAlignment="1">
      <alignment horizontal="center"/>
    </xf>
    <xf numFmtId="164" fontId="0" fillId="24" borderId="26" xfId="0" applyNumberFormat="1" applyFill="1" applyBorder="1"/>
    <xf numFmtId="164" fontId="32" fillId="24" borderId="0" xfId="2" applyNumberFormat="1" applyFont="1" applyFill="1"/>
    <xf numFmtId="170" fontId="0" fillId="24" borderId="0" xfId="0" applyNumberFormat="1" applyFill="1"/>
    <xf numFmtId="49" fontId="10" fillId="24" borderId="0" xfId="0" applyNumberFormat="1" applyFont="1" applyFill="1" applyBorder="1" applyAlignment="1">
      <alignment horizontal="center"/>
    </xf>
    <xf numFmtId="164" fontId="8" fillId="24" borderId="26" xfId="0" applyNumberFormat="1" applyFont="1" applyFill="1" applyBorder="1"/>
    <xf numFmtId="164" fontId="7" fillId="24" borderId="0" xfId="0" applyNumberFormat="1" applyFont="1" applyFill="1"/>
    <xf numFmtId="164" fontId="8" fillId="24" borderId="0" xfId="0" applyNumberFormat="1" applyFont="1" applyFill="1" applyBorder="1"/>
    <xf numFmtId="49" fontId="0" fillId="25" borderId="0" xfId="0" applyNumberFormat="1" applyFill="1" applyBorder="1" applyAlignment="1">
      <alignment horizontal="center"/>
    </xf>
    <xf numFmtId="164" fontId="8" fillId="25" borderId="26" xfId="0" applyNumberFormat="1" applyFont="1" applyFill="1" applyBorder="1"/>
    <xf numFmtId="49" fontId="10" fillId="25" borderId="0" xfId="0" applyNumberFormat="1" applyFont="1" applyFill="1" applyBorder="1" applyAlignment="1">
      <alignment horizontal="center"/>
    </xf>
    <xf numFmtId="49" fontId="7" fillId="25" borderId="0" xfId="0" applyNumberFormat="1" applyFont="1" applyFill="1" applyBorder="1" applyAlignment="1">
      <alignment horizontal="center"/>
    </xf>
    <xf numFmtId="49" fontId="0" fillId="25" borderId="0" xfId="0" applyNumberFormat="1" applyFill="1"/>
    <xf numFmtId="164" fontId="0" fillId="25" borderId="26" xfId="0" applyNumberFormat="1" applyFill="1" applyBorder="1"/>
    <xf numFmtId="167" fontId="32" fillId="19" borderId="0" xfId="2" applyNumberFormat="1" applyFont="1" applyFill="1"/>
    <xf numFmtId="167" fontId="32" fillId="24" borderId="0" xfId="2" applyNumberFormat="1" applyFont="1" applyFill="1"/>
    <xf numFmtId="167" fontId="8" fillId="0" borderId="0" xfId="2" applyNumberFormat="1" applyFont="1" applyFill="1" applyAlignment="1">
      <alignment horizontal="center"/>
    </xf>
    <xf numFmtId="167" fontId="8" fillId="0" borderId="0" xfId="2" applyNumberFormat="1" applyFont="1" applyFill="1" applyAlignment="1">
      <alignment horizontal="right"/>
    </xf>
    <xf numFmtId="167" fontId="32" fillId="25" borderId="0" xfId="2" applyNumberFormat="1" applyFont="1" applyFill="1"/>
    <xf numFmtId="167" fontId="7" fillId="0" borderId="0" xfId="2" applyNumberFormat="1" applyFont="1" applyFill="1"/>
    <xf numFmtId="167" fontId="7" fillId="30" borderId="0" xfId="2" applyNumberFormat="1" applyFont="1" applyFill="1"/>
    <xf numFmtId="173" fontId="8" fillId="33" borderId="24" xfId="0" applyFont="1" applyFill="1" applyBorder="1" applyAlignment="1">
      <alignment horizontal="center"/>
    </xf>
    <xf numFmtId="173" fontId="8" fillId="33" borderId="110" xfId="0" applyFont="1" applyFill="1" applyBorder="1" applyAlignment="1">
      <alignment horizontal="center"/>
    </xf>
    <xf numFmtId="173" fontId="8" fillId="33" borderId="95" xfId="0" applyFont="1" applyFill="1" applyBorder="1" applyAlignment="1">
      <alignment horizontal="center"/>
    </xf>
    <xf numFmtId="173" fontId="8" fillId="33" borderId="6" xfId="0" applyFont="1" applyFill="1" applyBorder="1" applyAlignment="1">
      <alignment horizontal="center"/>
    </xf>
    <xf numFmtId="173" fontId="8" fillId="33" borderId="8" xfId="0" applyFont="1" applyFill="1" applyBorder="1" applyAlignment="1">
      <alignment horizontal="center"/>
    </xf>
    <xf numFmtId="173" fontId="0" fillId="33" borderId="25" xfId="0" applyFill="1" applyBorder="1" applyAlignment="1">
      <alignment horizontal="center"/>
    </xf>
    <xf numFmtId="173" fontId="0" fillId="33" borderId="116" xfId="0" applyFill="1" applyBorder="1" applyAlignment="1">
      <alignment horizontal="center"/>
    </xf>
    <xf numFmtId="173" fontId="0" fillId="33" borderId="7" xfId="0" applyFill="1" applyBorder="1" applyAlignment="1">
      <alignment horizontal="center"/>
    </xf>
    <xf numFmtId="173" fontId="8" fillId="33" borderId="7" xfId="0" applyFont="1" applyFill="1" applyBorder="1" applyAlignment="1">
      <alignment horizontal="center"/>
    </xf>
    <xf numFmtId="173" fontId="8" fillId="33" borderId="16" xfId="0" applyFont="1" applyFill="1" applyBorder="1" applyAlignment="1">
      <alignment horizontal="center"/>
    </xf>
    <xf numFmtId="49" fontId="32" fillId="33" borderId="17" xfId="2" applyNumberFormat="1" applyFont="1" applyFill="1" applyBorder="1" applyAlignment="1">
      <alignment horizontal="center" vertical="center"/>
    </xf>
    <xf numFmtId="167" fontId="32" fillId="33" borderId="34" xfId="2" applyNumberFormat="1" applyFont="1" applyFill="1" applyBorder="1"/>
    <xf numFmtId="49" fontId="8" fillId="33" borderId="71" xfId="2" applyNumberFormat="1" applyFont="1" applyFill="1" applyBorder="1" applyAlignment="1">
      <alignment horizontal="center"/>
    </xf>
    <xf numFmtId="167" fontId="8" fillId="33" borderId="116" xfId="2" applyNumberFormat="1" applyFont="1" applyFill="1" applyBorder="1" applyAlignment="1">
      <alignment horizontal="center"/>
    </xf>
    <xf numFmtId="167" fontId="32" fillId="19" borderId="46" xfId="2" applyNumberFormat="1" applyFont="1" applyFill="1" applyBorder="1"/>
    <xf numFmtId="167" fontId="32" fillId="24" borderId="46" xfId="2" applyNumberFormat="1" applyFont="1" applyFill="1" applyBorder="1"/>
    <xf numFmtId="167" fontId="32" fillId="0" borderId="46" xfId="2" applyNumberFormat="1" applyFont="1" applyFill="1" applyBorder="1"/>
    <xf numFmtId="167" fontId="32" fillId="24" borderId="12" xfId="2" applyNumberFormat="1" applyFont="1" applyFill="1" applyBorder="1"/>
    <xf numFmtId="49" fontId="7" fillId="30" borderId="0" xfId="0" applyNumberFormat="1" applyFont="1" applyFill="1" applyBorder="1" applyAlignment="1">
      <alignment horizontal="center"/>
    </xf>
    <xf numFmtId="164" fontId="8" fillId="30" borderId="26" xfId="0" applyNumberFormat="1" applyFont="1" applyFill="1" applyBorder="1"/>
    <xf numFmtId="164" fontId="8" fillId="30" borderId="0" xfId="0" applyNumberFormat="1" applyFont="1" applyFill="1"/>
    <xf numFmtId="167" fontId="32" fillId="30" borderId="0" xfId="2" applyNumberFormat="1" applyFont="1" applyFill="1"/>
    <xf numFmtId="49" fontId="0" fillId="30" borderId="0" xfId="0" applyNumberFormat="1" applyFill="1" applyBorder="1" applyAlignment="1">
      <alignment horizontal="center"/>
    </xf>
    <xf numFmtId="167" fontId="8" fillId="30" borderId="0" xfId="2" applyNumberFormat="1" applyFont="1" applyFill="1"/>
    <xf numFmtId="9" fontId="0" fillId="0" borderId="0" xfId="4" applyFont="1" applyFill="1"/>
    <xf numFmtId="173" fontId="8" fillId="25" borderId="2" xfId="0" applyFont="1" applyFill="1" applyBorder="1" applyAlignment="1">
      <alignment horizontal="center"/>
    </xf>
    <xf numFmtId="173" fontId="8" fillId="25" borderId="5" xfId="0" applyFont="1" applyFill="1" applyBorder="1" applyAlignment="1">
      <alignment horizontal="center"/>
    </xf>
    <xf numFmtId="173" fontId="8" fillId="25" borderId="12" xfId="0" applyFont="1" applyFill="1" applyBorder="1" applyAlignment="1">
      <alignment horizontal="center"/>
    </xf>
    <xf numFmtId="173" fontId="8" fillId="25" borderId="70" xfId="0" applyFont="1" applyFill="1" applyBorder="1" applyAlignment="1">
      <alignment horizontal="center"/>
    </xf>
    <xf numFmtId="173" fontId="8" fillId="25" borderId="46" xfId="0" applyFont="1" applyFill="1" applyBorder="1" applyAlignment="1">
      <alignment horizontal="center"/>
    </xf>
    <xf numFmtId="49" fontId="8" fillId="25" borderId="26" xfId="0" applyNumberFormat="1" applyFont="1" applyFill="1" applyBorder="1" applyAlignment="1">
      <alignment horizontal="center"/>
    </xf>
    <xf numFmtId="173" fontId="8" fillId="25" borderId="26" xfId="0" applyFont="1" applyFill="1" applyBorder="1" applyAlignment="1">
      <alignment horizontal="center" wrapText="1"/>
    </xf>
    <xf numFmtId="173" fontId="8" fillId="25" borderId="26" xfId="0" applyFont="1" applyFill="1" applyBorder="1" applyAlignment="1">
      <alignment horizontal="left" vertical="center" wrapText="1"/>
    </xf>
    <xf numFmtId="173" fontId="8" fillId="25" borderId="26" xfId="0" applyFont="1" applyFill="1" applyBorder="1"/>
    <xf numFmtId="15" fontId="8" fillId="25" borderId="2" xfId="0" applyNumberFormat="1" applyFont="1" applyFill="1" applyBorder="1" applyAlignment="1">
      <alignment horizontal="center"/>
    </xf>
    <xf numFmtId="15" fontId="8" fillId="25" borderId="0" xfId="0" applyNumberFormat="1" applyFont="1" applyFill="1" applyAlignment="1">
      <alignment horizontal="center"/>
    </xf>
    <xf numFmtId="173" fontId="8" fillId="25" borderId="0" xfId="0" applyFont="1" applyFill="1" applyAlignment="1">
      <alignment horizontal="left"/>
    </xf>
    <xf numFmtId="173" fontId="8" fillId="24" borderId="2" xfId="0" applyFont="1" applyFill="1" applyBorder="1" applyAlignment="1">
      <alignment horizontal="center"/>
    </xf>
    <xf numFmtId="173" fontId="8" fillId="24" borderId="5" xfId="0" applyFont="1" applyFill="1" applyBorder="1" applyAlignment="1">
      <alignment horizontal="center"/>
    </xf>
    <xf numFmtId="173" fontId="8" fillId="24" borderId="12" xfId="0" applyFont="1" applyFill="1" applyBorder="1" applyAlignment="1">
      <alignment horizontal="center"/>
    </xf>
    <xf numFmtId="173" fontId="8" fillId="24" borderId="70" xfId="0" applyFont="1" applyFill="1" applyBorder="1" applyAlignment="1">
      <alignment horizontal="center"/>
    </xf>
    <xf numFmtId="173" fontId="8" fillId="24" borderId="46" xfId="0" applyFont="1" applyFill="1" applyBorder="1" applyAlignment="1">
      <alignment horizontal="center"/>
    </xf>
    <xf numFmtId="49" fontId="8" fillId="24" borderId="26" xfId="0" applyNumberFormat="1" applyFont="1" applyFill="1" applyBorder="1" applyAlignment="1">
      <alignment horizontal="center"/>
    </xf>
    <xf numFmtId="173" fontId="8" fillId="24" borderId="26" xfId="0" applyFont="1" applyFill="1" applyBorder="1" applyAlignment="1">
      <alignment horizontal="center" wrapText="1"/>
    </xf>
    <xf numFmtId="173" fontId="8" fillId="24" borderId="26" xfId="0" applyFont="1" applyFill="1" applyBorder="1" applyAlignment="1">
      <alignment horizontal="left" vertical="center" wrapText="1"/>
    </xf>
    <xf numFmtId="173" fontId="8" fillId="24" borderId="26" xfId="0" applyFont="1" applyFill="1" applyBorder="1"/>
    <xf numFmtId="15" fontId="8" fillId="24" borderId="2" xfId="0" applyNumberFormat="1" applyFont="1" applyFill="1" applyBorder="1" applyAlignment="1">
      <alignment horizontal="center"/>
    </xf>
    <xf numFmtId="15" fontId="8" fillId="24" borderId="0" xfId="0" applyNumberFormat="1" applyFont="1" applyFill="1" applyAlignment="1">
      <alignment horizontal="center"/>
    </xf>
    <xf numFmtId="173" fontId="8" fillId="24" borderId="0" xfId="0" applyFont="1" applyFill="1" applyAlignment="1">
      <alignment horizontal="left"/>
    </xf>
    <xf numFmtId="16" fontId="8" fillId="24" borderId="26" xfId="0" applyNumberFormat="1" applyFont="1" applyFill="1" applyBorder="1" applyAlignment="1">
      <alignment horizontal="center"/>
    </xf>
    <xf numFmtId="173" fontId="8" fillId="24" borderId="26" xfId="0" applyNumberFormat="1" applyFont="1" applyFill="1" applyBorder="1" applyAlignment="1">
      <alignment horizontal="center"/>
    </xf>
    <xf numFmtId="167" fontId="8" fillId="24" borderId="2" xfId="2" applyNumberFormat="1" applyFont="1" applyFill="1" applyBorder="1"/>
    <xf numFmtId="173" fontId="8" fillId="24" borderId="5" xfId="0" applyFont="1" applyFill="1" applyBorder="1"/>
    <xf numFmtId="14" fontId="8" fillId="25" borderId="0" xfId="0" applyNumberFormat="1" applyFont="1" applyFill="1" applyAlignment="1">
      <alignment horizontal="center"/>
    </xf>
    <xf numFmtId="16" fontId="8" fillId="25" borderId="26" xfId="0" applyNumberFormat="1" applyFont="1" applyFill="1" applyBorder="1" applyAlignment="1">
      <alignment horizontal="center"/>
    </xf>
    <xf numFmtId="173" fontId="7" fillId="25" borderId="5" xfId="0" applyFont="1" applyFill="1" applyBorder="1" applyAlignment="1">
      <alignment horizontal="center"/>
    </xf>
    <xf numFmtId="173" fontId="7" fillId="25" borderId="12" xfId="0" applyFont="1" applyFill="1" applyBorder="1" applyAlignment="1">
      <alignment horizontal="center"/>
    </xf>
    <xf numFmtId="173" fontId="0" fillId="25" borderId="0" xfId="0" applyFill="1" applyBorder="1" applyAlignment="1">
      <alignment horizontal="center"/>
    </xf>
    <xf numFmtId="173" fontId="0" fillId="25" borderId="26" xfId="0" applyFill="1" applyBorder="1" applyAlignment="1">
      <alignment horizontal="center"/>
    </xf>
    <xf numFmtId="173" fontId="0" fillId="25" borderId="5" xfId="0" applyFill="1" applyBorder="1" applyAlignment="1">
      <alignment horizontal="center"/>
    </xf>
    <xf numFmtId="173" fontId="0" fillId="25" borderId="0" xfId="0" applyFill="1" applyAlignment="1">
      <alignment horizontal="center"/>
    </xf>
    <xf numFmtId="173" fontId="27" fillId="25" borderId="26" xfId="0" applyFont="1" applyFill="1" applyBorder="1" applyAlignment="1">
      <alignment horizontal="center"/>
    </xf>
    <xf numFmtId="173" fontId="27" fillId="25" borderId="5" xfId="0" applyFont="1" applyFill="1" applyBorder="1" applyAlignment="1">
      <alignment horizontal="center"/>
    </xf>
    <xf numFmtId="173" fontId="27" fillId="25" borderId="70" xfId="0" applyFont="1" applyFill="1" applyBorder="1"/>
    <xf numFmtId="173" fontId="27" fillId="25" borderId="12" xfId="0" applyFont="1" applyFill="1" applyBorder="1" applyAlignment="1">
      <alignment horizontal="center"/>
    </xf>
    <xf numFmtId="173" fontId="27" fillId="25" borderId="70" xfId="0" applyFont="1" applyFill="1" applyBorder="1" applyAlignment="1">
      <alignment horizontal="center"/>
    </xf>
    <xf numFmtId="173" fontId="27" fillId="25" borderId="0" xfId="0" applyFont="1" applyFill="1" applyBorder="1" applyAlignment="1">
      <alignment horizontal="center"/>
    </xf>
    <xf numFmtId="49" fontId="27" fillId="25" borderId="26" xfId="0" applyNumberFormat="1" applyFont="1" applyFill="1" applyBorder="1" applyAlignment="1">
      <alignment horizontal="center"/>
    </xf>
    <xf numFmtId="173" fontId="27" fillId="25" borderId="26" xfId="0" applyFont="1" applyFill="1" applyBorder="1" applyAlignment="1">
      <alignment horizontal="center" wrapText="1"/>
    </xf>
    <xf numFmtId="173" fontId="27" fillId="25" borderId="26" xfId="0" applyFont="1" applyFill="1" applyBorder="1"/>
    <xf numFmtId="164" fontId="27" fillId="25" borderId="2" xfId="0" applyNumberFormat="1" applyFont="1" applyFill="1" applyBorder="1"/>
    <xf numFmtId="173" fontId="27" fillId="25" borderId="0" xfId="0" applyFont="1" applyFill="1"/>
    <xf numFmtId="173" fontId="27" fillId="25" borderId="0" xfId="0" applyFont="1" applyFill="1" applyAlignment="1">
      <alignment horizontal="center"/>
    </xf>
    <xf numFmtId="15" fontId="27" fillId="25" borderId="2" xfId="0" applyNumberFormat="1" applyFont="1" applyFill="1" applyBorder="1" applyAlignment="1">
      <alignment horizontal="center"/>
    </xf>
    <xf numFmtId="15" fontId="27" fillId="25" borderId="0" xfId="0" applyNumberFormat="1" applyFont="1" applyFill="1" applyAlignment="1">
      <alignment horizontal="center"/>
    </xf>
    <xf numFmtId="173" fontId="27" fillId="25" borderId="0" xfId="0" applyFont="1" applyFill="1" applyAlignment="1">
      <alignment horizontal="left"/>
    </xf>
    <xf numFmtId="173" fontId="8" fillId="25" borderId="26" xfId="0" applyFont="1" applyFill="1" applyBorder="1" applyAlignment="1">
      <alignment horizontal="center" vertical="center"/>
    </xf>
    <xf numFmtId="173" fontId="8" fillId="25" borderId="8" xfId="0" applyFont="1" applyFill="1" applyBorder="1"/>
    <xf numFmtId="49" fontId="7" fillId="25" borderId="26" xfId="0" applyNumberFormat="1" applyFont="1" applyFill="1" applyBorder="1" applyAlignment="1">
      <alignment horizontal="center"/>
    </xf>
    <xf numFmtId="173" fontId="7" fillId="25" borderId="26" xfId="0" applyFont="1" applyFill="1" applyBorder="1"/>
    <xf numFmtId="15" fontId="0" fillId="25" borderId="2" xfId="0" applyNumberFormat="1" applyFill="1" applyBorder="1" applyAlignment="1">
      <alignment horizontal="center"/>
    </xf>
    <xf numFmtId="15" fontId="0" fillId="25" borderId="0" xfId="0" applyNumberFormat="1" applyFill="1" applyAlignment="1">
      <alignment horizontal="center"/>
    </xf>
    <xf numFmtId="173" fontId="7" fillId="25" borderId="0" xfId="0" applyFont="1" applyFill="1" applyAlignment="1">
      <alignment horizontal="left"/>
    </xf>
    <xf numFmtId="173" fontId="7" fillId="0" borderId="46" xfId="0" applyFont="1" applyBorder="1" applyAlignment="1">
      <alignment horizontal="center"/>
    </xf>
    <xf numFmtId="173" fontId="0" fillId="25" borderId="26" xfId="0" applyFill="1" applyBorder="1" applyAlignment="1">
      <alignment horizontal="left" vertical="center" wrapText="1"/>
    </xf>
    <xf numFmtId="173" fontId="7" fillId="25" borderId="70" xfId="0" applyFont="1" applyFill="1" applyBorder="1" applyAlignment="1">
      <alignment horizontal="center"/>
    </xf>
    <xf numFmtId="173" fontId="7" fillId="25" borderId="26" xfId="0" applyFont="1" applyFill="1" applyBorder="1" applyAlignment="1">
      <alignment horizontal="center" wrapText="1"/>
    </xf>
    <xf numFmtId="173" fontId="7" fillId="0" borderId="26" xfId="0" applyFont="1" applyFill="1" applyBorder="1" applyAlignment="1">
      <alignment horizontal="center" vertical="center"/>
    </xf>
    <xf numFmtId="173" fontId="8" fillId="0" borderId="8" xfId="0" applyFont="1" applyFill="1" applyBorder="1" applyAlignment="1">
      <alignment horizontal="center"/>
    </xf>
    <xf numFmtId="10" fontId="0" fillId="0" borderId="67" xfId="0" applyNumberFormat="1" applyFill="1" applyBorder="1"/>
    <xf numFmtId="167" fontId="0" fillId="0" borderId="68" xfId="2" applyNumberFormat="1" applyFont="1" applyFill="1" applyBorder="1"/>
    <xf numFmtId="164" fontId="0" fillId="28" borderId="16" xfId="0" applyNumberFormat="1" applyFill="1" applyBorder="1"/>
    <xf numFmtId="173" fontId="8" fillId="0" borderId="8" xfId="0" applyFont="1" applyBorder="1" applyAlignment="1">
      <alignment horizontal="center"/>
    </xf>
    <xf numFmtId="167" fontId="0" fillId="0" borderId="67" xfId="2" applyNumberFormat="1" applyFont="1" applyBorder="1"/>
    <xf numFmtId="173" fontId="0" fillId="0" borderId="67" xfId="0" applyBorder="1"/>
    <xf numFmtId="167" fontId="0" fillId="0" borderId="68" xfId="2" applyNumberFormat="1" applyFont="1" applyBorder="1"/>
    <xf numFmtId="164" fontId="0" fillId="28" borderId="67" xfId="0" applyNumberFormat="1" applyFill="1" applyBorder="1"/>
    <xf numFmtId="167" fontId="0" fillId="0" borderId="16" xfId="2" applyNumberFormat="1" applyFont="1" applyBorder="1"/>
    <xf numFmtId="44" fontId="0" fillId="0" borderId="67" xfId="2" applyFont="1" applyBorder="1"/>
    <xf numFmtId="44" fontId="0" fillId="0" borderId="16" xfId="2" applyFont="1" applyBorder="1"/>
    <xf numFmtId="167" fontId="0" fillId="0" borderId="0" xfId="0" applyNumberFormat="1"/>
    <xf numFmtId="173" fontId="30" fillId="23" borderId="2" xfId="0" applyFont="1" applyFill="1" applyBorder="1"/>
    <xf numFmtId="173" fontId="0" fillId="31" borderId="0" xfId="0" applyFill="1" applyBorder="1" applyAlignment="1">
      <alignment horizontal="center"/>
    </xf>
    <xf numFmtId="167" fontId="32" fillId="31" borderId="0" xfId="2" applyNumberFormat="1" applyFont="1" applyFill="1" applyBorder="1" applyAlignment="1">
      <alignment horizontal="center"/>
    </xf>
    <xf numFmtId="49" fontId="8" fillId="24" borderId="0" xfId="0" applyNumberFormat="1" applyFont="1" applyFill="1" applyAlignment="1">
      <alignment horizontal="right"/>
    </xf>
    <xf numFmtId="49" fontId="8" fillId="24" borderId="18" xfId="0" applyNumberFormat="1" applyFont="1" applyFill="1" applyBorder="1" applyAlignment="1">
      <alignment horizontal="right"/>
    </xf>
    <xf numFmtId="164" fontId="8" fillId="24" borderId="18" xfId="0" applyNumberFormat="1" applyFont="1" applyFill="1" applyBorder="1"/>
    <xf numFmtId="49" fontId="8" fillId="24" borderId="0" xfId="0" applyNumberFormat="1" applyFont="1" applyFill="1" applyBorder="1" applyAlignment="1">
      <alignment horizontal="right"/>
    </xf>
    <xf numFmtId="49" fontId="8" fillId="24" borderId="28" xfId="0" applyNumberFormat="1" applyFont="1" applyFill="1" applyBorder="1" applyAlignment="1">
      <alignment horizontal="right"/>
    </xf>
    <xf numFmtId="1" fontId="8" fillId="24" borderId="0" xfId="0" applyNumberFormat="1" applyFont="1" applyFill="1" applyBorder="1"/>
    <xf numFmtId="173" fontId="8" fillId="24" borderId="9" xfId="0" applyNumberFormat="1" applyFont="1" applyFill="1" applyBorder="1" applyAlignment="1">
      <alignment horizontal="right"/>
    </xf>
    <xf numFmtId="164" fontId="8" fillId="24" borderId="9" xfId="0" applyNumberFormat="1" applyFont="1" applyFill="1" applyBorder="1"/>
    <xf numFmtId="49" fontId="0" fillId="0" borderId="0" xfId="0" applyNumberFormat="1" applyFill="1" applyAlignment="1">
      <alignment horizontal="right"/>
    </xf>
    <xf numFmtId="49" fontId="7" fillId="30" borderId="101" xfId="0" applyNumberFormat="1" applyFont="1" applyFill="1" applyBorder="1" applyAlignment="1">
      <alignment horizontal="left"/>
    </xf>
    <xf numFmtId="173" fontId="7" fillId="30" borderId="98" xfId="0" applyFont="1" applyFill="1" applyBorder="1"/>
    <xf numFmtId="49" fontId="7" fillId="30" borderId="0" xfId="0" applyNumberFormat="1" applyFont="1" applyFill="1" applyAlignment="1">
      <alignment horizontal="right"/>
    </xf>
    <xf numFmtId="49" fontId="7" fillId="25" borderId="0" xfId="0" applyNumberFormat="1" applyFont="1" applyFill="1" applyAlignment="1">
      <alignment horizontal="right"/>
    </xf>
    <xf numFmtId="49" fontId="7" fillId="24" borderId="0" xfId="0" applyNumberFormat="1" applyFont="1" applyFill="1" applyAlignment="1">
      <alignment horizontal="right"/>
    </xf>
    <xf numFmtId="49" fontId="7" fillId="19" borderId="0" xfId="0" applyNumberFormat="1" applyFont="1" applyFill="1" applyAlignment="1">
      <alignment horizontal="right"/>
    </xf>
    <xf numFmtId="173" fontId="7" fillId="30" borderId="14" xfId="0" applyFont="1" applyFill="1" applyBorder="1"/>
    <xf numFmtId="173" fontId="7" fillId="30" borderId="13" xfId="0" applyFont="1" applyFill="1" applyBorder="1"/>
    <xf numFmtId="167" fontId="34" fillId="30" borderId="0" xfId="2" applyNumberFormat="1" applyFont="1" applyFill="1"/>
    <xf numFmtId="10" fontId="0" fillId="0" borderId="0" xfId="4" applyNumberFormat="1" applyFont="1" applyFill="1"/>
    <xf numFmtId="164" fontId="7" fillId="0" borderId="0" xfId="2" applyNumberFormat="1" applyFont="1" applyFill="1" applyBorder="1" applyAlignment="1">
      <alignment horizontal="center"/>
    </xf>
    <xf numFmtId="167" fontId="7" fillId="0" borderId="0" xfId="2" applyNumberFormat="1" applyFont="1" applyFill="1" applyBorder="1" applyAlignment="1">
      <alignment horizontal="center"/>
    </xf>
    <xf numFmtId="167" fontId="7" fillId="0" borderId="0" xfId="2" applyNumberFormat="1" applyFont="1" applyFill="1" applyBorder="1" applyAlignment="1">
      <alignment horizontal="right"/>
    </xf>
    <xf numFmtId="9" fontId="7" fillId="0" borderId="0" xfId="0" applyNumberFormat="1" applyFont="1" applyFill="1" applyBorder="1" applyAlignment="1">
      <alignment horizontal="center"/>
    </xf>
    <xf numFmtId="173" fontId="7" fillId="30" borderId="102" xfId="0" applyFont="1" applyFill="1" applyBorder="1"/>
    <xf numFmtId="173" fontId="7" fillId="0" borderId="0" xfId="0" applyFont="1" applyFill="1" applyBorder="1" applyAlignment="1">
      <alignment horizontal="left"/>
    </xf>
    <xf numFmtId="167" fontId="0" fillId="0" borderId="2" xfId="2" applyNumberFormat="1" applyFont="1" applyBorder="1"/>
    <xf numFmtId="167" fontId="0" fillId="0" borderId="1" xfId="2" applyNumberFormat="1" applyFont="1" applyBorder="1"/>
    <xf numFmtId="164" fontId="0" fillId="3" borderId="1" xfId="0" applyNumberFormat="1" applyFill="1" applyBorder="1" applyAlignment="1">
      <alignment horizontal="center"/>
    </xf>
    <xf numFmtId="164" fontId="10" fillId="0" borderId="1" xfId="0" applyNumberFormat="1" applyFont="1" applyBorder="1"/>
    <xf numFmtId="164" fontId="11" fillId="0" borderId="1" xfId="0" applyNumberFormat="1" applyFont="1" applyBorder="1"/>
    <xf numFmtId="164" fontId="7" fillId="0" borderId="1" xfId="0" applyNumberFormat="1" applyFont="1" applyBorder="1"/>
    <xf numFmtId="173" fontId="7" fillId="0" borderId="112" xfId="0" applyFont="1" applyFill="1" applyBorder="1"/>
    <xf numFmtId="167" fontId="32" fillId="0" borderId="0" xfId="2" applyNumberFormat="1" applyFont="1" applyFill="1"/>
    <xf numFmtId="167" fontId="0" fillId="0" borderId="26" xfId="2" applyNumberFormat="1" applyFont="1" applyFill="1" applyBorder="1" applyAlignment="1">
      <alignment horizontal="center" vertical="center"/>
    </xf>
    <xf numFmtId="49" fontId="7" fillId="24" borderId="12" xfId="0" applyNumberFormat="1" applyFont="1" applyFill="1" applyBorder="1" applyAlignment="1">
      <alignment horizontal="center"/>
    </xf>
    <xf numFmtId="164" fontId="7" fillId="24" borderId="12" xfId="0" applyNumberFormat="1" applyFont="1" applyFill="1" applyBorder="1" applyAlignment="1">
      <alignment horizontal="center"/>
    </xf>
    <xf numFmtId="10" fontId="7" fillId="24" borderId="12" xfId="0" applyNumberFormat="1" applyFont="1" applyFill="1" applyBorder="1"/>
    <xf numFmtId="10" fontId="7" fillId="24" borderId="70" xfId="0" applyNumberFormat="1" applyFont="1" applyFill="1" applyBorder="1"/>
    <xf numFmtId="10" fontId="7" fillId="24" borderId="0" xfId="0" applyNumberFormat="1" applyFont="1" applyFill="1" applyBorder="1"/>
    <xf numFmtId="10" fontId="7" fillId="24" borderId="0" xfId="0" applyNumberFormat="1" applyFont="1" applyFill="1" applyBorder="1" applyAlignment="1"/>
    <xf numFmtId="173" fontId="7" fillId="24" borderId="0" xfId="0" applyFont="1" applyFill="1" applyBorder="1" applyAlignment="1"/>
    <xf numFmtId="9" fontId="7" fillId="24" borderId="0" xfId="0" applyNumberFormat="1" applyFont="1" applyFill="1" applyBorder="1"/>
    <xf numFmtId="10" fontId="23" fillId="30" borderId="70" xfId="0" applyNumberFormat="1" applyFont="1" applyFill="1" applyBorder="1" applyAlignment="1">
      <alignment horizontal="center"/>
    </xf>
    <xf numFmtId="164" fontId="7" fillId="0" borderId="0" xfId="0" applyNumberFormat="1" applyFont="1" applyFill="1" applyBorder="1" applyAlignment="1">
      <alignment horizontal="left"/>
    </xf>
    <xf numFmtId="164" fontId="7" fillId="0" borderId="0" xfId="0" applyNumberFormat="1" applyFont="1" applyBorder="1" applyAlignment="1">
      <alignment horizontal="left"/>
    </xf>
    <xf numFmtId="49" fontId="11" fillId="25" borderId="0" xfId="0" applyNumberFormat="1" applyFont="1" applyFill="1"/>
    <xf numFmtId="173" fontId="8" fillId="25" borderId="9" xfId="0" applyFont="1" applyFill="1" applyBorder="1"/>
    <xf numFmtId="49" fontId="7" fillId="0" borderId="5" xfId="0" applyNumberFormat="1" applyFont="1" applyFill="1" applyBorder="1" applyAlignment="1">
      <alignment horizontal="left"/>
    </xf>
    <xf numFmtId="173" fontId="7" fillId="0" borderId="22" xfId="0" applyFont="1" applyFill="1" applyBorder="1"/>
    <xf numFmtId="49" fontId="8" fillId="25" borderId="4" xfId="0" applyNumberFormat="1" applyFont="1" applyFill="1" applyBorder="1" applyAlignment="1">
      <alignment horizontal="left"/>
    </xf>
    <xf numFmtId="164" fontId="8" fillId="25" borderId="26" xfId="2" applyNumberFormat="1" applyFont="1" applyFill="1" applyBorder="1" applyAlignment="1">
      <alignment horizontal="center"/>
    </xf>
    <xf numFmtId="167" fontId="8" fillId="25" borderId="46" xfId="2" applyNumberFormat="1" applyFont="1" applyFill="1" applyBorder="1" applyAlignment="1">
      <alignment horizontal="center"/>
    </xf>
    <xf numFmtId="167" fontId="8" fillId="25" borderId="12" xfId="2" applyNumberFormat="1" applyFont="1" applyFill="1" applyBorder="1" applyAlignment="1">
      <alignment horizontal="right"/>
    </xf>
    <xf numFmtId="164" fontId="8" fillId="25" borderId="67" xfId="0" applyNumberFormat="1" applyFont="1" applyFill="1" applyBorder="1" applyAlignment="1">
      <alignment horizontal="right"/>
    </xf>
    <xf numFmtId="9" fontId="8" fillId="25" borderId="26" xfId="0" applyNumberFormat="1" applyFont="1" applyFill="1" applyBorder="1"/>
    <xf numFmtId="9" fontId="8" fillId="25" borderId="26" xfId="0" applyNumberFormat="1" applyFont="1" applyFill="1" applyBorder="1" applyAlignment="1">
      <alignment horizontal="center"/>
    </xf>
    <xf numFmtId="173" fontId="8" fillId="25" borderId="5" xfId="0" applyFont="1" applyFill="1" applyBorder="1"/>
    <xf numFmtId="49" fontId="8" fillId="0" borderId="3" xfId="0" applyNumberFormat="1" applyFont="1" applyFill="1" applyBorder="1" applyAlignment="1">
      <alignment horizontal="left"/>
    </xf>
    <xf numFmtId="173" fontId="8" fillId="0" borderId="6" xfId="0" applyFont="1" applyFill="1" applyBorder="1"/>
    <xf numFmtId="164" fontId="8" fillId="25" borderId="75" xfId="0" applyNumberFormat="1" applyFont="1" applyFill="1" applyBorder="1"/>
    <xf numFmtId="166" fontId="8" fillId="25" borderId="0" xfId="0" applyNumberFormat="1" applyFont="1" applyFill="1" applyBorder="1"/>
    <xf numFmtId="166" fontId="8" fillId="25" borderId="0" xfId="0" applyNumberFormat="1" applyFont="1" applyFill="1"/>
    <xf numFmtId="10" fontId="8" fillId="25" borderId="76" xfId="0" applyNumberFormat="1" applyFont="1" applyFill="1" applyBorder="1" applyAlignment="1">
      <alignment horizontal="center"/>
    </xf>
    <xf numFmtId="164" fontId="8" fillId="25" borderId="76" xfId="0" applyNumberFormat="1" applyFont="1" applyFill="1" applyBorder="1"/>
    <xf numFmtId="167" fontId="32" fillId="0" borderId="12" xfId="2" applyNumberFormat="1" applyFont="1" applyFill="1" applyBorder="1"/>
    <xf numFmtId="167" fontId="32" fillId="0" borderId="67" xfId="2" applyNumberFormat="1" applyFont="1" applyFill="1" applyBorder="1"/>
    <xf numFmtId="173" fontId="7" fillId="0" borderId="46" xfId="0" applyFont="1" applyFill="1" applyBorder="1" applyAlignment="1">
      <alignment horizontal="center"/>
    </xf>
    <xf numFmtId="173" fontId="11" fillId="0" borderId="46" xfId="0" applyFont="1" applyFill="1" applyBorder="1" applyAlignment="1">
      <alignment horizontal="center"/>
    </xf>
    <xf numFmtId="16" fontId="11" fillId="0" borderId="26" xfId="0" applyNumberFormat="1" applyFont="1" applyFill="1" applyBorder="1" applyAlignment="1">
      <alignment horizontal="center"/>
    </xf>
    <xf numFmtId="167" fontId="23" fillId="30" borderId="12" xfId="2" applyNumberFormat="1" applyFont="1" applyFill="1" applyBorder="1" applyAlignment="1"/>
    <xf numFmtId="164" fontId="23" fillId="30" borderId="12" xfId="0" applyNumberFormat="1" applyFont="1" applyFill="1" applyBorder="1" applyAlignment="1">
      <alignment horizontal="center"/>
    </xf>
    <xf numFmtId="173" fontId="23" fillId="30" borderId="70" xfId="0" applyFont="1" applyFill="1" applyBorder="1" applyAlignment="1">
      <alignment horizontal="center"/>
    </xf>
    <xf numFmtId="49" fontId="8" fillId="30" borderId="12" xfId="0" applyNumberFormat="1" applyFont="1" applyFill="1" applyBorder="1"/>
    <xf numFmtId="173" fontId="8" fillId="30" borderId="12" xfId="0" applyFont="1" applyFill="1" applyBorder="1"/>
    <xf numFmtId="15" fontId="8" fillId="30" borderId="12" xfId="0" applyNumberFormat="1" applyFont="1" applyFill="1" applyBorder="1"/>
    <xf numFmtId="164" fontId="8" fillId="30" borderId="12" xfId="0" applyNumberFormat="1" applyFont="1" applyFill="1" applyBorder="1" applyAlignment="1">
      <alignment horizontal="right"/>
    </xf>
    <xf numFmtId="164" fontId="8" fillId="30" borderId="12" xfId="0" applyNumberFormat="1" applyFont="1" applyFill="1" applyBorder="1" applyAlignment="1">
      <alignment horizontal="center" vertical="center"/>
    </xf>
    <xf numFmtId="173" fontId="8" fillId="30" borderId="12" xfId="0" applyFont="1" applyFill="1" applyBorder="1" applyAlignment="1">
      <alignment horizontal="center" vertical="center"/>
    </xf>
    <xf numFmtId="167" fontId="8" fillId="30" borderId="12" xfId="2" applyNumberFormat="1" applyFont="1" applyFill="1" applyBorder="1"/>
    <xf numFmtId="173" fontId="8" fillId="30" borderId="0" xfId="0" applyFont="1" applyFill="1"/>
    <xf numFmtId="49" fontId="8" fillId="30" borderId="0" xfId="0" applyNumberFormat="1" applyFont="1" applyFill="1"/>
    <xf numFmtId="49" fontId="8" fillId="30" borderId="5" xfId="0" applyNumberFormat="1" applyFont="1" applyFill="1" applyBorder="1" applyAlignment="1">
      <alignment horizontal="left"/>
    </xf>
    <xf numFmtId="164" fontId="8" fillId="30" borderId="12" xfId="0" applyNumberFormat="1" applyFont="1" applyFill="1" applyBorder="1"/>
    <xf numFmtId="164" fontId="8" fillId="30" borderId="12" xfId="0" applyNumberFormat="1" applyFont="1" applyFill="1" applyBorder="1" applyAlignment="1">
      <alignment horizontal="center"/>
    </xf>
    <xf numFmtId="49" fontId="8" fillId="30" borderId="12" xfId="0" applyNumberFormat="1" applyFont="1" applyFill="1" applyBorder="1" applyAlignment="1">
      <alignment horizontal="center"/>
    </xf>
    <xf numFmtId="10" fontId="8" fillId="30" borderId="12" xfId="0" applyNumberFormat="1" applyFont="1" applyFill="1" applyBorder="1"/>
    <xf numFmtId="10" fontId="8" fillId="30" borderId="70" xfId="0" applyNumberFormat="1" applyFont="1" applyFill="1" applyBorder="1"/>
    <xf numFmtId="173" fontId="8" fillId="30" borderId="0" xfId="0" applyFont="1" applyFill="1" applyBorder="1"/>
    <xf numFmtId="49" fontId="7" fillId="30" borderId="69" xfId="0" applyNumberFormat="1" applyFont="1" applyFill="1" applyBorder="1" applyAlignment="1">
      <alignment horizontal="right"/>
    </xf>
    <xf numFmtId="164" fontId="7" fillId="30" borderId="27" xfId="0" applyNumberFormat="1" applyFont="1" applyFill="1" applyBorder="1"/>
    <xf numFmtId="167" fontId="8" fillId="30" borderId="0" xfId="0" applyNumberFormat="1" applyFont="1" applyFill="1"/>
    <xf numFmtId="164" fontId="8" fillId="0" borderId="0" xfId="2" applyNumberFormat="1" applyFont="1" applyFill="1" applyBorder="1" applyAlignment="1">
      <alignment horizontal="center"/>
    </xf>
    <xf numFmtId="167" fontId="8" fillId="0" borderId="0" xfId="2" applyNumberFormat="1" applyFont="1" applyFill="1" applyBorder="1" applyAlignment="1">
      <alignment horizontal="right"/>
    </xf>
    <xf numFmtId="167" fontId="8" fillId="0" borderId="0" xfId="2" applyNumberFormat="1" applyFont="1" applyFill="1" applyBorder="1"/>
    <xf numFmtId="164" fontId="8" fillId="0" borderId="26" xfId="2" applyNumberFormat="1" applyFont="1" applyFill="1" applyBorder="1" applyAlignment="1">
      <alignment horizontal="center"/>
    </xf>
    <xf numFmtId="167" fontId="8" fillId="0" borderId="12" xfId="2" applyNumberFormat="1" applyFont="1" applyFill="1" applyBorder="1" applyAlignment="1">
      <alignment horizontal="right"/>
    </xf>
    <xf numFmtId="164" fontId="8" fillId="0" borderId="67" xfId="0" applyNumberFormat="1" applyFont="1" applyFill="1" applyBorder="1" applyAlignment="1">
      <alignment horizontal="right"/>
    </xf>
    <xf numFmtId="9" fontId="8" fillId="0" borderId="26" xfId="0" applyNumberFormat="1" applyFont="1" applyFill="1" applyBorder="1"/>
    <xf numFmtId="9" fontId="8" fillId="0" borderId="26" xfId="0" applyNumberFormat="1" applyFont="1" applyFill="1" applyBorder="1" applyAlignment="1">
      <alignment horizontal="center"/>
    </xf>
    <xf numFmtId="49" fontId="8" fillId="30" borderId="101" xfId="0" applyNumberFormat="1" applyFont="1" applyFill="1" applyBorder="1" applyAlignment="1">
      <alignment horizontal="left"/>
    </xf>
    <xf numFmtId="173" fontId="8" fillId="30" borderId="98" xfId="0" applyFont="1" applyFill="1" applyBorder="1"/>
    <xf numFmtId="173" fontId="8" fillId="30" borderId="103" xfId="0" applyFont="1" applyFill="1" applyBorder="1"/>
    <xf numFmtId="164" fontId="8" fillId="30" borderId="26" xfId="2" applyNumberFormat="1" applyFont="1" applyFill="1" applyBorder="1" applyAlignment="1">
      <alignment horizontal="center"/>
    </xf>
    <xf numFmtId="167" fontId="8" fillId="30" borderId="46" xfId="2" applyNumberFormat="1" applyFont="1" applyFill="1" applyBorder="1" applyAlignment="1">
      <alignment horizontal="center"/>
    </xf>
    <xf numFmtId="167" fontId="8" fillId="30" borderId="12" xfId="2" applyNumberFormat="1" applyFont="1" applyFill="1" applyBorder="1" applyAlignment="1">
      <alignment horizontal="right"/>
    </xf>
    <xf numFmtId="164" fontId="8" fillId="30" borderId="67" xfId="0" applyNumberFormat="1" applyFont="1" applyFill="1" applyBorder="1" applyAlignment="1">
      <alignment horizontal="right"/>
    </xf>
    <xf numFmtId="9" fontId="8" fillId="30" borderId="26" xfId="0" applyNumberFormat="1" applyFont="1" applyFill="1" applyBorder="1"/>
    <xf numFmtId="9" fontId="8" fillId="30" borderId="26" xfId="0" applyNumberFormat="1" applyFont="1" applyFill="1" applyBorder="1" applyAlignment="1">
      <alignment horizontal="center"/>
    </xf>
    <xf numFmtId="167" fontId="7" fillId="0" borderId="1" xfId="2" applyNumberFormat="1" applyFont="1" applyFill="1" applyBorder="1"/>
    <xf numFmtId="167" fontId="8" fillId="25" borderId="1" xfId="2" applyNumberFormat="1" applyFont="1" applyFill="1" applyBorder="1"/>
    <xf numFmtId="167" fontId="8" fillId="0" borderId="1" xfId="2" applyNumberFormat="1" applyFont="1" applyFill="1" applyBorder="1"/>
    <xf numFmtId="167" fontId="8" fillId="30" borderId="1" xfId="2" applyNumberFormat="1" applyFont="1" applyFill="1" applyBorder="1"/>
    <xf numFmtId="173" fontId="8" fillId="30" borderId="26" xfId="0" applyFont="1" applyFill="1" applyBorder="1" applyAlignment="1">
      <alignment horizontal="center"/>
    </xf>
    <xf numFmtId="173" fontId="8" fillId="30" borderId="102" xfId="0" applyFont="1" applyFill="1" applyBorder="1"/>
    <xf numFmtId="164" fontId="8" fillId="30" borderId="5" xfId="0" applyNumberFormat="1" applyFont="1" applyFill="1" applyBorder="1"/>
    <xf numFmtId="164" fontId="8" fillId="30" borderId="46" xfId="0" applyNumberFormat="1" applyFont="1" applyFill="1" applyBorder="1"/>
    <xf numFmtId="173" fontId="8" fillId="30" borderId="5" xfId="0" applyFont="1" applyFill="1" applyBorder="1"/>
    <xf numFmtId="173" fontId="8" fillId="30" borderId="67" xfId="0" applyFont="1" applyFill="1" applyBorder="1"/>
    <xf numFmtId="164" fontId="8" fillId="30" borderId="26" xfId="0" applyNumberFormat="1" applyFont="1" applyFill="1" applyBorder="1" applyAlignment="1">
      <alignment horizontal="center"/>
    </xf>
    <xf numFmtId="173" fontId="8" fillId="30" borderId="26" xfId="0" applyFont="1" applyFill="1" applyBorder="1" applyAlignment="1">
      <alignment horizontal="center" vertical="center"/>
    </xf>
    <xf numFmtId="173" fontId="8" fillId="30" borderId="46" xfId="0" applyFont="1" applyFill="1" applyBorder="1" applyAlignment="1">
      <alignment horizontal="center"/>
    </xf>
    <xf numFmtId="173" fontId="8" fillId="30" borderId="70" xfId="0" applyFont="1" applyFill="1" applyBorder="1"/>
    <xf numFmtId="173" fontId="8" fillId="30" borderId="5" xfId="0" applyFont="1" applyFill="1" applyBorder="1" applyAlignment="1">
      <alignment horizontal="center"/>
    </xf>
    <xf numFmtId="173" fontId="8" fillId="30" borderId="12" xfId="0" applyFont="1" applyFill="1" applyBorder="1" applyAlignment="1">
      <alignment horizontal="center"/>
    </xf>
    <xf numFmtId="173" fontId="8" fillId="30" borderId="70" xfId="0" applyFont="1" applyFill="1" applyBorder="1" applyAlignment="1">
      <alignment horizontal="center"/>
    </xf>
    <xf numFmtId="173" fontId="8" fillId="30" borderId="0" xfId="0" applyFont="1" applyFill="1" applyBorder="1" applyAlignment="1">
      <alignment horizontal="center"/>
    </xf>
    <xf numFmtId="49" fontId="8" fillId="30" borderId="26" xfId="0" applyNumberFormat="1" applyFont="1" applyFill="1" applyBorder="1" applyAlignment="1">
      <alignment horizontal="center"/>
    </xf>
    <xf numFmtId="173" fontId="8" fillId="30" borderId="26" xfId="0" applyFont="1" applyFill="1" applyBorder="1" applyAlignment="1">
      <alignment horizontal="center" wrapText="1"/>
    </xf>
    <xf numFmtId="173" fontId="8" fillId="30" borderId="26" xfId="0" applyFont="1" applyFill="1" applyBorder="1" applyAlignment="1">
      <alignment horizontal="left" vertical="center" wrapText="1"/>
    </xf>
    <xf numFmtId="173" fontId="8" fillId="30" borderId="26" xfId="0" applyFont="1" applyFill="1" applyBorder="1"/>
    <xf numFmtId="173" fontId="8" fillId="30" borderId="0" xfId="0" applyFont="1" applyFill="1" applyAlignment="1">
      <alignment horizontal="center"/>
    </xf>
    <xf numFmtId="15" fontId="8" fillId="30" borderId="2" xfId="0" applyNumberFormat="1" applyFont="1" applyFill="1" applyBorder="1" applyAlignment="1">
      <alignment horizontal="center"/>
    </xf>
    <xf numFmtId="15" fontId="8" fillId="30" borderId="0" xfId="0" applyNumberFormat="1" applyFont="1" applyFill="1" applyAlignment="1">
      <alignment horizontal="center"/>
    </xf>
    <xf numFmtId="173" fontId="8" fillId="30" borderId="0" xfId="0" applyFont="1" applyFill="1" applyAlignment="1">
      <alignment horizontal="left"/>
    </xf>
    <xf numFmtId="16" fontId="8" fillId="30" borderId="26" xfId="0" applyNumberFormat="1" applyFont="1" applyFill="1" applyBorder="1" applyAlignment="1">
      <alignment horizontal="center"/>
    </xf>
    <xf numFmtId="173" fontId="8" fillId="25" borderId="119" xfId="0" applyFont="1" applyFill="1" applyBorder="1"/>
    <xf numFmtId="173" fontId="11" fillId="25" borderId="0" xfId="0" applyFont="1" applyFill="1" applyAlignment="1">
      <alignment horizontal="center"/>
    </xf>
    <xf numFmtId="167" fontId="8" fillId="25" borderId="5" xfId="2" applyNumberFormat="1" applyFont="1" applyFill="1" applyBorder="1" applyAlignment="1">
      <alignment horizontal="center"/>
    </xf>
    <xf numFmtId="164" fontId="8" fillId="25" borderId="70" xfId="0" applyNumberFormat="1" applyFont="1" applyFill="1" applyBorder="1" applyAlignment="1">
      <alignment horizontal="right"/>
    </xf>
    <xf numFmtId="167" fontId="8" fillId="25" borderId="26" xfId="2" applyNumberFormat="1" applyFont="1" applyFill="1" applyBorder="1"/>
    <xf numFmtId="167" fontId="11" fillId="0" borderId="26" xfId="2" applyNumberFormat="1" applyFont="1" applyFill="1" applyBorder="1"/>
    <xf numFmtId="164" fontId="8" fillId="25" borderId="23" xfId="0" applyNumberFormat="1" applyFont="1" applyFill="1" applyBorder="1"/>
    <xf numFmtId="164" fontId="8" fillId="25" borderId="17" xfId="0" applyNumberFormat="1" applyFont="1" applyFill="1" applyBorder="1"/>
    <xf numFmtId="49" fontId="8" fillId="25" borderId="20" xfId="0" applyNumberFormat="1" applyFont="1" applyFill="1" applyBorder="1" applyAlignment="1">
      <alignment horizontal="left"/>
    </xf>
    <xf numFmtId="173" fontId="8" fillId="25" borderId="95" xfId="0" applyFont="1" applyFill="1" applyBorder="1"/>
    <xf numFmtId="173" fontId="8" fillId="25" borderId="21" xfId="0" applyFont="1" applyFill="1" applyBorder="1"/>
    <xf numFmtId="164" fontId="11" fillId="0" borderId="108" xfId="0" applyNumberFormat="1" applyFont="1" applyFill="1" applyBorder="1"/>
    <xf numFmtId="164" fontId="11" fillId="0" borderId="118" xfId="0" applyNumberFormat="1" applyFont="1" applyFill="1" applyBorder="1"/>
    <xf numFmtId="2" fontId="8" fillId="25" borderId="0" xfId="0" applyNumberFormat="1" applyFont="1" applyFill="1"/>
    <xf numFmtId="2" fontId="8" fillId="0" borderId="0" xfId="0" applyNumberFormat="1" applyFont="1"/>
    <xf numFmtId="49" fontId="8" fillId="25" borderId="0" xfId="0" applyNumberFormat="1" applyFont="1" applyFill="1" applyBorder="1" applyAlignment="1">
      <alignment horizontal="center"/>
    </xf>
    <xf numFmtId="167" fontId="11" fillId="0" borderId="5" xfId="2" applyNumberFormat="1" applyFont="1" applyFill="1" applyBorder="1"/>
    <xf numFmtId="173" fontId="11" fillId="0" borderId="26" xfId="0" applyFont="1" applyFill="1" applyBorder="1" applyAlignment="1">
      <alignment horizontal="center" vertical="center"/>
    </xf>
    <xf numFmtId="173" fontId="11" fillId="25" borderId="3" xfId="0" applyFont="1" applyFill="1" applyBorder="1"/>
    <xf numFmtId="164" fontId="11" fillId="25" borderId="6" xfId="0" applyNumberFormat="1" applyFont="1" applyFill="1" applyBorder="1" applyAlignment="1">
      <alignment horizontal="right"/>
    </xf>
    <xf numFmtId="164" fontId="11" fillId="25" borderId="6" xfId="0" applyNumberFormat="1" applyFont="1" applyFill="1" applyBorder="1" applyAlignment="1">
      <alignment horizontal="center"/>
    </xf>
    <xf numFmtId="164" fontId="11" fillId="25" borderId="6" xfId="0" applyNumberFormat="1" applyFont="1" applyFill="1" applyBorder="1"/>
    <xf numFmtId="10" fontId="11" fillId="25" borderId="6" xfId="0" applyNumberFormat="1" applyFont="1" applyFill="1" applyBorder="1"/>
    <xf numFmtId="10" fontId="11" fillId="25" borderId="35" xfId="0" applyNumberFormat="1" applyFont="1" applyFill="1" applyBorder="1"/>
    <xf numFmtId="49" fontId="8" fillId="25" borderId="3" xfId="0" applyNumberFormat="1" applyFont="1" applyFill="1" applyBorder="1" applyAlignment="1">
      <alignment horizontal="left"/>
    </xf>
    <xf numFmtId="49" fontId="8" fillId="30" borderId="12" xfId="0" applyNumberFormat="1" applyFont="1" applyFill="1" applyBorder="1" applyAlignment="1">
      <alignment horizontal="left"/>
    </xf>
    <xf numFmtId="49" fontId="8" fillId="30" borderId="12" xfId="0" applyNumberFormat="1" applyFont="1" applyFill="1" applyBorder="1" applyAlignment="1">
      <alignment horizontal="center" vertical="center"/>
    </xf>
    <xf numFmtId="10" fontId="8" fillId="30" borderId="12" xfId="0" applyNumberFormat="1" applyFont="1" applyFill="1" applyBorder="1" applyAlignment="1">
      <alignment horizontal="center" vertical="center"/>
    </xf>
    <xf numFmtId="49" fontId="11" fillId="30" borderId="12" xfId="0" applyNumberFormat="1" applyFont="1" applyFill="1" applyBorder="1"/>
    <xf numFmtId="49" fontId="11" fillId="30" borderId="12" xfId="0" applyNumberFormat="1" applyFont="1" applyFill="1" applyBorder="1" applyAlignment="1">
      <alignment horizontal="left"/>
    </xf>
    <xf numFmtId="173" fontId="11" fillId="30" borderId="12" xfId="0" applyFont="1" applyFill="1" applyBorder="1"/>
    <xf numFmtId="15" fontId="11" fillId="30" borderId="12" xfId="0" applyNumberFormat="1" applyFont="1" applyFill="1" applyBorder="1"/>
    <xf numFmtId="164" fontId="11" fillId="30" borderId="12" xfId="0" applyNumberFormat="1" applyFont="1" applyFill="1" applyBorder="1" applyAlignment="1">
      <alignment horizontal="right"/>
    </xf>
    <xf numFmtId="49" fontId="11" fillId="30" borderId="12" xfId="0" applyNumberFormat="1" applyFont="1" applyFill="1" applyBorder="1" applyAlignment="1">
      <alignment horizontal="center" vertical="center"/>
    </xf>
    <xf numFmtId="10" fontId="11" fillId="30" borderId="12" xfId="0" applyNumberFormat="1" applyFont="1" applyFill="1" applyBorder="1" applyAlignment="1">
      <alignment horizontal="center" vertical="center"/>
    </xf>
    <xf numFmtId="164" fontId="11" fillId="30" borderId="12" xfId="0" applyNumberFormat="1" applyFont="1" applyFill="1" applyBorder="1"/>
    <xf numFmtId="164" fontId="11" fillId="30" borderId="12" xfId="0" applyNumberFormat="1" applyFont="1" applyFill="1" applyBorder="1" applyAlignment="1">
      <alignment horizontal="center" vertical="center"/>
    </xf>
    <xf numFmtId="173" fontId="11" fillId="30" borderId="12" xfId="0" applyFont="1" applyFill="1" applyBorder="1" applyAlignment="1">
      <alignment horizontal="center" vertical="center"/>
    </xf>
    <xf numFmtId="49" fontId="8" fillId="25" borderId="6" xfId="0" applyNumberFormat="1" applyFont="1" applyFill="1" applyBorder="1" applyAlignment="1">
      <alignment horizontal="center"/>
    </xf>
    <xf numFmtId="49" fontId="11" fillId="30" borderId="0" xfId="0" applyNumberFormat="1" applyFont="1" applyFill="1"/>
    <xf numFmtId="49" fontId="11" fillId="30" borderId="5" xfId="0" applyNumberFormat="1" applyFont="1" applyFill="1" applyBorder="1" applyAlignment="1">
      <alignment horizontal="left"/>
    </xf>
    <xf numFmtId="164" fontId="11" fillId="30" borderId="12" xfId="0" applyNumberFormat="1" applyFont="1" applyFill="1" applyBorder="1" applyAlignment="1">
      <alignment horizontal="center"/>
    </xf>
    <xf numFmtId="49" fontId="11" fillId="30" borderId="12" xfId="0" applyNumberFormat="1" applyFont="1" applyFill="1" applyBorder="1" applyAlignment="1">
      <alignment horizontal="center"/>
    </xf>
    <xf numFmtId="10" fontId="11" fillId="30" borderId="12" xfId="0" applyNumberFormat="1" applyFont="1" applyFill="1" applyBorder="1"/>
    <xf numFmtId="10" fontId="11" fillId="30" borderId="70" xfId="0" applyNumberFormat="1" applyFont="1" applyFill="1" applyBorder="1"/>
    <xf numFmtId="164" fontId="11" fillId="30" borderId="0" xfId="0" applyNumberFormat="1" applyFont="1" applyFill="1"/>
    <xf numFmtId="173" fontId="11" fillId="30" borderId="0" xfId="0" applyFont="1" applyFill="1"/>
    <xf numFmtId="173" fontId="11" fillId="30" borderId="0" xfId="0" applyFont="1" applyFill="1" applyBorder="1"/>
    <xf numFmtId="49" fontId="11" fillId="30" borderId="101" xfId="0" applyNumberFormat="1" applyFont="1" applyFill="1" applyBorder="1" applyAlignment="1">
      <alignment horizontal="left"/>
    </xf>
    <xf numFmtId="173" fontId="11" fillId="30" borderId="98" xfId="0" applyFont="1" applyFill="1" applyBorder="1"/>
    <xf numFmtId="164" fontId="11" fillId="30" borderId="98" xfId="0" applyNumberFormat="1" applyFont="1" applyFill="1" applyBorder="1"/>
    <xf numFmtId="164" fontId="11" fillId="30" borderId="98" xfId="0" applyNumberFormat="1" applyFont="1" applyFill="1" applyBorder="1" applyAlignment="1">
      <alignment horizontal="center"/>
    </xf>
    <xf numFmtId="10" fontId="11" fillId="30" borderId="98" xfId="0" applyNumberFormat="1" applyFont="1" applyFill="1" applyBorder="1"/>
    <xf numFmtId="164" fontId="11" fillId="30" borderId="102" xfId="0" applyNumberFormat="1" applyFont="1" applyFill="1" applyBorder="1"/>
    <xf numFmtId="10" fontId="11" fillId="30" borderId="103" xfId="0" applyNumberFormat="1" applyFont="1" applyFill="1" applyBorder="1"/>
    <xf numFmtId="164" fontId="8" fillId="30" borderId="67" xfId="0" applyNumberFormat="1" applyFont="1" applyFill="1" applyBorder="1"/>
    <xf numFmtId="49" fontId="8" fillId="30" borderId="4" xfId="0" applyNumberFormat="1" applyFont="1" applyFill="1" applyBorder="1" applyAlignment="1">
      <alignment horizontal="left"/>
    </xf>
    <xf numFmtId="173" fontId="8" fillId="30" borderId="7" xfId="0" applyFont="1" applyFill="1" applyBorder="1"/>
    <xf numFmtId="164" fontId="8" fillId="30" borderId="7" xfId="0" applyNumberFormat="1" applyFont="1" applyFill="1" applyBorder="1"/>
    <xf numFmtId="164" fontId="8" fillId="30" borderId="7" xfId="0" applyNumberFormat="1" applyFont="1" applyFill="1" applyBorder="1" applyAlignment="1">
      <alignment horizontal="center"/>
    </xf>
    <xf numFmtId="49" fontId="8" fillId="30" borderId="7" xfId="0" applyNumberFormat="1" applyFont="1" applyFill="1" applyBorder="1" applyAlignment="1">
      <alignment horizontal="center"/>
    </xf>
    <xf numFmtId="10" fontId="8" fillId="30" borderId="7" xfId="0" applyNumberFormat="1" applyFont="1" applyFill="1" applyBorder="1"/>
    <xf numFmtId="10" fontId="8" fillId="30" borderId="22" xfId="0" applyNumberFormat="1" applyFont="1" applyFill="1" applyBorder="1"/>
    <xf numFmtId="49" fontId="8" fillId="30" borderId="20" xfId="0" applyNumberFormat="1" applyFont="1" applyFill="1" applyBorder="1" applyAlignment="1">
      <alignment horizontal="left"/>
    </xf>
    <xf numFmtId="173" fontId="8" fillId="30" borderId="95" xfId="0" applyFont="1" applyFill="1" applyBorder="1"/>
    <xf numFmtId="173" fontId="8" fillId="30" borderId="21" xfId="0" applyFont="1" applyFill="1" applyBorder="1"/>
    <xf numFmtId="173" fontId="11" fillId="30" borderId="5" xfId="0" applyFont="1" applyFill="1" applyBorder="1"/>
    <xf numFmtId="173" fontId="11" fillId="30" borderId="70" xfId="0" applyFont="1" applyFill="1" applyBorder="1"/>
    <xf numFmtId="173" fontId="11" fillId="30" borderId="0" xfId="0" applyFont="1" applyFill="1" applyAlignment="1">
      <alignment horizontal="center"/>
    </xf>
    <xf numFmtId="173" fontId="11" fillId="30" borderId="103" xfId="0" applyFont="1" applyFill="1" applyBorder="1"/>
    <xf numFmtId="49" fontId="8" fillId="25" borderId="37" xfId="0" applyNumberFormat="1" applyFont="1" applyFill="1" applyBorder="1" applyAlignment="1">
      <alignment horizontal="left"/>
    </xf>
    <xf numFmtId="167" fontId="8" fillId="30" borderId="5" xfId="2" applyNumberFormat="1" applyFont="1" applyFill="1" applyBorder="1" applyAlignment="1">
      <alignment horizontal="center"/>
    </xf>
    <xf numFmtId="164" fontId="8" fillId="30" borderId="70" xfId="0" applyNumberFormat="1" applyFont="1" applyFill="1" applyBorder="1" applyAlignment="1">
      <alignment horizontal="right"/>
    </xf>
    <xf numFmtId="167" fontId="8" fillId="30" borderId="26" xfId="2" applyNumberFormat="1" applyFont="1" applyFill="1" applyBorder="1"/>
    <xf numFmtId="173" fontId="11" fillId="30" borderId="67" xfId="0" applyFont="1" applyFill="1" applyBorder="1"/>
    <xf numFmtId="173" fontId="11" fillId="30" borderId="102" xfId="0" applyFont="1" applyFill="1" applyBorder="1"/>
    <xf numFmtId="173" fontId="8" fillId="25" borderId="0" xfId="0" applyNumberFormat="1" applyFont="1" applyFill="1" applyAlignment="1">
      <alignment horizontal="center"/>
    </xf>
    <xf numFmtId="173" fontId="8" fillId="30" borderId="20" xfId="0" applyFont="1" applyFill="1" applyBorder="1"/>
    <xf numFmtId="173" fontId="8" fillId="30" borderId="0" xfId="0" applyNumberFormat="1" applyFont="1" applyFill="1" applyAlignment="1">
      <alignment horizontal="center"/>
    </xf>
    <xf numFmtId="164" fontId="8" fillId="30" borderId="13" xfId="0" applyNumberFormat="1" applyFont="1" applyFill="1" applyBorder="1"/>
    <xf numFmtId="164" fontId="8" fillId="30" borderId="15" xfId="0" applyNumberFormat="1" applyFont="1" applyFill="1" applyBorder="1"/>
    <xf numFmtId="164" fontId="8" fillId="30" borderId="75" xfId="0" applyNumberFormat="1" applyFont="1" applyFill="1" applyBorder="1"/>
    <xf numFmtId="166" fontId="8" fillId="30" borderId="0" xfId="0" applyNumberFormat="1" applyFont="1" applyFill="1" applyBorder="1"/>
    <xf numFmtId="166" fontId="8" fillId="30" borderId="0" xfId="0" applyNumberFormat="1" applyFont="1" applyFill="1"/>
    <xf numFmtId="10" fontId="8" fillId="30" borderId="76" xfId="0" applyNumberFormat="1" applyFont="1" applyFill="1" applyBorder="1" applyAlignment="1">
      <alignment horizontal="center"/>
    </xf>
    <xf numFmtId="164" fontId="8" fillId="30" borderId="76" xfId="0" applyNumberFormat="1" applyFont="1" applyFill="1" applyBorder="1"/>
    <xf numFmtId="164" fontId="11" fillId="0" borderId="13" xfId="0" applyNumberFormat="1" applyFont="1" applyFill="1" applyBorder="1"/>
    <xf numFmtId="164" fontId="11" fillId="0" borderId="15" xfId="0" applyNumberFormat="1" applyFont="1" applyFill="1" applyBorder="1"/>
    <xf numFmtId="49" fontId="11" fillId="25" borderId="101" xfId="0" applyNumberFormat="1" applyFont="1" applyFill="1" applyBorder="1" applyAlignment="1">
      <alignment horizontal="left"/>
    </xf>
    <xf numFmtId="173" fontId="11" fillId="25" borderId="98" xfId="0" applyFont="1" applyFill="1" applyBorder="1"/>
    <xf numFmtId="173" fontId="11" fillId="25" borderId="103" xfId="0" applyFont="1" applyFill="1" applyBorder="1"/>
    <xf numFmtId="173" fontId="11" fillId="25" borderId="102" xfId="0" applyFont="1" applyFill="1" applyBorder="1"/>
    <xf numFmtId="164" fontId="27" fillId="0" borderId="13" xfId="0" applyNumberFormat="1" applyFont="1" applyFill="1" applyBorder="1"/>
    <xf numFmtId="164" fontId="27" fillId="0" borderId="15" xfId="0" applyNumberFormat="1" applyFont="1" applyFill="1" applyBorder="1"/>
    <xf numFmtId="173" fontId="8" fillId="25" borderId="0" xfId="0" applyFont="1" applyFill="1" applyAlignment="1">
      <alignment horizontal="center" vertical="center"/>
    </xf>
    <xf numFmtId="173" fontId="11" fillId="0" borderId="0" xfId="0" applyFont="1" applyFill="1" applyAlignment="1">
      <alignment horizontal="center" vertical="center"/>
    </xf>
    <xf numFmtId="173" fontId="23" fillId="30" borderId="2" xfId="0" applyFont="1" applyFill="1" applyBorder="1"/>
    <xf numFmtId="173" fontId="23" fillId="30" borderId="0" xfId="0" applyFont="1" applyFill="1" applyBorder="1" applyAlignment="1">
      <alignment horizontal="center"/>
    </xf>
    <xf numFmtId="173" fontId="23" fillId="0" borderId="117" xfId="0" applyFont="1" applyFill="1" applyBorder="1"/>
    <xf numFmtId="173" fontId="15" fillId="0" borderId="108" xfId="0" applyFont="1" applyFill="1" applyBorder="1"/>
    <xf numFmtId="173" fontId="0" fillId="30" borderId="12" xfId="0" applyFill="1" applyBorder="1"/>
    <xf numFmtId="49" fontId="7" fillId="30" borderId="5" xfId="0" applyNumberFormat="1" applyFont="1" applyFill="1" applyBorder="1"/>
    <xf numFmtId="15" fontId="0" fillId="30" borderId="12" xfId="0" applyNumberFormat="1" applyFill="1" applyBorder="1"/>
    <xf numFmtId="173" fontId="7" fillId="30" borderId="12" xfId="0" applyFont="1" applyFill="1" applyBorder="1" applyAlignment="1">
      <alignment horizontal="center"/>
    </xf>
    <xf numFmtId="173" fontId="7" fillId="30" borderId="70" xfId="0" applyFont="1" applyFill="1" applyBorder="1" applyAlignment="1">
      <alignment horizontal="center"/>
    </xf>
    <xf numFmtId="173" fontId="11" fillId="19" borderId="12" xfId="0" applyFont="1" applyFill="1" applyBorder="1" applyAlignment="1">
      <alignment wrapText="1"/>
    </xf>
    <xf numFmtId="173" fontId="11" fillId="19" borderId="12" xfId="0" applyFont="1" applyFill="1" applyBorder="1" applyAlignment="1">
      <alignment horizontal="left" vertical="top" wrapText="1"/>
    </xf>
    <xf numFmtId="164" fontId="8" fillId="32" borderId="105" xfId="0" applyNumberFormat="1" applyFont="1" applyFill="1" applyBorder="1" applyAlignment="1">
      <alignment horizontal="center"/>
    </xf>
    <xf numFmtId="164" fontId="8" fillId="32" borderId="12" xfId="0" applyNumberFormat="1" applyFont="1" applyFill="1" applyBorder="1" applyAlignment="1">
      <alignment horizontal="center"/>
    </xf>
    <xf numFmtId="164" fontId="8" fillId="19" borderId="28" xfId="0" applyNumberFormat="1" applyFont="1" applyFill="1" applyBorder="1" applyAlignment="1">
      <alignment horizontal="center"/>
    </xf>
    <xf numFmtId="164" fontId="0" fillId="30" borderId="28" xfId="0" applyNumberFormat="1" applyFill="1" applyBorder="1"/>
    <xf numFmtId="164" fontId="11" fillId="30" borderId="12" xfId="2" applyNumberFormat="1" applyFont="1" applyFill="1" applyBorder="1"/>
    <xf numFmtId="164" fontId="8" fillId="30" borderId="12" xfId="2" applyNumberFormat="1" applyFont="1" applyFill="1" applyBorder="1"/>
    <xf numFmtId="164" fontId="0" fillId="30" borderId="12" xfId="0" applyNumberFormat="1" applyFill="1" applyBorder="1"/>
    <xf numFmtId="164" fontId="0" fillId="0" borderId="12" xfId="0" applyNumberFormat="1" applyBorder="1"/>
    <xf numFmtId="49" fontId="8" fillId="21" borderId="0" xfId="0" applyNumberFormat="1" applyFont="1" applyFill="1" applyBorder="1" applyAlignment="1">
      <alignment horizontal="right"/>
    </xf>
    <xf numFmtId="164" fontId="8" fillId="21" borderId="0" xfId="0" applyNumberFormat="1" applyFont="1" applyFill="1" applyBorder="1"/>
    <xf numFmtId="173" fontId="7" fillId="0" borderId="2" xfId="0" applyFont="1" applyFill="1" applyBorder="1"/>
    <xf numFmtId="167" fontId="8" fillId="30" borderId="2" xfId="2" applyNumberFormat="1" applyFont="1" applyFill="1" applyBorder="1"/>
    <xf numFmtId="173" fontId="7" fillId="24" borderId="18" xfId="0" applyFont="1" applyFill="1" applyBorder="1" applyAlignment="1">
      <alignment horizontal="center"/>
    </xf>
    <xf numFmtId="173" fontId="7" fillId="19" borderId="18" xfId="0" applyFont="1" applyFill="1" applyBorder="1" applyAlignment="1">
      <alignment horizontal="center"/>
    </xf>
    <xf numFmtId="173" fontId="7" fillId="19" borderId="34" xfId="0" applyFont="1" applyFill="1" applyBorder="1" applyAlignment="1">
      <alignment horizontal="center"/>
    </xf>
    <xf numFmtId="164" fontId="7" fillId="19" borderId="1" xfId="0" applyNumberFormat="1" applyFont="1" applyFill="1" applyBorder="1" applyAlignment="1">
      <alignment horizontal="center"/>
    </xf>
    <xf numFmtId="173" fontId="24" fillId="0" borderId="0" xfId="0" applyFont="1" applyFill="1" applyBorder="1" applyAlignment="1">
      <alignment vertical="center"/>
    </xf>
    <xf numFmtId="173" fontId="24" fillId="0" borderId="0" xfId="0" applyFont="1" applyAlignment="1">
      <alignment vertical="center"/>
    </xf>
    <xf numFmtId="49" fontId="7" fillId="30" borderId="18" xfId="0" applyNumberFormat="1" applyFont="1" applyFill="1" applyBorder="1" applyAlignment="1">
      <alignment horizontal="left"/>
    </xf>
    <xf numFmtId="173" fontId="7" fillId="30" borderId="7" xfId="0" applyFont="1" applyFill="1" applyBorder="1"/>
    <xf numFmtId="173" fontId="7" fillId="30" borderId="22" xfId="0" applyFont="1" applyFill="1" applyBorder="1"/>
    <xf numFmtId="173" fontId="8" fillId="0" borderId="64" xfId="0" applyFont="1" applyFill="1" applyBorder="1" applyAlignment="1">
      <alignment horizontal="center"/>
    </xf>
    <xf numFmtId="172" fontId="24" fillId="0" borderId="0" xfId="1" applyNumberFormat="1" applyFont="1" applyAlignment="1">
      <alignment horizontal="right" vertical="center"/>
    </xf>
    <xf numFmtId="173" fontId="0" fillId="35" borderId="0" xfId="0" applyFill="1" applyBorder="1" applyAlignment="1">
      <alignment horizontal="center"/>
    </xf>
    <xf numFmtId="173" fontId="12" fillId="35" borderId="1" xfId="0" applyFont="1" applyFill="1" applyBorder="1" applyAlignment="1">
      <alignment horizontal="center"/>
    </xf>
    <xf numFmtId="173" fontId="8" fillId="0" borderId="30" xfId="0" applyFont="1" applyFill="1" applyBorder="1" applyAlignment="1">
      <alignment horizontal="center" vertical="center"/>
    </xf>
    <xf numFmtId="173" fontId="0" fillId="35" borderId="18" xfId="0" applyFill="1" applyBorder="1" applyAlignment="1">
      <alignment horizontal="center"/>
    </xf>
    <xf numFmtId="173" fontId="24" fillId="0" borderId="0" xfId="0" applyFont="1" applyAlignment="1">
      <alignment horizontal="left" vertical="center"/>
    </xf>
    <xf numFmtId="172" fontId="24" fillId="0" borderId="0" xfId="1" applyNumberFormat="1" applyFont="1" applyAlignment="1">
      <alignment horizontal="center"/>
    </xf>
    <xf numFmtId="167" fontId="11" fillId="0" borderId="26" xfId="2" applyNumberFormat="1" applyFont="1" applyFill="1" applyBorder="1" applyAlignment="1">
      <alignment horizontal="center"/>
    </xf>
    <xf numFmtId="164" fontId="7" fillId="30" borderId="0" xfId="2" applyNumberFormat="1" applyFont="1" applyFill="1" applyBorder="1" applyAlignment="1">
      <alignment horizontal="center"/>
    </xf>
    <xf numFmtId="167" fontId="7" fillId="30" borderId="120" xfId="2" applyNumberFormat="1" applyFont="1" applyFill="1" applyBorder="1" applyAlignment="1">
      <alignment horizontal="center"/>
    </xf>
    <xf numFmtId="167" fontId="7" fillId="30" borderId="12" xfId="2" applyNumberFormat="1" applyFont="1" applyFill="1" applyBorder="1" applyAlignment="1">
      <alignment horizontal="right"/>
    </xf>
    <xf numFmtId="164" fontId="7" fillId="30" borderId="12" xfId="0" applyNumberFormat="1" applyFont="1" applyFill="1" applyBorder="1" applyAlignment="1">
      <alignment horizontal="right"/>
    </xf>
    <xf numFmtId="164" fontId="7" fillId="30" borderId="70" xfId="0" applyNumberFormat="1" applyFont="1" applyFill="1" applyBorder="1" applyAlignment="1">
      <alignment horizontal="right"/>
    </xf>
    <xf numFmtId="9" fontId="7" fillId="30" borderId="26" xfId="0" applyNumberFormat="1" applyFont="1" applyFill="1" applyBorder="1"/>
    <xf numFmtId="9" fontId="7" fillId="30" borderId="26" xfId="0" applyNumberFormat="1" applyFont="1" applyFill="1" applyBorder="1" applyAlignment="1">
      <alignment horizontal="center"/>
    </xf>
    <xf numFmtId="167" fontId="7" fillId="30" borderId="26" xfId="2" applyNumberFormat="1" applyFont="1" applyFill="1" applyBorder="1"/>
    <xf numFmtId="164" fontId="11" fillId="0" borderId="70" xfId="0" applyNumberFormat="1" applyFont="1" applyFill="1" applyBorder="1"/>
    <xf numFmtId="173" fontId="7" fillId="30" borderId="33" xfId="0" applyFont="1" applyFill="1" applyBorder="1"/>
    <xf numFmtId="164" fontId="7" fillId="30" borderId="2" xfId="0" applyNumberFormat="1" applyFont="1" applyFill="1" applyBorder="1"/>
    <xf numFmtId="164" fontId="7" fillId="30" borderId="12" xfId="0" applyNumberFormat="1" applyFont="1" applyFill="1" applyBorder="1"/>
    <xf numFmtId="164" fontId="7" fillId="30" borderId="0" xfId="0" applyNumberFormat="1" applyFont="1" applyFill="1" applyBorder="1"/>
    <xf numFmtId="164" fontId="7" fillId="30" borderId="5" xfId="0" applyNumberFormat="1" applyFont="1" applyFill="1" applyBorder="1"/>
    <xf numFmtId="164" fontId="7" fillId="30" borderId="46" xfId="0" applyNumberFormat="1" applyFont="1" applyFill="1" applyBorder="1"/>
    <xf numFmtId="164" fontId="7" fillId="30" borderId="1" xfId="0" applyNumberFormat="1" applyFont="1" applyFill="1" applyBorder="1"/>
    <xf numFmtId="164" fontId="7" fillId="30" borderId="33" xfId="0" applyNumberFormat="1" applyFont="1" applyFill="1" applyBorder="1"/>
    <xf numFmtId="164" fontId="7" fillId="30" borderId="34" xfId="0" applyNumberFormat="1" applyFont="1" applyFill="1" applyBorder="1"/>
    <xf numFmtId="164" fontId="7" fillId="30" borderId="75" xfId="0" applyNumberFormat="1" applyFont="1" applyFill="1" applyBorder="1"/>
    <xf numFmtId="166" fontId="7" fillId="30" borderId="0" xfId="0" applyNumberFormat="1" applyFont="1" applyFill="1" applyBorder="1"/>
    <xf numFmtId="166" fontId="7" fillId="30" borderId="0" xfId="0" applyNumberFormat="1" applyFont="1" applyFill="1"/>
    <xf numFmtId="10" fontId="7" fillId="30" borderId="76" xfId="0" applyNumberFormat="1" applyFont="1" applyFill="1" applyBorder="1" applyAlignment="1">
      <alignment horizontal="center"/>
    </xf>
    <xf numFmtId="164" fontId="7" fillId="30" borderId="76" xfId="0" applyNumberFormat="1" applyFont="1" applyFill="1" applyBorder="1"/>
    <xf numFmtId="164" fontId="11" fillId="0" borderId="21" xfId="0" applyNumberFormat="1" applyFont="1" applyFill="1" applyBorder="1"/>
    <xf numFmtId="173" fontId="7" fillId="30" borderId="18" xfId="0" applyFont="1" applyFill="1" applyBorder="1"/>
    <xf numFmtId="173" fontId="7" fillId="30" borderId="116" xfId="0" applyFont="1" applyFill="1" applyBorder="1"/>
    <xf numFmtId="164" fontId="11" fillId="0" borderId="46" xfId="0" applyNumberFormat="1" applyFont="1" applyFill="1" applyBorder="1" applyAlignment="1">
      <alignment horizontal="right"/>
    </xf>
    <xf numFmtId="164" fontId="11" fillId="0" borderId="67" xfId="0" applyNumberFormat="1" applyFont="1" applyFill="1" applyBorder="1" applyAlignment="1">
      <alignment horizontal="center"/>
    </xf>
    <xf numFmtId="167" fontId="35" fillId="30" borderId="12" xfId="2" applyNumberFormat="1" applyFont="1" applyFill="1" applyBorder="1"/>
    <xf numFmtId="173" fontId="0" fillId="30" borderId="70" xfId="0" applyFill="1" applyBorder="1"/>
    <xf numFmtId="3" fontId="7" fillId="25" borderId="26" xfId="0" applyNumberFormat="1" applyFont="1" applyFill="1" applyBorder="1"/>
    <xf numFmtId="3" fontId="7" fillId="25" borderId="0" xfId="0" applyNumberFormat="1" applyFont="1" applyFill="1"/>
    <xf numFmtId="3" fontId="7" fillId="25" borderId="0" xfId="0" applyNumberFormat="1" applyFont="1" applyFill="1" applyBorder="1"/>
    <xf numFmtId="2" fontId="7" fillId="25" borderId="1" xfId="0" applyNumberFormat="1" applyFont="1" applyFill="1" applyBorder="1"/>
    <xf numFmtId="3" fontId="7" fillId="0" borderId="26" xfId="0" applyNumberFormat="1" applyFont="1" applyBorder="1"/>
    <xf numFmtId="3" fontId="7" fillId="0" borderId="0" xfId="0" applyNumberFormat="1" applyFont="1"/>
    <xf numFmtId="3" fontId="7" fillId="0" borderId="0" xfId="0" applyNumberFormat="1" applyFont="1" applyBorder="1"/>
    <xf numFmtId="2" fontId="7" fillId="0" borderId="1" xfId="0" applyNumberFormat="1" applyFont="1" applyBorder="1"/>
    <xf numFmtId="164" fontId="7" fillId="30" borderId="26" xfId="0" applyNumberFormat="1" applyFont="1" applyFill="1" applyBorder="1" applyAlignment="1">
      <alignment horizontal="center"/>
    </xf>
    <xf numFmtId="167" fontId="7" fillId="30" borderId="0" xfId="2" applyNumberFormat="1" applyFont="1" applyFill="1" applyBorder="1"/>
    <xf numFmtId="164" fontId="11" fillId="0" borderId="12" xfId="0" applyNumberFormat="1" applyFont="1" applyFill="1" applyBorder="1" applyAlignment="1">
      <alignment horizontal="center"/>
    </xf>
    <xf numFmtId="164" fontId="7" fillId="24" borderId="26" xfId="0" applyNumberFormat="1" applyFont="1" applyFill="1" applyBorder="1" applyAlignment="1">
      <alignment horizontal="center"/>
    </xf>
    <xf numFmtId="167" fontId="7" fillId="24" borderId="46" xfId="2" applyNumberFormat="1" applyFont="1" applyFill="1" applyBorder="1"/>
    <xf numFmtId="167" fontId="7" fillId="24" borderId="12" xfId="2" applyNumberFormat="1" applyFont="1" applyFill="1" applyBorder="1"/>
    <xf numFmtId="167" fontId="8" fillId="25" borderId="0" xfId="2" applyNumberFormat="1" applyFont="1" applyFill="1" applyBorder="1"/>
    <xf numFmtId="167" fontId="8" fillId="30" borderId="0" xfId="2" applyNumberFormat="1" applyFont="1" applyFill="1" applyBorder="1"/>
    <xf numFmtId="167" fontId="7" fillId="0" borderId="2" xfId="2" applyNumberFormat="1" applyFont="1" applyFill="1" applyBorder="1"/>
    <xf numFmtId="167" fontId="8" fillId="25" borderId="2" xfId="2" applyNumberFormat="1" applyFont="1" applyFill="1" applyBorder="1"/>
    <xf numFmtId="167" fontId="7" fillId="0" borderId="70" xfId="2" applyNumberFormat="1" applyFont="1" applyFill="1" applyBorder="1"/>
    <xf numFmtId="167" fontId="8" fillId="25" borderId="70" xfId="2" applyNumberFormat="1" applyFont="1" applyFill="1" applyBorder="1"/>
    <xf numFmtId="167" fontId="8" fillId="30" borderId="70" xfId="2" applyNumberFormat="1" applyFont="1" applyFill="1" applyBorder="1"/>
    <xf numFmtId="167" fontId="7" fillId="30" borderId="12" xfId="2" applyNumberFormat="1" applyFont="1" applyFill="1" applyBorder="1"/>
    <xf numFmtId="164" fontId="7" fillId="24" borderId="26" xfId="0" applyNumberFormat="1" applyFont="1" applyFill="1" applyBorder="1"/>
    <xf numFmtId="164" fontId="7" fillId="25" borderId="26" xfId="0" applyNumberFormat="1" applyFont="1" applyFill="1" applyBorder="1"/>
    <xf numFmtId="173" fontId="0" fillId="30" borderId="26" xfId="0" applyFill="1" applyBorder="1" applyAlignment="1">
      <alignment horizontal="center"/>
    </xf>
    <xf numFmtId="173" fontId="7" fillId="30" borderId="5" xfId="0" applyFont="1" applyFill="1" applyBorder="1" applyAlignment="1">
      <alignment horizontal="center"/>
    </xf>
    <xf numFmtId="173" fontId="0" fillId="30" borderId="5" xfId="0" applyFill="1" applyBorder="1" applyAlignment="1">
      <alignment horizontal="center"/>
    </xf>
    <xf numFmtId="173" fontId="0" fillId="30" borderId="70" xfId="0" applyFill="1" applyBorder="1" applyAlignment="1">
      <alignment horizontal="center"/>
    </xf>
    <xf numFmtId="49" fontId="0" fillId="30" borderId="26" xfId="0" applyNumberFormat="1" applyFill="1" applyBorder="1" applyAlignment="1">
      <alignment horizontal="center"/>
    </xf>
    <xf numFmtId="173" fontId="0" fillId="30" borderId="26" xfId="0" applyFill="1" applyBorder="1" applyAlignment="1">
      <alignment horizontal="center" wrapText="1"/>
    </xf>
    <xf numFmtId="164" fontId="0" fillId="30" borderId="26" xfId="0" applyNumberFormat="1" applyFill="1" applyBorder="1"/>
    <xf numFmtId="173" fontId="0" fillId="30" borderId="0" xfId="0" applyFill="1" applyAlignment="1">
      <alignment horizontal="center"/>
    </xf>
    <xf numFmtId="173" fontId="0" fillId="30" borderId="2" xfId="0" applyFill="1" applyBorder="1" applyAlignment="1">
      <alignment horizontal="center"/>
    </xf>
    <xf numFmtId="173" fontId="0" fillId="30" borderId="0" xfId="0" applyFill="1" applyAlignment="1">
      <alignment horizontal="left"/>
    </xf>
    <xf numFmtId="173" fontId="7" fillId="30" borderId="70" xfId="0" applyFont="1" applyFill="1" applyBorder="1"/>
    <xf numFmtId="173" fontId="7" fillId="30" borderId="26" xfId="0" applyFont="1" applyFill="1" applyBorder="1" applyAlignment="1">
      <alignment horizontal="center"/>
    </xf>
    <xf numFmtId="173" fontId="7" fillId="30" borderId="26" xfId="0" applyFont="1" applyFill="1" applyBorder="1" applyAlignment="1">
      <alignment horizontal="left" vertical="center" wrapText="1"/>
    </xf>
    <xf numFmtId="173" fontId="7" fillId="30" borderId="26" xfId="0" applyFont="1" applyFill="1" applyBorder="1"/>
    <xf numFmtId="173" fontId="0" fillId="28" borderId="12" xfId="0" applyFill="1" applyBorder="1"/>
    <xf numFmtId="173" fontId="0" fillId="28" borderId="67" xfId="0" applyFill="1" applyBorder="1"/>
    <xf numFmtId="173" fontId="0" fillId="28" borderId="70" xfId="0" applyFill="1" applyBorder="1"/>
    <xf numFmtId="173" fontId="7" fillId="28" borderId="121" xfId="0" applyFont="1" applyFill="1" applyBorder="1"/>
    <xf numFmtId="167" fontId="32" fillId="28" borderId="42" xfId="2" applyNumberFormat="1" applyFont="1" applyFill="1" applyBorder="1"/>
    <xf numFmtId="173" fontId="0" fillId="28" borderId="42" xfId="0" applyFill="1" applyBorder="1"/>
    <xf numFmtId="173" fontId="0" fillId="28" borderId="44" xfId="0" applyFill="1" applyBorder="1"/>
    <xf numFmtId="173" fontId="7" fillId="28" borderId="122" xfId="0" applyFont="1" applyFill="1" applyBorder="1"/>
    <xf numFmtId="167" fontId="32" fillId="28" borderId="11" xfId="2" applyNumberFormat="1" applyFont="1" applyFill="1" applyBorder="1"/>
    <xf numFmtId="173" fontId="0" fillId="28" borderId="11" xfId="0" applyFill="1" applyBorder="1"/>
    <xf numFmtId="173" fontId="0" fillId="28" borderId="45" xfId="0" applyFill="1" applyBorder="1"/>
    <xf numFmtId="173" fontId="0" fillId="28" borderId="0" xfId="0" applyFont="1" applyFill="1" applyBorder="1"/>
    <xf numFmtId="173" fontId="7" fillId="0" borderId="0" xfId="3"/>
    <xf numFmtId="173" fontId="36" fillId="0" borderId="0" xfId="3" applyFont="1"/>
    <xf numFmtId="173" fontId="15" fillId="0" borderId="0" xfId="3" applyFont="1"/>
    <xf numFmtId="173" fontId="7" fillId="0" borderId="0" xfId="3" applyFont="1" applyFill="1"/>
    <xf numFmtId="173" fontId="8" fillId="0" borderId="0" xfId="3" applyFont="1"/>
    <xf numFmtId="173" fontId="8" fillId="0" borderId="0" xfId="3" applyFont="1" applyFill="1"/>
    <xf numFmtId="173" fontId="7" fillId="0" borderId="0" xfId="3" applyFill="1"/>
    <xf numFmtId="173" fontId="7" fillId="0" borderId="0" xfId="3" applyFont="1"/>
    <xf numFmtId="164" fontId="7" fillId="0" borderId="0" xfId="3" applyNumberFormat="1"/>
    <xf numFmtId="164" fontId="8" fillId="0" borderId="0" xfId="3" applyNumberFormat="1" applyFont="1"/>
    <xf numFmtId="168" fontId="7" fillId="0" borderId="0" xfId="3" applyNumberFormat="1"/>
    <xf numFmtId="173" fontId="33" fillId="0" borderId="0" xfId="3" applyFont="1"/>
    <xf numFmtId="1" fontId="8" fillId="0" borderId="0" xfId="3" applyNumberFormat="1" applyFont="1" applyFill="1"/>
    <xf numFmtId="1" fontId="7" fillId="0" borderId="0" xfId="3" applyNumberFormat="1" applyFill="1"/>
    <xf numFmtId="173" fontId="7" fillId="0" borderId="0" xfId="0" applyFont="1" applyFill="1" applyAlignment="1">
      <alignment horizontal="right"/>
    </xf>
    <xf numFmtId="1" fontId="7" fillId="0" borderId="0" xfId="3" applyNumberFormat="1"/>
    <xf numFmtId="173" fontId="8" fillId="0" borderId="0" xfId="0" applyFont="1" applyFill="1" applyAlignment="1">
      <alignment horizontal="right"/>
    </xf>
    <xf numFmtId="1" fontId="8" fillId="0" borderId="0" xfId="3" applyNumberFormat="1" applyFont="1"/>
    <xf numFmtId="173" fontId="37" fillId="0" borderId="0" xfId="0" applyFont="1"/>
    <xf numFmtId="173" fontId="0" fillId="0" borderId="0" xfId="0" applyAlignment="1">
      <alignment vertical="center"/>
    </xf>
    <xf numFmtId="1" fontId="7" fillId="0" borderId="0" xfId="0" applyNumberFormat="1" applyFont="1" applyAlignment="1">
      <alignment horizontal="center"/>
    </xf>
    <xf numFmtId="1" fontId="7" fillId="0" borderId="0" xfId="0" applyNumberFormat="1" applyFont="1"/>
    <xf numFmtId="173" fontId="42" fillId="36" borderId="0" xfId="5" applyFont="1" applyFill="1" applyAlignment="1">
      <alignment horizontal="left" vertical="center"/>
    </xf>
    <xf numFmtId="173" fontId="41" fillId="36" borderId="0" xfId="5" applyFill="1"/>
    <xf numFmtId="173" fontId="41" fillId="0" borderId="0" xfId="5"/>
    <xf numFmtId="173" fontId="42" fillId="36" borderId="0" xfId="5" applyFont="1" applyFill="1" applyBorder="1" applyAlignment="1">
      <alignment horizontal="left" vertical="center"/>
    </xf>
    <xf numFmtId="173" fontId="43" fillId="37" borderId="60" xfId="5" applyFont="1" applyFill="1" applyBorder="1" applyAlignment="1">
      <alignment horizontal="center" vertical="center" textRotation="90" wrapText="1"/>
    </xf>
    <xf numFmtId="173" fontId="44" fillId="0" borderId="141" xfId="5" applyFont="1" applyFill="1" applyBorder="1" applyAlignment="1">
      <alignment horizontal="left" vertical="center" wrapText="1"/>
    </xf>
    <xf numFmtId="173" fontId="46" fillId="19" borderId="142" xfId="5" applyFont="1" applyFill="1" applyBorder="1" applyAlignment="1">
      <alignment textRotation="90" wrapText="1"/>
    </xf>
    <xf numFmtId="173" fontId="47" fillId="38" borderId="142" xfId="5" applyFont="1" applyFill="1" applyBorder="1" applyAlignment="1">
      <alignment horizontal="center" textRotation="90" wrapText="1"/>
    </xf>
    <xf numFmtId="173" fontId="47" fillId="38" borderId="143" xfId="5" applyFont="1" applyFill="1" applyBorder="1" applyAlignment="1">
      <alignment horizontal="center" textRotation="90" wrapText="1"/>
    </xf>
    <xf numFmtId="173" fontId="48" fillId="19" borderId="141" xfId="5" applyFont="1" applyFill="1" applyBorder="1" applyAlignment="1">
      <alignment horizontal="center" textRotation="90" wrapText="1"/>
    </xf>
    <xf numFmtId="173" fontId="48" fillId="19" borderId="142" xfId="5" applyFont="1" applyFill="1" applyBorder="1" applyAlignment="1">
      <alignment horizontal="center" textRotation="90" wrapText="1"/>
    </xf>
    <xf numFmtId="173" fontId="48" fillId="19" borderId="142" xfId="5" applyNumberFormat="1" applyFont="1" applyFill="1" applyBorder="1" applyAlignment="1">
      <alignment horizontal="center" textRotation="90" wrapText="1"/>
    </xf>
    <xf numFmtId="173" fontId="48" fillId="39" borderId="142" xfId="5" applyFont="1" applyFill="1" applyBorder="1" applyAlignment="1">
      <alignment horizontal="center" textRotation="90" wrapText="1"/>
    </xf>
    <xf numFmtId="173" fontId="49" fillId="39" borderId="142" xfId="5" applyFont="1" applyFill="1" applyBorder="1" applyAlignment="1">
      <alignment horizontal="center" textRotation="90" wrapText="1"/>
    </xf>
    <xf numFmtId="173" fontId="48" fillId="39" borderId="65" xfId="5" applyFont="1" applyFill="1" applyBorder="1" applyAlignment="1">
      <alignment horizontal="center" textRotation="90" wrapText="1"/>
    </xf>
    <xf numFmtId="173" fontId="48" fillId="39" borderId="60" xfId="5" applyFont="1" applyFill="1" applyBorder="1" applyAlignment="1">
      <alignment horizontal="center" textRotation="90" wrapText="1"/>
    </xf>
    <xf numFmtId="173" fontId="48" fillId="39" borderId="144" xfId="5" applyFont="1" applyFill="1" applyBorder="1" applyAlignment="1">
      <alignment horizontal="center" textRotation="90" wrapText="1"/>
    </xf>
    <xf numFmtId="173" fontId="48" fillId="19" borderId="60" xfId="5" applyFont="1" applyFill="1" applyBorder="1" applyAlignment="1">
      <alignment horizontal="center" textRotation="90" wrapText="1"/>
    </xf>
    <xf numFmtId="173" fontId="48" fillId="19" borderId="59" xfId="5" applyFont="1" applyFill="1" applyBorder="1" applyAlignment="1">
      <alignment horizontal="center" textRotation="90" wrapText="1"/>
    </xf>
    <xf numFmtId="173" fontId="48" fillId="39" borderId="145" xfId="5" applyFont="1" applyFill="1" applyBorder="1" applyAlignment="1">
      <alignment horizontal="center" textRotation="90" wrapText="1"/>
    </xf>
    <xf numFmtId="173" fontId="50" fillId="0" borderId="146" xfId="5" applyFont="1" applyFill="1" applyBorder="1"/>
    <xf numFmtId="49" fontId="50" fillId="0" borderId="146" xfId="5" applyNumberFormat="1" applyFont="1" applyFill="1" applyBorder="1"/>
    <xf numFmtId="169" fontId="51" fillId="0" borderId="147" xfId="5" applyNumberFormat="1" applyFont="1" applyFill="1" applyBorder="1" applyAlignment="1" applyProtection="1">
      <alignment horizontal="left" vertical="center"/>
      <protection locked="0"/>
    </xf>
    <xf numFmtId="164" fontId="51" fillId="0" borderId="148" xfId="5" applyNumberFormat="1" applyFont="1" applyFill="1" applyBorder="1" applyAlignment="1" applyProtection="1">
      <alignment horizontal="right" vertical="center"/>
      <protection locked="0"/>
    </xf>
    <xf numFmtId="173" fontId="51" fillId="0" borderId="147" xfId="5" applyNumberFormat="1" applyFont="1" applyFill="1" applyBorder="1" applyAlignment="1" applyProtection="1">
      <alignment horizontal="center" vertical="center"/>
      <protection locked="0"/>
    </xf>
    <xf numFmtId="164" fontId="51" fillId="24" borderId="148" xfId="5" applyNumberFormat="1" applyFont="1" applyFill="1" applyBorder="1" applyAlignment="1" applyProtection="1">
      <alignment horizontal="right" vertical="center"/>
      <protection locked="0"/>
    </xf>
    <xf numFmtId="164" fontId="51" fillId="0" borderId="146" xfId="5" applyNumberFormat="1" applyFont="1" applyFill="1" applyBorder="1" applyAlignment="1" applyProtection="1">
      <alignment horizontal="right" vertical="center"/>
      <protection locked="0"/>
    </xf>
    <xf numFmtId="173" fontId="51" fillId="0" borderId="146" xfId="5" applyNumberFormat="1" applyFont="1" applyFill="1" applyBorder="1" applyAlignment="1" applyProtection="1">
      <alignment horizontal="center" vertical="center"/>
      <protection locked="0"/>
    </xf>
    <xf numFmtId="173" fontId="51" fillId="0" borderId="147" xfId="5" applyNumberFormat="1" applyFont="1" applyFill="1" applyBorder="1" applyAlignment="1" applyProtection="1">
      <alignment horizontal="center" vertical="center"/>
    </xf>
    <xf numFmtId="164" fontId="52" fillId="24" borderId="148" xfId="5" applyNumberFormat="1" applyFont="1" applyFill="1" applyBorder="1" applyAlignment="1" applyProtection="1">
      <alignment horizontal="right" vertical="center"/>
      <protection locked="0"/>
    </xf>
    <xf numFmtId="164" fontId="50" fillId="0" borderId="0" xfId="5" applyNumberFormat="1" applyFont="1"/>
    <xf numFmtId="173" fontId="53" fillId="24" borderId="146" xfId="5" applyNumberFormat="1" applyFont="1" applyFill="1" applyBorder="1"/>
    <xf numFmtId="173" fontId="54" fillId="0" borderId="149" xfId="5" applyNumberFormat="1" applyFont="1" applyFill="1" applyBorder="1" applyAlignment="1">
      <alignment horizontal="center"/>
    </xf>
    <xf numFmtId="173" fontId="55" fillId="0" borderId="150" xfId="5" applyNumberFormat="1" applyFont="1" applyFill="1" applyBorder="1" applyAlignment="1">
      <alignment horizontal="center"/>
    </xf>
    <xf numFmtId="173" fontId="55" fillId="0" borderId="151" xfId="5" applyNumberFormat="1" applyFont="1" applyFill="1" applyBorder="1" applyAlignment="1">
      <alignment horizontal="center"/>
    </xf>
    <xf numFmtId="173" fontId="56" fillId="0" borderId="152" xfId="5" applyNumberFormat="1" applyFont="1" applyFill="1" applyBorder="1" applyAlignment="1">
      <alignment horizontal="center" vertical="center"/>
    </xf>
    <xf numFmtId="173" fontId="50" fillId="0" borderId="153" xfId="5" applyNumberFormat="1" applyFont="1" applyFill="1" applyBorder="1" applyAlignment="1">
      <alignment horizontal="center" vertical="center"/>
    </xf>
    <xf numFmtId="164" fontId="57" fillId="0" borderId="154" xfId="5" applyNumberFormat="1" applyFont="1" applyFill="1" applyBorder="1" applyAlignment="1">
      <alignment horizontal="center" vertical="center"/>
    </xf>
    <xf numFmtId="173" fontId="50" fillId="0" borderId="149" xfId="5" applyNumberFormat="1" applyFont="1" applyBorder="1"/>
    <xf numFmtId="173" fontId="58" fillId="0" borderId="146" xfId="5" applyFont="1" applyBorder="1"/>
    <xf numFmtId="169" fontId="50" fillId="0" borderId="147" xfId="5" applyNumberFormat="1" applyFont="1" applyFill="1" applyBorder="1" applyAlignment="1">
      <alignment horizontal="center"/>
    </xf>
    <xf numFmtId="164" fontId="50" fillId="0" borderId="148" xfId="5" applyNumberFormat="1" applyFont="1" applyFill="1" applyBorder="1"/>
    <xf numFmtId="173" fontId="50" fillId="0" borderId="147" xfId="5" applyNumberFormat="1" applyFont="1" applyFill="1" applyBorder="1" applyAlignment="1">
      <alignment horizontal="center"/>
    </xf>
    <xf numFmtId="164" fontId="50" fillId="24" borderId="148" xfId="5" applyNumberFormat="1" applyFont="1" applyFill="1" applyBorder="1"/>
    <xf numFmtId="164" fontId="50" fillId="0" borderId="146" xfId="5" applyNumberFormat="1" applyFont="1" applyFill="1" applyBorder="1"/>
    <xf numFmtId="173" fontId="50" fillId="0" borderId="146" xfId="5" applyNumberFormat="1" applyFont="1" applyFill="1" applyBorder="1" applyAlignment="1">
      <alignment horizontal="center"/>
    </xf>
    <xf numFmtId="164" fontId="52" fillId="24" borderId="148" xfId="5" applyNumberFormat="1" applyFont="1" applyFill="1" applyBorder="1"/>
    <xf numFmtId="6" fontId="50" fillId="0" borderId="146" xfId="5" applyNumberFormat="1" applyFont="1" applyFill="1" applyBorder="1"/>
    <xf numFmtId="173" fontId="52" fillId="0" borderId="149" xfId="5" applyNumberFormat="1" applyFont="1" applyFill="1" applyBorder="1" applyAlignment="1">
      <alignment horizontal="center"/>
    </xf>
    <xf numFmtId="173" fontId="59" fillId="0" borderId="155" xfId="5" applyNumberFormat="1" applyFont="1" applyFill="1" applyBorder="1" applyAlignment="1">
      <alignment horizontal="center"/>
    </xf>
    <xf numFmtId="173" fontId="59" fillId="0" borderId="146" xfId="5" applyNumberFormat="1" applyFont="1" applyFill="1" applyBorder="1" applyAlignment="1">
      <alignment horizontal="center"/>
    </xf>
    <xf numFmtId="173" fontId="56" fillId="0" borderId="156" xfId="5" applyNumberFormat="1" applyFont="1" applyFill="1" applyBorder="1" applyAlignment="1">
      <alignment horizontal="center" vertical="center"/>
    </xf>
    <xf numFmtId="173" fontId="50" fillId="0" borderId="153" xfId="5" applyNumberFormat="1" applyFont="1" applyFill="1" applyBorder="1" applyAlignment="1">
      <alignment horizontal="center"/>
    </xf>
    <xf numFmtId="164" fontId="57" fillId="0" borderId="154" xfId="5" applyNumberFormat="1" applyFont="1" applyFill="1" applyBorder="1" applyAlignment="1">
      <alignment horizontal="center"/>
    </xf>
    <xf numFmtId="173" fontId="58" fillId="0" borderId="149" xfId="5" applyNumberFormat="1" applyFont="1" applyFill="1" applyBorder="1"/>
    <xf numFmtId="173" fontId="58" fillId="0" borderId="146" xfId="5" applyFont="1" applyFill="1" applyBorder="1"/>
    <xf numFmtId="164" fontId="50" fillId="0" borderId="157" xfId="5" applyNumberFormat="1" applyFont="1" applyFill="1" applyBorder="1"/>
    <xf numFmtId="173" fontId="55" fillId="0" borderId="155" xfId="5" applyNumberFormat="1" applyFont="1" applyFill="1" applyBorder="1" applyAlignment="1">
      <alignment horizontal="center"/>
    </xf>
    <xf numFmtId="173" fontId="55" fillId="0" borderId="146" xfId="5" applyNumberFormat="1" applyFont="1" applyFill="1" applyBorder="1" applyAlignment="1">
      <alignment horizontal="center"/>
    </xf>
    <xf numFmtId="164" fontId="50" fillId="0" borderId="154" xfId="5" applyNumberFormat="1" applyFont="1" applyFill="1" applyBorder="1" applyAlignment="1">
      <alignment horizontal="center" vertical="center"/>
    </xf>
    <xf numFmtId="173" fontId="41" fillId="0" borderId="146" xfId="5" applyBorder="1"/>
    <xf numFmtId="173" fontId="58" fillId="0" borderId="147" xfId="5" applyNumberFormat="1" applyFont="1" applyFill="1" applyBorder="1" applyAlignment="1">
      <alignment horizontal="center"/>
    </xf>
    <xf numFmtId="173" fontId="58" fillId="0" borderId="149" xfId="5" applyNumberFormat="1" applyFont="1" applyBorder="1"/>
    <xf numFmtId="173" fontId="60" fillId="0" borderId="147" xfId="5" applyNumberFormat="1" applyFont="1" applyFill="1" applyBorder="1" applyAlignment="1" applyProtection="1">
      <alignment horizontal="center" vertical="center"/>
    </xf>
    <xf numFmtId="164" fontId="61" fillId="0" borderId="146" xfId="5" applyNumberFormat="1" applyFont="1" applyFill="1" applyBorder="1" applyAlignment="1" applyProtection="1">
      <alignment vertical="center"/>
    </xf>
    <xf numFmtId="164" fontId="61" fillId="0" borderId="0" xfId="5" applyNumberFormat="1" applyFont="1" applyFill="1" applyBorder="1" applyProtection="1"/>
    <xf numFmtId="173" fontId="54" fillId="0" borderId="149" xfId="5" applyNumberFormat="1" applyFont="1" applyFill="1" applyBorder="1" applyAlignment="1" applyProtection="1">
      <alignment horizontal="center" vertical="center"/>
    </xf>
    <xf numFmtId="173" fontId="62" fillId="0" borderId="156" xfId="5" applyNumberFormat="1" applyFont="1" applyFill="1" applyBorder="1" applyAlignment="1">
      <alignment horizontal="center" vertical="center"/>
    </xf>
    <xf numFmtId="164" fontId="50" fillId="0" borderId="158" xfId="5" applyNumberFormat="1" applyFont="1" applyFill="1" applyBorder="1"/>
    <xf numFmtId="173" fontId="58" fillId="0" borderId="159" xfId="5" applyNumberFormat="1" applyFont="1" applyFill="1" applyBorder="1" applyAlignment="1">
      <alignment horizontal="center"/>
    </xf>
    <xf numFmtId="164" fontId="50" fillId="24" borderId="158" xfId="5" applyNumberFormat="1" applyFont="1" applyFill="1" applyBorder="1"/>
    <xf numFmtId="164" fontId="50" fillId="0" borderId="160" xfId="5" applyNumberFormat="1" applyFont="1" applyFill="1" applyBorder="1"/>
    <xf numFmtId="173" fontId="50" fillId="0" borderId="160" xfId="5" applyNumberFormat="1" applyFont="1" applyFill="1" applyBorder="1" applyAlignment="1">
      <alignment horizontal="center"/>
    </xf>
    <xf numFmtId="164" fontId="52" fillId="24" borderId="158" xfId="5" applyNumberFormat="1" applyFont="1" applyFill="1" applyBorder="1"/>
    <xf numFmtId="173" fontId="52" fillId="0" borderId="161" xfId="5" applyNumberFormat="1" applyFont="1" applyFill="1" applyBorder="1" applyAlignment="1">
      <alignment horizontal="center"/>
    </xf>
    <xf numFmtId="173" fontId="59" fillId="0" borderId="162" xfId="5" applyNumberFormat="1" applyFont="1" applyFill="1" applyBorder="1" applyAlignment="1">
      <alignment horizontal="center"/>
    </xf>
    <xf numFmtId="173" fontId="59" fillId="0" borderId="163" xfId="5" applyNumberFormat="1" applyFont="1" applyFill="1" applyBorder="1" applyAlignment="1">
      <alignment horizontal="center"/>
    </xf>
    <xf numFmtId="173" fontId="56" fillId="0" borderId="164" xfId="5" applyNumberFormat="1" applyFont="1" applyFill="1" applyBorder="1" applyAlignment="1">
      <alignment horizontal="center" vertical="center"/>
    </xf>
    <xf numFmtId="173" fontId="50" fillId="0" borderId="165" xfId="5" applyNumberFormat="1" applyFont="1" applyFill="1" applyBorder="1" applyAlignment="1">
      <alignment horizontal="center" vertical="center"/>
    </xf>
    <xf numFmtId="164" fontId="57" fillId="0" borderId="166" xfId="5" applyNumberFormat="1" applyFont="1" applyFill="1" applyBorder="1" applyAlignment="1">
      <alignment horizontal="center" vertical="center"/>
    </xf>
    <xf numFmtId="173" fontId="50" fillId="36" borderId="0" xfId="5" applyFont="1" applyFill="1" applyBorder="1"/>
    <xf numFmtId="49" fontId="50" fillId="36" borderId="0" xfId="5" applyNumberFormat="1" applyFont="1" applyFill="1" applyBorder="1"/>
    <xf numFmtId="169" fontId="50" fillId="36" borderId="0" xfId="5" applyNumberFormat="1" applyFont="1" applyFill="1" applyBorder="1" applyAlignment="1">
      <alignment horizontal="center"/>
    </xf>
    <xf numFmtId="164" fontId="50" fillId="36" borderId="167" xfId="5" applyNumberFormat="1" applyFont="1" applyFill="1" applyBorder="1"/>
    <xf numFmtId="173" fontId="50" fillId="36" borderId="167" xfId="5" applyNumberFormat="1" applyFont="1" applyFill="1" applyBorder="1" applyAlignment="1">
      <alignment horizontal="center"/>
    </xf>
    <xf numFmtId="164" fontId="50" fillId="36" borderId="167" xfId="5" applyNumberFormat="1" applyFont="1" applyFill="1" applyBorder="1" applyAlignment="1">
      <alignment horizontal="center"/>
    </xf>
    <xf numFmtId="173" fontId="51" fillId="36" borderId="167" xfId="5" applyNumberFormat="1" applyFont="1" applyFill="1" applyBorder="1" applyAlignment="1" applyProtection="1">
      <alignment horizontal="center" vertical="center"/>
    </xf>
    <xf numFmtId="164" fontId="51" fillId="36" borderId="167" xfId="5" applyNumberFormat="1" applyFont="1" applyFill="1" applyBorder="1"/>
    <xf numFmtId="173" fontId="52" fillId="36" borderId="168" xfId="5" applyNumberFormat="1" applyFont="1" applyFill="1" applyBorder="1"/>
    <xf numFmtId="173" fontId="52" fillId="36" borderId="167" xfId="5" applyNumberFormat="1" applyFont="1" applyFill="1" applyBorder="1"/>
    <xf numFmtId="173" fontId="59" fillId="36" borderId="168" xfId="5" applyNumberFormat="1" applyFont="1" applyFill="1" applyBorder="1" applyAlignment="1">
      <alignment horizontal="center"/>
    </xf>
    <xf numFmtId="173" fontId="56" fillId="36" borderId="168" xfId="5" applyNumberFormat="1" applyFont="1" applyFill="1" applyBorder="1" applyAlignment="1">
      <alignment horizontal="center" vertical="center"/>
    </xf>
    <xf numFmtId="173" fontId="50" fillId="36" borderId="167" xfId="5" applyNumberFormat="1" applyFont="1" applyFill="1" applyBorder="1" applyAlignment="1">
      <alignment horizontal="center" vertical="center"/>
    </xf>
    <xf numFmtId="164" fontId="57" fillId="36" borderId="167" xfId="5" applyNumberFormat="1" applyFont="1" applyFill="1" applyBorder="1" applyAlignment="1">
      <alignment horizontal="center" vertical="center"/>
    </xf>
    <xf numFmtId="173" fontId="58" fillId="36" borderId="0" xfId="5" applyNumberFormat="1" applyFont="1" applyFill="1" applyBorder="1"/>
    <xf numFmtId="173" fontId="50" fillId="36" borderId="0" xfId="5" applyNumberFormat="1" applyFont="1" applyFill="1" applyBorder="1"/>
    <xf numFmtId="173" fontId="41" fillId="36" borderId="160" xfId="5" applyFill="1" applyBorder="1"/>
    <xf numFmtId="173" fontId="50" fillId="0" borderId="0" xfId="5" applyFont="1" applyFill="1" applyBorder="1"/>
    <xf numFmtId="173" fontId="50" fillId="0" borderId="0" xfId="5" applyFont="1" applyFill="1" applyBorder="1" applyAlignment="1">
      <alignment horizontal="center"/>
    </xf>
    <xf numFmtId="164" fontId="50" fillId="0" borderId="0" xfId="5" applyNumberFormat="1" applyFont="1" applyFill="1" applyBorder="1"/>
    <xf numFmtId="173" fontId="50" fillId="0" borderId="0" xfId="5" applyNumberFormat="1" applyFont="1" applyFill="1" applyBorder="1" applyAlignment="1">
      <alignment horizontal="center"/>
    </xf>
    <xf numFmtId="173" fontId="51" fillId="0" borderId="0" xfId="5" applyNumberFormat="1" applyFont="1" applyFill="1" applyBorder="1" applyAlignment="1" applyProtection="1">
      <alignment horizontal="center" vertical="center"/>
    </xf>
    <xf numFmtId="173" fontId="41" fillId="0" borderId="0" xfId="5" applyFill="1" applyBorder="1"/>
    <xf numFmtId="173" fontId="52" fillId="0" borderId="0" xfId="5" applyNumberFormat="1" applyFont="1" applyFill="1" applyBorder="1" applyAlignment="1">
      <alignment horizontal="center"/>
    </xf>
    <xf numFmtId="173" fontId="59" fillId="0" borderId="0" xfId="5" applyNumberFormat="1" applyFont="1" applyFill="1" applyBorder="1" applyAlignment="1">
      <alignment horizontal="center"/>
    </xf>
    <xf numFmtId="173" fontId="50" fillId="0" borderId="0" xfId="5" applyNumberFormat="1" applyFont="1" applyFill="1" applyBorder="1"/>
    <xf numFmtId="164" fontId="50" fillId="0" borderId="0" xfId="5" applyNumberFormat="1" applyFont="1" applyFill="1" applyBorder="1" applyAlignment="1">
      <alignment horizontal="center"/>
    </xf>
    <xf numFmtId="173" fontId="41" fillId="0" borderId="0" xfId="5" applyFill="1"/>
    <xf numFmtId="173" fontId="50" fillId="40" borderId="0" xfId="5" applyFont="1" applyFill="1" applyBorder="1"/>
    <xf numFmtId="49" fontId="50" fillId="40" borderId="0" xfId="5" applyNumberFormat="1" applyFont="1" applyFill="1" applyBorder="1"/>
    <xf numFmtId="169" fontId="50" fillId="40" borderId="0" xfId="5" applyNumberFormat="1" applyFont="1" applyFill="1" applyBorder="1" applyAlignment="1">
      <alignment horizontal="center"/>
    </xf>
    <xf numFmtId="164" fontId="50" fillId="40" borderId="0" xfId="5" applyNumberFormat="1" applyFont="1" applyFill="1" applyBorder="1"/>
    <xf numFmtId="173" fontId="50" fillId="40" borderId="0" xfId="5" applyNumberFormat="1" applyFont="1" applyFill="1" applyBorder="1" applyAlignment="1">
      <alignment horizontal="center"/>
    </xf>
    <xf numFmtId="173" fontId="51" fillId="40" borderId="0" xfId="5" applyNumberFormat="1" applyFont="1" applyFill="1" applyBorder="1" applyAlignment="1" applyProtection="1">
      <alignment horizontal="center" vertical="center"/>
    </xf>
    <xf numFmtId="164" fontId="63" fillId="40" borderId="0" xfId="5" applyNumberFormat="1" applyFont="1" applyFill="1" applyBorder="1"/>
    <xf numFmtId="173" fontId="63" fillId="40" borderId="0" xfId="5" applyNumberFormat="1" applyFont="1" applyFill="1" applyBorder="1"/>
    <xf numFmtId="173" fontId="55" fillId="40" borderId="0" xfId="5" applyNumberFormat="1" applyFont="1" applyFill="1" applyBorder="1" applyAlignment="1">
      <alignment horizontal="center"/>
    </xf>
    <xf numFmtId="173" fontId="56" fillId="40" borderId="0" xfId="5" applyNumberFormat="1" applyFont="1" applyFill="1" applyBorder="1" applyAlignment="1">
      <alignment horizontal="center" vertical="center"/>
    </xf>
    <xf numFmtId="173" fontId="50" fillId="40" borderId="0" xfId="5" applyNumberFormat="1" applyFont="1" applyFill="1" applyBorder="1" applyAlignment="1">
      <alignment horizontal="center" vertical="center"/>
    </xf>
    <xf numFmtId="164" fontId="50" fillId="40" borderId="0" xfId="5" applyNumberFormat="1" applyFont="1" applyFill="1" applyBorder="1" applyAlignment="1">
      <alignment horizontal="right" vertical="center"/>
    </xf>
    <xf numFmtId="173" fontId="41" fillId="40" borderId="0" xfId="5" applyFill="1" applyBorder="1"/>
    <xf numFmtId="173" fontId="41" fillId="0" borderId="0" xfId="5" applyBorder="1"/>
    <xf numFmtId="173" fontId="41" fillId="0" borderId="0" xfId="5" applyBorder="1" applyAlignment="1">
      <alignment horizontal="center"/>
    </xf>
    <xf numFmtId="164" fontId="41" fillId="0" borderId="0" xfId="5" applyNumberFormat="1" applyFont="1" applyBorder="1"/>
    <xf numFmtId="173" fontId="41" fillId="0" borderId="0" xfId="5" applyNumberFormat="1" applyBorder="1"/>
    <xf numFmtId="173" fontId="41" fillId="0" borderId="0" xfId="5" applyNumberFormat="1" applyFont="1" applyBorder="1" applyAlignment="1">
      <alignment horizontal="center"/>
    </xf>
    <xf numFmtId="173" fontId="41" fillId="0" borderId="0" xfId="5" applyNumberFormat="1" applyFont="1" applyBorder="1"/>
    <xf numFmtId="164" fontId="41" fillId="0" borderId="0" xfId="5" applyNumberFormat="1" applyBorder="1"/>
    <xf numFmtId="173" fontId="64" fillId="41" borderId="0" xfId="5" applyFont="1" applyFill="1"/>
    <xf numFmtId="173" fontId="64" fillId="41" borderId="169" xfId="5" applyFont="1" applyFill="1" applyBorder="1" applyAlignment="1">
      <alignment horizontal="center"/>
    </xf>
    <xf numFmtId="164" fontId="64" fillId="41" borderId="169" xfId="5" applyNumberFormat="1" applyFont="1" applyFill="1" applyBorder="1"/>
    <xf numFmtId="173" fontId="64" fillId="41" borderId="169" xfId="5" applyNumberFormat="1" applyFont="1" applyFill="1" applyBorder="1"/>
    <xf numFmtId="173" fontId="64" fillId="41" borderId="169" xfId="5" applyNumberFormat="1" applyFont="1" applyFill="1" applyBorder="1" applyAlignment="1">
      <alignment horizontal="center"/>
    </xf>
    <xf numFmtId="173" fontId="64" fillId="41" borderId="169" xfId="5" applyFont="1" applyFill="1" applyBorder="1"/>
    <xf numFmtId="173" fontId="41" fillId="0" borderId="0" xfId="5" applyAlignment="1">
      <alignment horizontal="center"/>
    </xf>
    <xf numFmtId="164" fontId="41" fillId="0" borderId="0" xfId="5" applyNumberFormat="1"/>
    <xf numFmtId="173" fontId="41" fillId="0" borderId="0" xfId="5" applyNumberFormat="1"/>
    <xf numFmtId="173" fontId="41" fillId="0" borderId="0" xfId="5" applyBorder="1" applyProtection="1"/>
    <xf numFmtId="49" fontId="58" fillId="0" borderId="0" xfId="5" applyNumberFormat="1" applyFont="1" applyFill="1" applyBorder="1" applyProtection="1"/>
    <xf numFmtId="173" fontId="65" fillId="0" borderId="0" xfId="5" applyFont="1" applyBorder="1" applyAlignment="1" applyProtection="1">
      <alignment horizontal="left" vertical="top"/>
    </xf>
    <xf numFmtId="173" fontId="65" fillId="0" borderId="0" xfId="5" applyFont="1" applyBorder="1" applyProtection="1"/>
    <xf numFmtId="173" fontId="57" fillId="0" borderId="0" xfId="5" applyFont="1" applyBorder="1" applyProtection="1"/>
    <xf numFmtId="168" fontId="57" fillId="0" borderId="0" xfId="5" applyNumberFormat="1" applyFont="1" applyBorder="1" applyProtection="1"/>
    <xf numFmtId="173" fontId="65" fillId="0" borderId="0" xfId="5" applyFont="1" applyFill="1" applyBorder="1" applyAlignment="1" applyProtection="1"/>
    <xf numFmtId="173" fontId="41" fillId="0" borderId="0" xfId="5" applyNumberFormat="1" applyAlignment="1">
      <alignment horizontal="center" vertical="top"/>
    </xf>
    <xf numFmtId="49" fontId="58" fillId="0" borderId="0" xfId="5" applyNumberFormat="1" applyFont="1" applyFill="1" applyBorder="1" applyAlignment="1" applyProtection="1">
      <alignment vertical="center"/>
    </xf>
    <xf numFmtId="173" fontId="65" fillId="0" borderId="0" xfId="5" applyFont="1" applyFill="1" applyBorder="1" applyAlignment="1" applyProtection="1">
      <alignment horizontal="left"/>
    </xf>
    <xf numFmtId="173" fontId="63" fillId="0" borderId="0" xfId="5" applyNumberFormat="1" applyFont="1" applyAlignment="1">
      <alignment textRotation="90" wrapText="1"/>
    </xf>
    <xf numFmtId="173" fontId="57" fillId="0" borderId="0" xfId="5" applyFont="1" applyFill="1" applyBorder="1" applyAlignment="1" applyProtection="1">
      <alignment horizontal="left"/>
    </xf>
    <xf numFmtId="173" fontId="63" fillId="0" borderId="0" xfId="5" applyNumberFormat="1" applyFont="1"/>
    <xf numFmtId="49" fontId="68" fillId="0" borderId="123" xfId="5" applyNumberFormat="1" applyFont="1" applyFill="1" applyBorder="1" applyProtection="1"/>
    <xf numFmtId="173" fontId="69" fillId="0" borderId="123" xfId="5" applyFont="1" applyFill="1" applyBorder="1" applyAlignment="1" applyProtection="1">
      <alignment horizontal="left"/>
    </xf>
    <xf numFmtId="168" fontId="70" fillId="0" borderId="0" xfId="5" applyNumberFormat="1" applyFont="1" applyBorder="1" applyProtection="1"/>
    <xf numFmtId="173" fontId="70" fillId="0" borderId="0" xfId="5" applyFont="1" applyBorder="1" applyProtection="1"/>
    <xf numFmtId="173" fontId="63" fillId="0" borderId="0" xfId="5" applyFont="1"/>
    <xf numFmtId="169" fontId="63" fillId="0" borderId="0" xfId="5" applyNumberFormat="1" applyFont="1" applyAlignment="1">
      <alignment horizontal="center"/>
    </xf>
    <xf numFmtId="164" fontId="63" fillId="0" borderId="0" xfId="5" applyNumberFormat="1" applyFont="1"/>
    <xf numFmtId="173" fontId="41" fillId="36" borderId="0" xfId="5" applyFill="1" applyBorder="1"/>
    <xf numFmtId="173" fontId="42" fillId="36" borderId="123" xfId="5" applyFont="1" applyFill="1" applyBorder="1" applyAlignment="1">
      <alignment horizontal="left" vertical="center"/>
    </xf>
    <xf numFmtId="173" fontId="41" fillId="36" borderId="123" xfId="5" applyFill="1" applyBorder="1"/>
    <xf numFmtId="173" fontId="43" fillId="37" borderId="42" xfId="5" applyFont="1" applyFill="1" applyBorder="1" applyAlignment="1">
      <alignment horizontal="center" vertical="center" textRotation="90" wrapText="1"/>
    </xf>
    <xf numFmtId="173" fontId="44" fillId="0" borderId="170" xfId="5" applyFont="1" applyFill="1" applyBorder="1" applyAlignment="1">
      <alignment horizontal="left" vertical="center" wrapText="1"/>
    </xf>
    <xf numFmtId="173" fontId="46" fillId="19" borderId="171" xfId="5" applyFont="1" applyFill="1" applyBorder="1" applyAlignment="1">
      <alignment textRotation="90" wrapText="1"/>
    </xf>
    <xf numFmtId="173" fontId="47" fillId="38" borderId="171" xfId="5" applyFont="1" applyFill="1" applyBorder="1" applyAlignment="1">
      <alignment horizontal="center" textRotation="90" wrapText="1"/>
    </xf>
    <xf numFmtId="173" fontId="47" fillId="38" borderId="172" xfId="5" applyFont="1" applyFill="1" applyBorder="1" applyAlignment="1">
      <alignment horizontal="center" textRotation="90" wrapText="1"/>
    </xf>
    <xf numFmtId="173" fontId="48" fillId="19" borderId="170" xfId="5" applyFont="1" applyFill="1" applyBorder="1" applyAlignment="1">
      <alignment horizontal="center" textRotation="90" wrapText="1"/>
    </xf>
    <xf numFmtId="173" fontId="48" fillId="19" borderId="171" xfId="5" applyFont="1" applyFill="1" applyBorder="1" applyAlignment="1">
      <alignment horizontal="center" textRotation="90" wrapText="1"/>
    </xf>
    <xf numFmtId="173" fontId="48" fillId="19" borderId="171" xfId="5" applyNumberFormat="1" applyFont="1" applyFill="1" applyBorder="1" applyAlignment="1">
      <alignment horizontal="center" textRotation="90" wrapText="1"/>
    </xf>
    <xf numFmtId="173" fontId="48" fillId="39" borderId="171" xfId="5" applyFont="1" applyFill="1" applyBorder="1" applyAlignment="1">
      <alignment horizontal="center" textRotation="90" wrapText="1"/>
    </xf>
    <xf numFmtId="173" fontId="49" fillId="39" borderId="171" xfId="5" applyFont="1" applyFill="1" applyBorder="1" applyAlignment="1">
      <alignment horizontal="center" textRotation="90" wrapText="1"/>
    </xf>
    <xf numFmtId="173" fontId="48" fillId="39" borderId="64" xfId="5" applyFont="1" applyFill="1" applyBorder="1" applyAlignment="1">
      <alignment horizontal="center" textRotation="90" wrapText="1"/>
    </xf>
    <xf numFmtId="173" fontId="48" fillId="39" borderId="42" xfId="5" applyFont="1" applyFill="1" applyBorder="1" applyAlignment="1">
      <alignment horizontal="center" textRotation="90" wrapText="1"/>
    </xf>
    <xf numFmtId="173" fontId="49" fillId="19" borderId="171" xfId="5" applyFont="1" applyFill="1" applyBorder="1" applyAlignment="1">
      <alignment horizontal="center" textRotation="90" wrapText="1"/>
    </xf>
    <xf numFmtId="173" fontId="48" fillId="19" borderId="64" xfId="5" applyFont="1" applyFill="1" applyBorder="1" applyAlignment="1">
      <alignment horizontal="center" textRotation="90" wrapText="1"/>
    </xf>
    <xf numFmtId="173" fontId="48" fillId="19" borderId="42" xfId="5" applyFont="1" applyFill="1" applyBorder="1" applyAlignment="1">
      <alignment horizontal="center" textRotation="90" wrapText="1"/>
    </xf>
    <xf numFmtId="173" fontId="48" fillId="19" borderId="57" xfId="5" applyFont="1" applyFill="1" applyBorder="1" applyAlignment="1">
      <alignment horizontal="center" textRotation="90" wrapText="1"/>
    </xf>
    <xf numFmtId="173" fontId="50" fillId="0" borderId="157" xfId="5" applyFont="1" applyFill="1" applyBorder="1" applyProtection="1"/>
    <xf numFmtId="49" fontId="50" fillId="0" borderId="157" xfId="5" applyNumberFormat="1" applyFont="1" applyFill="1" applyBorder="1" applyProtection="1"/>
    <xf numFmtId="169" fontId="51" fillId="0" borderId="173" xfId="5" applyNumberFormat="1" applyFont="1" applyFill="1" applyBorder="1" applyAlignment="1" applyProtection="1">
      <alignment horizontal="left" vertical="center"/>
    </xf>
    <xf numFmtId="164" fontId="51" fillId="0" borderId="174" xfId="5" applyNumberFormat="1" applyFont="1" applyFill="1" applyBorder="1" applyAlignment="1" applyProtection="1">
      <alignment horizontal="right" vertical="center"/>
    </xf>
    <xf numFmtId="173" fontId="51" fillId="0" borderId="173" xfId="5" applyNumberFormat="1" applyFont="1" applyFill="1" applyBorder="1" applyAlignment="1" applyProtection="1">
      <alignment horizontal="center" vertical="center"/>
    </xf>
    <xf numFmtId="164" fontId="52" fillId="24" borderId="174" xfId="5" applyNumberFormat="1" applyFont="1" applyFill="1" applyBorder="1" applyAlignment="1" applyProtection="1">
      <alignment horizontal="right" vertical="center"/>
    </xf>
    <xf numFmtId="164" fontId="51" fillId="42" borderId="157" xfId="5" applyNumberFormat="1" applyFont="1" applyFill="1" applyBorder="1" applyAlignment="1" applyProtection="1">
      <alignment horizontal="right" vertical="center"/>
    </xf>
    <xf numFmtId="173" fontId="51" fillId="42" borderId="157" xfId="5" applyNumberFormat="1" applyFont="1" applyFill="1" applyBorder="1" applyAlignment="1" applyProtection="1">
      <alignment horizontal="center" vertical="center"/>
    </xf>
    <xf numFmtId="164" fontId="51" fillId="0" borderId="157" xfId="5" applyNumberFormat="1" applyFont="1" applyFill="1" applyBorder="1" applyAlignment="1" applyProtection="1">
      <alignment horizontal="right" vertical="center"/>
    </xf>
    <xf numFmtId="173" fontId="51" fillId="0" borderId="175" xfId="5" applyNumberFormat="1" applyFont="1" applyFill="1" applyBorder="1" applyAlignment="1" applyProtection="1">
      <alignment horizontal="center" vertical="center"/>
    </xf>
    <xf numFmtId="173" fontId="51" fillId="0" borderId="176" xfId="5" applyNumberFormat="1" applyFont="1" applyFill="1" applyBorder="1" applyAlignment="1" applyProtection="1">
      <alignment horizontal="center" vertical="center"/>
    </xf>
    <xf numFmtId="164" fontId="51" fillId="42" borderId="177" xfId="5" applyNumberFormat="1" applyFont="1" applyFill="1" applyBorder="1" applyAlignment="1" applyProtection="1">
      <alignment horizontal="right" vertical="center"/>
    </xf>
    <xf numFmtId="164" fontId="72" fillId="43" borderId="157" xfId="5" applyNumberFormat="1" applyFont="1" applyFill="1" applyBorder="1" applyProtection="1"/>
    <xf numFmtId="173" fontId="54" fillId="24" borderId="157" xfId="5" applyNumberFormat="1" applyFont="1" applyFill="1" applyBorder="1" applyAlignment="1" applyProtection="1">
      <alignment horizontal="center"/>
    </xf>
    <xf numFmtId="173" fontId="73" fillId="43" borderId="175" xfId="5" applyNumberFormat="1" applyFont="1" applyFill="1" applyBorder="1" applyAlignment="1" applyProtection="1">
      <alignment horizontal="center"/>
    </xf>
    <xf numFmtId="173" fontId="55" fillId="41" borderId="178" xfId="5" applyNumberFormat="1" applyFont="1" applyFill="1" applyBorder="1" applyAlignment="1" applyProtection="1">
      <alignment horizontal="center"/>
    </xf>
    <xf numFmtId="173" fontId="55" fillId="41" borderId="179" xfId="5" applyNumberFormat="1" applyFont="1" applyFill="1" applyBorder="1" applyAlignment="1" applyProtection="1">
      <alignment horizontal="center"/>
    </xf>
    <xf numFmtId="164" fontId="52" fillId="24" borderId="174" xfId="5" applyNumberFormat="1" applyFont="1" applyFill="1" applyBorder="1" applyProtection="1"/>
    <xf numFmtId="164" fontId="63" fillId="0" borderId="157" xfId="5" applyNumberFormat="1" applyFont="1" applyBorder="1" applyAlignment="1" applyProtection="1">
      <alignment horizontal="right" vertical="center"/>
    </xf>
    <xf numFmtId="173" fontId="54" fillId="24" borderId="157" xfId="5" applyNumberFormat="1" applyFont="1" applyFill="1" applyBorder="1" applyAlignment="1" applyProtection="1">
      <alignment horizontal="center" vertical="center"/>
    </xf>
    <xf numFmtId="173" fontId="69" fillId="0" borderId="175" xfId="5" applyNumberFormat="1" applyFont="1" applyFill="1" applyBorder="1" applyAlignment="1" applyProtection="1">
      <alignment horizontal="center" vertical="center" wrapText="1"/>
    </xf>
    <xf numFmtId="173" fontId="74" fillId="0" borderId="178" xfId="5" applyNumberFormat="1" applyFont="1" applyFill="1" applyBorder="1" applyAlignment="1" applyProtection="1">
      <alignment horizontal="center" vertical="center" wrapText="1"/>
    </xf>
    <xf numFmtId="173" fontId="62" fillId="0" borderId="173" xfId="5" applyNumberFormat="1" applyFont="1" applyFill="1" applyBorder="1" applyAlignment="1" applyProtection="1">
      <alignment horizontal="center" vertical="center"/>
    </xf>
    <xf numFmtId="164" fontId="51" fillId="0" borderId="180" xfId="5" applyNumberFormat="1" applyFont="1" applyFill="1" applyBorder="1" applyAlignment="1" applyProtection="1">
      <alignment horizontal="center" vertical="center"/>
    </xf>
    <xf numFmtId="164" fontId="51" fillId="0" borderId="181" xfId="5" applyNumberFormat="1" applyFont="1" applyFill="1" applyBorder="1" applyAlignment="1" applyProtection="1">
      <alignment horizontal="center" vertical="center"/>
    </xf>
    <xf numFmtId="164" fontId="51" fillId="0" borderId="175" xfId="5" applyNumberFormat="1" applyFont="1" applyFill="1" applyBorder="1" applyAlignment="1" applyProtection="1">
      <alignment horizontal="center" vertical="center"/>
    </xf>
    <xf numFmtId="164" fontId="51" fillId="0" borderId="176" xfId="5" applyNumberFormat="1" applyFont="1" applyFill="1" applyBorder="1" applyAlignment="1" applyProtection="1">
      <alignment horizontal="center" vertical="center"/>
    </xf>
    <xf numFmtId="173" fontId="50" fillId="0" borderId="176" xfId="5" applyNumberFormat="1" applyFont="1" applyFill="1" applyBorder="1" applyAlignment="1" applyProtection="1">
      <alignment horizontal="center" vertical="center"/>
    </xf>
    <xf numFmtId="164" fontId="57" fillId="42" borderId="174" xfId="5" applyNumberFormat="1" applyFont="1" applyFill="1" applyBorder="1" applyAlignment="1" applyProtection="1">
      <alignment horizontal="center" vertical="center"/>
    </xf>
    <xf numFmtId="164" fontId="60" fillId="0" borderId="174" xfId="5" applyNumberFormat="1" applyFont="1" applyFill="1" applyBorder="1" applyAlignment="1" applyProtection="1">
      <alignment horizontal="right" vertical="center"/>
    </xf>
    <xf numFmtId="164" fontId="60" fillId="0" borderId="157" xfId="5" applyNumberFormat="1" applyFont="1" applyFill="1" applyBorder="1" applyAlignment="1" applyProtection="1">
      <alignment vertical="center"/>
    </xf>
    <xf numFmtId="173" fontId="50" fillId="0" borderId="175" xfId="5" applyNumberFormat="1" applyFont="1" applyBorder="1" applyProtection="1"/>
    <xf numFmtId="173" fontId="41" fillId="0" borderId="157" xfId="5" applyBorder="1" applyProtection="1"/>
    <xf numFmtId="173" fontId="50" fillId="0" borderId="146" xfId="5" applyFont="1" applyFill="1" applyBorder="1" applyProtection="1"/>
    <xf numFmtId="49" fontId="50" fillId="0" borderId="146" xfId="5" applyNumberFormat="1" applyFont="1" applyFill="1" applyBorder="1" applyProtection="1"/>
    <xf numFmtId="169" fontId="50" fillId="0" borderId="147" xfId="5" applyNumberFormat="1" applyFont="1" applyFill="1" applyBorder="1" applyAlignment="1" applyProtection="1">
      <alignment horizontal="center"/>
    </xf>
    <xf numFmtId="164" fontId="50" fillId="0" borderId="148" xfId="5" applyNumberFormat="1" applyFont="1" applyFill="1" applyBorder="1" applyProtection="1"/>
    <xf numFmtId="173" fontId="50" fillId="0" borderId="147" xfId="5" applyNumberFormat="1" applyFont="1" applyFill="1" applyBorder="1" applyAlignment="1" applyProtection="1">
      <alignment horizontal="center"/>
    </xf>
    <xf numFmtId="164" fontId="52" fillId="24" borderId="148" xfId="5" applyNumberFormat="1" applyFont="1" applyFill="1" applyBorder="1" applyProtection="1"/>
    <xf numFmtId="164" fontId="50" fillId="42" borderId="146" xfId="5" applyNumberFormat="1" applyFont="1" applyFill="1" applyBorder="1" applyProtection="1"/>
    <xf numFmtId="173" fontId="50" fillId="42" borderId="146" xfId="5" applyNumberFormat="1" applyFont="1" applyFill="1" applyBorder="1" applyAlignment="1" applyProtection="1">
      <alignment horizontal="center"/>
    </xf>
    <xf numFmtId="164" fontId="50" fillId="0" borderId="146" xfId="5" applyNumberFormat="1" applyFont="1" applyFill="1" applyBorder="1" applyProtection="1"/>
    <xf numFmtId="173" fontId="50" fillId="0" borderId="149" xfId="5" applyNumberFormat="1" applyFont="1" applyFill="1" applyBorder="1" applyAlignment="1" applyProtection="1">
      <alignment horizontal="center"/>
    </xf>
    <xf numFmtId="173" fontId="51" fillId="0" borderId="182" xfId="5" applyNumberFormat="1" applyFont="1" applyFill="1" applyBorder="1" applyAlignment="1" applyProtection="1">
      <alignment horizontal="center" vertical="center"/>
    </xf>
    <xf numFmtId="6" fontId="50" fillId="42" borderId="146" xfId="5" applyNumberFormat="1" applyFont="1" applyFill="1" applyBorder="1" applyProtection="1"/>
    <xf numFmtId="173" fontId="52" fillId="24" borderId="146" xfId="5" applyNumberFormat="1" applyFont="1" applyFill="1" applyBorder="1" applyAlignment="1" applyProtection="1">
      <alignment horizontal="center"/>
    </xf>
    <xf numFmtId="173" fontId="59" fillId="0" borderId="155" xfId="5" applyNumberFormat="1" applyFont="1" applyFill="1" applyBorder="1" applyAlignment="1" applyProtection="1">
      <alignment horizontal="center"/>
    </xf>
    <xf numFmtId="173" fontId="59" fillId="0" borderId="183" xfId="5" applyNumberFormat="1" applyFont="1" applyFill="1" applyBorder="1" applyAlignment="1" applyProtection="1">
      <alignment horizontal="center"/>
    </xf>
    <xf numFmtId="164" fontId="51" fillId="0" borderId="146" xfId="5" applyNumberFormat="1" applyFont="1" applyFill="1" applyBorder="1" applyAlignment="1" applyProtection="1">
      <alignment horizontal="right"/>
    </xf>
    <xf numFmtId="173" fontId="54" fillId="24" borderId="146" xfId="5" applyNumberFormat="1" applyFont="1" applyFill="1" applyBorder="1" applyAlignment="1" applyProtection="1">
      <alignment horizontal="center" vertical="center"/>
    </xf>
    <xf numFmtId="173" fontId="61" fillId="0" borderId="149" xfId="5" applyNumberFormat="1" applyFont="1" applyFill="1" applyBorder="1" applyAlignment="1" applyProtection="1">
      <alignment horizontal="center" vertical="center" wrapText="1"/>
    </xf>
    <xf numFmtId="173" fontId="55" fillId="0" borderId="155" xfId="5" applyNumberFormat="1" applyFont="1" applyFill="1" applyBorder="1" applyAlignment="1" applyProtection="1">
      <alignment horizontal="center" vertical="center" wrapText="1"/>
    </xf>
    <xf numFmtId="173" fontId="62" fillId="0" borderId="147" xfId="5" applyNumberFormat="1" applyFont="1" applyFill="1" applyBorder="1" applyAlignment="1" applyProtection="1">
      <alignment horizontal="center" vertical="center"/>
    </xf>
    <xf numFmtId="164" fontId="51" fillId="0" borderId="155" xfId="5" applyNumberFormat="1" applyFont="1" applyFill="1" applyBorder="1" applyAlignment="1" applyProtection="1">
      <alignment horizontal="center" vertical="center"/>
    </xf>
    <xf numFmtId="164" fontId="51" fillId="0" borderId="146" xfId="5" applyNumberFormat="1" applyFont="1" applyFill="1" applyBorder="1" applyAlignment="1" applyProtection="1">
      <alignment horizontal="center" vertical="center"/>
    </xf>
    <xf numFmtId="164" fontId="51" fillId="0" borderId="184" xfId="5" applyNumberFormat="1" applyFont="1" applyFill="1" applyBorder="1" applyAlignment="1" applyProtection="1">
      <alignment horizontal="center" vertical="center"/>
    </xf>
    <xf numFmtId="173" fontId="50" fillId="0" borderId="182" xfId="5" applyNumberFormat="1" applyFont="1" applyFill="1" applyBorder="1" applyAlignment="1" applyProtection="1">
      <alignment horizontal="center"/>
    </xf>
    <xf numFmtId="164" fontId="57" fillId="20" borderId="148" xfId="5" applyNumberFormat="1" applyFont="1" applyFill="1" applyBorder="1" applyAlignment="1" applyProtection="1">
      <alignment horizontal="center"/>
    </xf>
    <xf numFmtId="164" fontId="58" fillId="20" borderId="148" xfId="5" applyNumberFormat="1" applyFont="1" applyFill="1" applyBorder="1" applyAlignment="1" applyProtection="1">
      <alignment horizontal="right"/>
    </xf>
    <xf numFmtId="164" fontId="62" fillId="20" borderId="146" xfId="5" applyNumberFormat="1" applyFont="1" applyFill="1" applyBorder="1" applyProtection="1"/>
    <xf numFmtId="173" fontId="58" fillId="20" borderId="149" xfId="5" applyNumberFormat="1" applyFont="1" applyFill="1" applyBorder="1" applyProtection="1"/>
    <xf numFmtId="173" fontId="50" fillId="0" borderId="149" xfId="5" applyNumberFormat="1" applyFont="1" applyBorder="1" applyProtection="1"/>
    <xf numFmtId="173" fontId="58" fillId="20" borderId="146" xfId="5" applyFont="1" applyFill="1" applyBorder="1" applyProtection="1"/>
    <xf numFmtId="164" fontId="50" fillId="42" borderId="157" xfId="5" applyNumberFormat="1" applyFont="1" applyFill="1" applyBorder="1" applyProtection="1"/>
    <xf numFmtId="173" fontId="55" fillId="0" borderId="155" xfId="5" applyNumberFormat="1" applyFont="1" applyFill="1" applyBorder="1" applyAlignment="1" applyProtection="1">
      <alignment horizontal="center"/>
    </xf>
    <xf numFmtId="173" fontId="55" fillId="0" borderId="183" xfId="5" applyNumberFormat="1" applyFont="1" applyFill="1" applyBorder="1" applyAlignment="1" applyProtection="1">
      <alignment horizontal="center"/>
    </xf>
    <xf numFmtId="164" fontId="50" fillId="0" borderId="146" xfId="5" applyNumberFormat="1" applyFont="1" applyFill="1" applyBorder="1" applyAlignment="1" applyProtection="1">
      <alignment horizontal="right"/>
    </xf>
    <xf numFmtId="173" fontId="52" fillId="24" borderId="146" xfId="5" applyNumberFormat="1" applyFont="1" applyFill="1" applyBorder="1" applyAlignment="1" applyProtection="1">
      <alignment horizontal="center" vertical="center"/>
    </xf>
    <xf numFmtId="1" fontId="50" fillId="0" borderId="149" xfId="5" applyNumberFormat="1" applyFont="1" applyFill="1" applyBorder="1" applyAlignment="1" applyProtection="1">
      <alignment horizontal="center" vertical="center"/>
    </xf>
    <xf numFmtId="173" fontId="50" fillId="0" borderId="182" xfId="5" applyNumberFormat="1" applyFont="1" applyFill="1" applyBorder="1" applyAlignment="1" applyProtection="1">
      <alignment horizontal="center" vertical="center"/>
    </xf>
    <xf numFmtId="164" fontId="50" fillId="42" borderId="148" xfId="5" applyNumberFormat="1" applyFont="1" applyFill="1" applyBorder="1" applyAlignment="1" applyProtection="1">
      <alignment horizontal="center" vertical="center"/>
    </xf>
    <xf numFmtId="164" fontId="60" fillId="0" borderId="148" xfId="5" applyNumberFormat="1" applyFont="1" applyFill="1" applyBorder="1" applyAlignment="1" applyProtection="1">
      <alignment horizontal="right" vertical="center"/>
    </xf>
    <xf numFmtId="164" fontId="60" fillId="0" borderId="146" xfId="5" applyNumberFormat="1" applyFont="1" applyFill="1" applyBorder="1" applyAlignment="1" applyProtection="1">
      <alignment vertical="center"/>
    </xf>
    <xf numFmtId="173" fontId="41" fillId="0" borderId="146" xfId="5" applyBorder="1" applyProtection="1"/>
    <xf numFmtId="173" fontId="58" fillId="0" borderId="147" xfId="5" applyNumberFormat="1" applyFont="1" applyFill="1" applyBorder="1" applyAlignment="1" applyProtection="1">
      <alignment horizontal="center"/>
    </xf>
    <xf numFmtId="164" fontId="57" fillId="42" borderId="148" xfId="5" applyNumberFormat="1" applyFont="1" applyFill="1" applyBorder="1" applyAlignment="1" applyProtection="1">
      <alignment horizontal="center" vertical="center"/>
    </xf>
    <xf numFmtId="173" fontId="60" fillId="0" borderId="182" xfId="5" applyNumberFormat="1" applyFont="1" applyFill="1" applyBorder="1" applyAlignment="1" applyProtection="1">
      <alignment horizontal="center" vertical="center"/>
    </xf>
    <xf numFmtId="164" fontId="61" fillId="42" borderId="146" xfId="5" applyNumberFormat="1" applyFont="1" applyFill="1" applyBorder="1" applyAlignment="1" applyProtection="1">
      <alignment vertical="center"/>
    </xf>
    <xf numFmtId="164" fontId="61" fillId="42" borderId="0" xfId="5" applyNumberFormat="1" applyFont="1" applyFill="1" applyBorder="1" applyProtection="1"/>
    <xf numFmtId="173" fontId="61" fillId="0" borderId="149" xfId="5" applyNumberFormat="1" applyFont="1" applyFill="1" applyBorder="1" applyAlignment="1" applyProtection="1">
      <alignment horizontal="center" vertical="center"/>
    </xf>
    <xf numFmtId="164" fontId="51" fillId="0" borderId="146" xfId="5" applyNumberFormat="1" applyFont="1" applyFill="1" applyBorder="1" applyAlignment="1" applyProtection="1">
      <alignment horizontal="right" vertical="center"/>
    </xf>
    <xf numFmtId="164" fontId="60" fillId="0" borderId="155" xfId="5" applyNumberFormat="1" applyFont="1" applyFill="1" applyBorder="1" applyAlignment="1" applyProtection="1">
      <alignment horizontal="center" vertical="center"/>
    </xf>
    <xf numFmtId="164" fontId="60" fillId="0" borderId="146" xfId="5" applyNumberFormat="1" applyFont="1" applyFill="1" applyBorder="1" applyAlignment="1" applyProtection="1">
      <alignment horizontal="center" vertical="center"/>
    </xf>
    <xf numFmtId="164" fontId="60" fillId="0" borderId="184" xfId="5" applyNumberFormat="1" applyFont="1" applyFill="1" applyBorder="1" applyAlignment="1" applyProtection="1">
      <alignment horizontal="center" vertical="center"/>
    </xf>
    <xf numFmtId="164" fontId="50" fillId="0" borderId="158" xfId="5" applyNumberFormat="1" applyFont="1" applyFill="1" applyBorder="1" applyProtection="1"/>
    <xf numFmtId="173" fontId="58" fillId="0" borderId="159" xfId="5" applyNumberFormat="1" applyFont="1" applyFill="1" applyBorder="1" applyAlignment="1" applyProtection="1">
      <alignment horizontal="center"/>
    </xf>
    <xf numFmtId="164" fontId="52" fillId="24" borderId="158" xfId="5" applyNumberFormat="1" applyFont="1" applyFill="1" applyBorder="1" applyProtection="1"/>
    <xf numFmtId="164" fontId="50" fillId="42" borderId="160" xfId="5" applyNumberFormat="1" applyFont="1" applyFill="1" applyBorder="1" applyProtection="1"/>
    <xf numFmtId="173" fontId="50" fillId="42" borderId="160" xfId="5" applyNumberFormat="1" applyFont="1" applyFill="1" applyBorder="1" applyAlignment="1" applyProtection="1">
      <alignment horizontal="center"/>
    </xf>
    <xf numFmtId="164" fontId="50" fillId="0" borderId="160" xfId="5" applyNumberFormat="1" applyFont="1" applyFill="1" applyBorder="1" applyProtection="1"/>
    <xf numFmtId="173" fontId="50" fillId="0" borderId="161" xfId="5" applyNumberFormat="1" applyFont="1" applyFill="1" applyBorder="1" applyAlignment="1" applyProtection="1">
      <alignment horizontal="center"/>
    </xf>
    <xf numFmtId="173" fontId="51" fillId="0" borderId="185" xfId="5" applyNumberFormat="1" applyFont="1" applyFill="1" applyBorder="1" applyAlignment="1" applyProtection="1">
      <alignment horizontal="center" vertical="center"/>
    </xf>
    <xf numFmtId="173" fontId="52" fillId="24" borderId="160" xfId="5" applyNumberFormat="1" applyFont="1" applyFill="1" applyBorder="1" applyAlignment="1" applyProtection="1">
      <alignment horizontal="center"/>
    </xf>
    <xf numFmtId="173" fontId="59" fillId="0" borderId="162" xfId="5" applyNumberFormat="1" applyFont="1" applyFill="1" applyBorder="1" applyAlignment="1" applyProtection="1">
      <alignment horizontal="center"/>
    </xf>
    <xf numFmtId="173" fontId="59" fillId="0" borderId="186" xfId="5" applyNumberFormat="1" applyFont="1" applyFill="1" applyBorder="1" applyAlignment="1" applyProtection="1">
      <alignment horizontal="center"/>
    </xf>
    <xf numFmtId="164" fontId="50" fillId="0" borderId="160" xfId="5" applyNumberFormat="1" applyFont="1" applyFill="1" applyBorder="1" applyAlignment="1" applyProtection="1">
      <alignment horizontal="right"/>
    </xf>
    <xf numFmtId="173" fontId="52" fillId="24" borderId="160" xfId="5" applyNumberFormat="1" applyFont="1" applyFill="1" applyBorder="1" applyAlignment="1" applyProtection="1">
      <alignment horizontal="center" vertical="center"/>
    </xf>
    <xf numFmtId="1" fontId="50" fillId="0" borderId="161" xfId="5" applyNumberFormat="1" applyFont="1" applyFill="1" applyBorder="1" applyAlignment="1" applyProtection="1">
      <alignment horizontal="center" vertical="center"/>
    </xf>
    <xf numFmtId="173" fontId="74" fillId="0" borderId="162" xfId="5" applyNumberFormat="1" applyFont="1" applyFill="1" applyBorder="1" applyAlignment="1" applyProtection="1">
      <alignment horizontal="center" vertical="center" wrapText="1"/>
    </xf>
    <xf numFmtId="173" fontId="56" fillId="0" borderId="187" xfId="5" applyNumberFormat="1" applyFont="1" applyFill="1" applyBorder="1" applyAlignment="1" applyProtection="1">
      <alignment horizontal="center" vertical="center"/>
    </xf>
    <xf numFmtId="164" fontId="51" fillId="0" borderId="188" xfId="5" applyNumberFormat="1" applyFont="1" applyFill="1" applyBorder="1" applyAlignment="1" applyProtection="1">
      <alignment horizontal="center" vertical="center"/>
    </xf>
    <xf numFmtId="164" fontId="51" fillId="0" borderId="160" xfId="5" applyNumberFormat="1" applyFont="1" applyFill="1" applyBorder="1" applyAlignment="1" applyProtection="1">
      <alignment horizontal="center" vertical="center"/>
    </xf>
    <xf numFmtId="164" fontId="51" fillId="0" borderId="189" xfId="5" applyNumberFormat="1" applyFont="1" applyFill="1" applyBorder="1" applyAlignment="1" applyProtection="1">
      <alignment horizontal="center" vertical="center"/>
    </xf>
    <xf numFmtId="173" fontId="50" fillId="0" borderId="185" xfId="5" applyNumberFormat="1" applyFont="1" applyFill="1" applyBorder="1" applyAlignment="1" applyProtection="1">
      <alignment horizontal="center" vertical="center"/>
    </xf>
    <xf numFmtId="164" fontId="57" fillId="42" borderId="158" xfId="5" applyNumberFormat="1" applyFont="1" applyFill="1" applyBorder="1" applyAlignment="1" applyProtection="1">
      <alignment horizontal="center" vertical="center"/>
    </xf>
    <xf numFmtId="164" fontId="56" fillId="0" borderId="158" xfId="5" applyNumberFormat="1" applyFont="1" applyFill="1" applyBorder="1" applyAlignment="1" applyProtection="1">
      <alignment horizontal="right" vertical="center"/>
    </xf>
    <xf numFmtId="164" fontId="58" fillId="0" borderId="160" xfId="5" applyNumberFormat="1" applyFont="1" applyFill="1" applyBorder="1" applyAlignment="1" applyProtection="1">
      <alignment vertical="center"/>
    </xf>
    <xf numFmtId="173" fontId="58" fillId="0" borderId="149" xfId="5" applyNumberFormat="1" applyFont="1" applyBorder="1" applyProtection="1"/>
    <xf numFmtId="173" fontId="50" fillId="36" borderId="0" xfId="5" applyFont="1" applyFill="1" applyBorder="1" applyProtection="1"/>
    <xf numFmtId="49" fontId="50" fillId="36" borderId="0" xfId="5" applyNumberFormat="1" applyFont="1" applyFill="1" applyBorder="1" applyProtection="1"/>
    <xf numFmtId="169" fontId="50" fillId="36" borderId="0" xfId="5" applyNumberFormat="1" applyFont="1" applyFill="1" applyBorder="1" applyAlignment="1" applyProtection="1">
      <alignment horizontal="center"/>
    </xf>
    <xf numFmtId="164" fontId="50" fillId="36" borderId="190" xfId="5" applyNumberFormat="1" applyFont="1" applyFill="1" applyBorder="1" applyProtection="1"/>
    <xf numFmtId="173" fontId="50" fillId="36" borderId="190" xfId="5" applyNumberFormat="1" applyFont="1" applyFill="1" applyBorder="1" applyAlignment="1" applyProtection="1">
      <alignment horizontal="center"/>
    </xf>
    <xf numFmtId="164" fontId="52" fillId="36" borderId="190" xfId="5" applyNumberFormat="1" applyFont="1" applyFill="1" applyBorder="1" applyAlignment="1" applyProtection="1">
      <alignment horizontal="center"/>
    </xf>
    <xf numFmtId="164" fontId="50" fillId="36" borderId="190" xfId="5" applyNumberFormat="1" applyFont="1" applyFill="1" applyBorder="1" applyAlignment="1" applyProtection="1">
      <alignment horizontal="center"/>
    </xf>
    <xf numFmtId="164" fontId="50" fillId="36" borderId="167" xfId="5" applyNumberFormat="1" applyFont="1" applyFill="1" applyBorder="1" applyAlignment="1" applyProtection="1">
      <alignment horizontal="center"/>
    </xf>
    <xf numFmtId="173" fontId="51" fillId="36" borderId="169" xfId="5" applyNumberFormat="1" applyFont="1" applyFill="1" applyBorder="1" applyAlignment="1" applyProtection="1">
      <alignment horizontal="center" vertical="center"/>
    </xf>
    <xf numFmtId="164" fontId="52" fillId="36" borderId="167" xfId="5" applyNumberFormat="1" applyFont="1" applyFill="1" applyBorder="1" applyProtection="1"/>
    <xf numFmtId="164" fontId="51" fillId="36" borderId="190" xfId="5" applyNumberFormat="1" applyFont="1" applyFill="1" applyBorder="1" applyProtection="1"/>
    <xf numFmtId="173" fontId="52" fillId="36" borderId="190" xfId="5" applyNumberFormat="1" applyFont="1" applyFill="1" applyBorder="1" applyProtection="1"/>
    <xf numFmtId="173" fontId="51" fillId="36" borderId="190" xfId="5" applyNumberFormat="1" applyFont="1" applyFill="1" applyBorder="1" applyProtection="1"/>
    <xf numFmtId="173" fontId="59" fillId="36" borderId="169" xfId="5" applyNumberFormat="1" applyFont="1" applyFill="1" applyBorder="1" applyAlignment="1" applyProtection="1">
      <alignment horizontal="center"/>
    </xf>
    <xf numFmtId="164" fontId="52" fillId="36" borderId="190" xfId="5" applyNumberFormat="1" applyFont="1" applyFill="1" applyBorder="1" applyProtection="1"/>
    <xf numFmtId="173" fontId="74" fillId="36" borderId="169" xfId="5" applyNumberFormat="1" applyFont="1" applyFill="1" applyBorder="1" applyAlignment="1" applyProtection="1">
      <alignment horizontal="center" vertical="center" wrapText="1"/>
    </xf>
    <xf numFmtId="173" fontId="56" fillId="36" borderId="169" xfId="5" applyNumberFormat="1" applyFont="1" applyFill="1" applyBorder="1" applyAlignment="1" applyProtection="1">
      <alignment horizontal="center" vertical="center"/>
    </xf>
    <xf numFmtId="164" fontId="51" fillId="36" borderId="169" xfId="5" applyNumberFormat="1" applyFont="1" applyFill="1" applyBorder="1" applyAlignment="1" applyProtection="1">
      <alignment horizontal="center" vertical="center"/>
    </xf>
    <xf numFmtId="164" fontId="56" fillId="36" borderId="169" xfId="5" applyNumberFormat="1" applyFont="1" applyFill="1" applyBorder="1" applyAlignment="1" applyProtection="1">
      <alignment horizontal="center" vertical="center"/>
    </xf>
    <xf numFmtId="173" fontId="50" fillId="36" borderId="169" xfId="5" applyNumberFormat="1" applyFont="1" applyFill="1" applyBorder="1" applyAlignment="1" applyProtection="1">
      <alignment horizontal="center" vertical="center"/>
    </xf>
    <xf numFmtId="164" fontId="57" fillId="36" borderId="190" xfId="5" applyNumberFormat="1" applyFont="1" applyFill="1" applyBorder="1" applyAlignment="1" applyProtection="1">
      <alignment horizontal="center" vertical="center"/>
    </xf>
    <xf numFmtId="164" fontId="56" fillId="36" borderId="190" xfId="5" applyNumberFormat="1" applyFont="1" applyFill="1" applyBorder="1" applyAlignment="1" applyProtection="1">
      <alignment horizontal="right" vertical="center"/>
    </xf>
    <xf numFmtId="164" fontId="58" fillId="36" borderId="190" xfId="5" applyNumberFormat="1" applyFont="1" applyFill="1" applyBorder="1" applyAlignment="1" applyProtection="1">
      <alignment vertical="center"/>
    </xf>
    <xf numFmtId="173" fontId="50" fillId="36" borderId="0" xfId="5" applyNumberFormat="1" applyFont="1" applyFill="1" applyBorder="1" applyProtection="1"/>
    <xf numFmtId="173" fontId="41" fillId="36" borderId="146" xfId="5" applyFill="1" applyBorder="1" applyProtection="1"/>
    <xf numFmtId="164" fontId="69" fillId="0" borderId="191" xfId="5" applyNumberFormat="1" applyFont="1" applyBorder="1"/>
    <xf numFmtId="173" fontId="41" fillId="0" borderId="191" xfId="5" applyBorder="1"/>
    <xf numFmtId="173" fontId="75" fillId="0" borderId="192" xfId="5" applyNumberFormat="1" applyFont="1" applyFill="1" applyBorder="1" applyAlignment="1">
      <alignment horizontal="center"/>
    </xf>
    <xf numFmtId="173" fontId="76" fillId="0" borderId="0" xfId="5" applyFont="1"/>
    <xf numFmtId="173" fontId="41" fillId="0" borderId="193" xfId="5" applyBorder="1"/>
    <xf numFmtId="173" fontId="50" fillId="0" borderId="146" xfId="5" applyNumberFormat="1" applyFont="1" applyFill="1" applyBorder="1" applyAlignment="1" applyProtection="1">
      <alignment horizontal="center"/>
    </xf>
    <xf numFmtId="164" fontId="58" fillId="0" borderId="157" xfId="5" applyNumberFormat="1" applyFont="1" applyFill="1" applyBorder="1" applyProtection="1"/>
    <xf numFmtId="173" fontId="50" fillId="0" borderId="175" xfId="5" applyNumberFormat="1" applyFont="1" applyFill="1" applyBorder="1" applyAlignment="1" applyProtection="1">
      <alignment horizontal="center"/>
    </xf>
    <xf numFmtId="173" fontId="60" fillId="0" borderId="176" xfId="5" applyNumberFormat="1" applyFont="1" applyFill="1" applyBorder="1" applyAlignment="1" applyProtection="1">
      <alignment horizontal="center" vertical="center"/>
    </xf>
    <xf numFmtId="173" fontId="55" fillId="0" borderId="150" xfId="5" applyNumberFormat="1" applyFont="1" applyFill="1" applyBorder="1" applyAlignment="1" applyProtection="1">
      <alignment horizontal="center"/>
    </xf>
    <xf numFmtId="173" fontId="55" fillId="0" borderId="194" xfId="5" applyNumberFormat="1" applyFont="1" applyFill="1" applyBorder="1" applyAlignment="1" applyProtection="1">
      <alignment horizontal="center"/>
    </xf>
    <xf numFmtId="173" fontId="52" fillId="24" borderId="146" xfId="5" applyNumberFormat="1" applyFont="1" applyFill="1" applyBorder="1" applyAlignment="1" applyProtection="1">
      <alignment vertical="center"/>
    </xf>
    <xf numFmtId="173" fontId="50" fillId="0" borderId="146" xfId="5" applyFont="1" applyFill="1" applyBorder="1" applyAlignment="1" applyProtection="1">
      <alignment vertical="center"/>
    </xf>
    <xf numFmtId="173" fontId="58" fillId="0" borderId="146" xfId="5" applyFont="1" applyFill="1" applyBorder="1" applyAlignment="1" applyProtection="1">
      <alignment vertical="center"/>
    </xf>
    <xf numFmtId="173" fontId="56" fillId="0" borderId="146" xfId="5" applyNumberFormat="1" applyFont="1" applyFill="1" applyBorder="1" applyAlignment="1" applyProtection="1">
      <alignment horizontal="center" vertical="center"/>
    </xf>
    <xf numFmtId="164" fontId="50" fillId="0" borderId="148" xfId="5" applyNumberFormat="1" applyFont="1" applyFill="1" applyBorder="1" applyAlignment="1" applyProtection="1">
      <alignment horizontal="center" vertical="center"/>
    </xf>
    <xf numFmtId="164" fontId="50" fillId="0" borderId="146" xfId="5" applyNumberFormat="1" applyFont="1" applyFill="1" applyBorder="1" applyAlignment="1" applyProtection="1">
      <alignment horizontal="center" vertical="center"/>
    </xf>
    <xf numFmtId="164" fontId="50" fillId="0" borderId="148" xfId="5" applyNumberFormat="1" applyFont="1" applyFill="1" applyBorder="1" applyAlignment="1" applyProtection="1">
      <alignment horizontal="right" vertical="center"/>
    </xf>
    <xf numFmtId="164" fontId="50" fillId="0" borderId="146" xfId="5" applyNumberFormat="1" applyFont="1" applyFill="1" applyBorder="1" applyAlignment="1" applyProtection="1">
      <alignment vertical="center"/>
    </xf>
    <xf numFmtId="164" fontId="57" fillId="0" borderId="148" xfId="5" applyNumberFormat="1" applyFont="1" applyFill="1" applyBorder="1" applyAlignment="1" applyProtection="1">
      <alignment horizontal="center" vertical="center"/>
    </xf>
    <xf numFmtId="164" fontId="50" fillId="0" borderId="146" xfId="5" applyNumberFormat="1" applyFont="1" applyBorder="1" applyProtection="1"/>
    <xf numFmtId="173" fontId="50" fillId="0" borderId="160" xfId="5" applyFont="1" applyFill="1" applyBorder="1" applyProtection="1"/>
    <xf numFmtId="49" fontId="50" fillId="0" borderId="160" xfId="5" applyNumberFormat="1" applyFont="1" applyFill="1" applyBorder="1" applyProtection="1"/>
    <xf numFmtId="169" fontId="50" fillId="0" borderId="159" xfId="5" applyNumberFormat="1" applyFont="1" applyFill="1" applyBorder="1" applyAlignment="1" applyProtection="1">
      <alignment horizontal="center"/>
    </xf>
    <xf numFmtId="173" fontId="50" fillId="0" borderId="159" xfId="5" applyNumberFormat="1" applyFont="1" applyFill="1" applyBorder="1" applyAlignment="1" applyProtection="1">
      <alignment horizontal="center"/>
    </xf>
    <xf numFmtId="164" fontId="52" fillId="0" borderId="158" xfId="5" applyNumberFormat="1" applyFont="1" applyFill="1" applyBorder="1" applyProtection="1"/>
    <xf numFmtId="173" fontId="50" fillId="0" borderId="160" xfId="5" applyNumberFormat="1" applyFont="1" applyFill="1" applyBorder="1" applyAlignment="1" applyProtection="1">
      <alignment horizontal="center"/>
    </xf>
    <xf numFmtId="173" fontId="51" fillId="0" borderId="195" xfId="5" applyNumberFormat="1" applyFont="1" applyFill="1" applyBorder="1" applyAlignment="1" applyProtection="1">
      <alignment horizontal="center" vertical="center"/>
    </xf>
    <xf numFmtId="164" fontId="50" fillId="0" borderId="160" xfId="5" applyNumberFormat="1" applyFont="1" applyBorder="1" applyProtection="1"/>
    <xf numFmtId="173" fontId="52" fillId="0" borderId="160" xfId="5" applyNumberFormat="1" applyFont="1" applyFill="1" applyBorder="1" applyAlignment="1" applyProtection="1">
      <alignment horizontal="center"/>
    </xf>
    <xf numFmtId="173" fontId="59" fillId="0" borderId="177" xfId="5" applyNumberFormat="1" applyFont="1" applyFill="1" applyBorder="1" applyAlignment="1" applyProtection="1">
      <alignment horizontal="center"/>
    </xf>
    <xf numFmtId="173" fontId="59" fillId="0" borderId="195" xfId="5" applyNumberFormat="1" applyFont="1" applyFill="1" applyBorder="1" applyAlignment="1" applyProtection="1">
      <alignment horizontal="center"/>
    </xf>
    <xf numFmtId="173" fontId="52" fillId="24" borderId="160" xfId="5" applyNumberFormat="1" applyFont="1" applyFill="1" applyBorder="1" applyAlignment="1" applyProtection="1">
      <alignment vertical="center"/>
    </xf>
    <xf numFmtId="173" fontId="50" fillId="0" borderId="160" xfId="5" applyFont="1" applyFill="1" applyBorder="1" applyAlignment="1" applyProtection="1">
      <alignment vertical="center"/>
    </xf>
    <xf numFmtId="173" fontId="56" fillId="0" borderId="196" xfId="5" applyNumberFormat="1" applyFont="1" applyFill="1" applyBorder="1" applyAlignment="1" applyProtection="1">
      <alignment horizontal="center" vertical="center"/>
    </xf>
    <xf numFmtId="164" fontId="50" fillId="0" borderId="158" xfId="5" applyNumberFormat="1" applyFont="1" applyFill="1" applyBorder="1" applyAlignment="1" applyProtection="1">
      <alignment horizontal="center" vertical="center"/>
    </xf>
    <xf numFmtId="171" fontId="50" fillId="0" borderId="160" xfId="5" applyNumberFormat="1" applyFont="1" applyFill="1" applyBorder="1" applyAlignment="1" applyProtection="1">
      <alignment horizontal="center" vertical="center"/>
    </xf>
    <xf numFmtId="164" fontId="51" fillId="0" borderId="157" xfId="5" applyNumberFormat="1" applyFont="1" applyFill="1" applyBorder="1" applyAlignment="1" applyProtection="1">
      <alignment horizontal="center" vertical="center"/>
    </xf>
    <xf numFmtId="173" fontId="50" fillId="0" borderId="0" xfId="5" applyNumberFormat="1" applyFont="1" applyFill="1" applyBorder="1" applyAlignment="1" applyProtection="1">
      <alignment horizontal="center" vertical="center"/>
    </xf>
    <xf numFmtId="173" fontId="50" fillId="0" borderId="197" xfId="5" applyNumberFormat="1" applyFont="1" applyFill="1" applyBorder="1" applyAlignment="1" applyProtection="1">
      <alignment horizontal="center" vertical="center"/>
    </xf>
    <xf numFmtId="164" fontId="57" fillId="0" borderId="158" xfId="5" applyNumberFormat="1" applyFont="1" applyFill="1" applyBorder="1" applyAlignment="1" applyProtection="1">
      <alignment horizontal="center" vertical="center"/>
    </xf>
    <xf numFmtId="164" fontId="50" fillId="0" borderId="158" xfId="5" applyNumberFormat="1" applyFont="1" applyFill="1" applyBorder="1" applyAlignment="1" applyProtection="1">
      <alignment horizontal="right" vertical="center"/>
    </xf>
    <xf numFmtId="164" fontId="50" fillId="0" borderId="160" xfId="5" applyNumberFormat="1" applyFont="1" applyFill="1" applyBorder="1" applyAlignment="1" applyProtection="1">
      <alignment vertical="center"/>
    </xf>
    <xf numFmtId="173" fontId="58" fillId="0" borderId="161" xfId="5" applyNumberFormat="1" applyFont="1" applyBorder="1" applyProtection="1"/>
    <xf numFmtId="173" fontId="41" fillId="0" borderId="160" xfId="5" applyBorder="1" applyProtection="1"/>
    <xf numFmtId="173" fontId="50" fillId="36" borderId="190" xfId="5" applyFont="1" applyFill="1" applyBorder="1" applyProtection="1"/>
    <xf numFmtId="173" fontId="50" fillId="36" borderId="190" xfId="5" applyFont="1" applyFill="1" applyBorder="1" applyAlignment="1" applyProtection="1">
      <alignment horizontal="center"/>
    </xf>
    <xf numFmtId="173" fontId="50" fillId="36" borderId="190" xfId="5" applyNumberFormat="1" applyFont="1" applyFill="1" applyBorder="1" applyProtection="1"/>
    <xf numFmtId="173" fontId="51" fillId="36" borderId="190" xfId="5" applyNumberFormat="1" applyFont="1" applyFill="1" applyBorder="1" applyAlignment="1" applyProtection="1">
      <alignment horizontal="center" vertical="center"/>
    </xf>
    <xf numFmtId="164" fontId="53" fillId="36" borderId="190" xfId="5" applyNumberFormat="1" applyFont="1" applyFill="1" applyBorder="1" applyProtection="1"/>
    <xf numFmtId="173" fontId="59" fillId="36" borderId="190" xfId="5" applyNumberFormat="1" applyFont="1" applyFill="1" applyBorder="1" applyAlignment="1" applyProtection="1">
      <alignment horizontal="center"/>
    </xf>
    <xf numFmtId="173" fontId="56" fillId="36" borderId="190" xfId="5" applyNumberFormat="1" applyFont="1" applyFill="1" applyBorder="1" applyAlignment="1" applyProtection="1">
      <alignment horizontal="center" vertical="center"/>
    </xf>
    <xf numFmtId="164" fontId="50" fillId="36" borderId="169" xfId="5" applyNumberFormat="1" applyFont="1" applyFill="1" applyBorder="1" applyProtection="1"/>
    <xf numFmtId="173" fontId="50" fillId="36" borderId="169" xfId="5" applyNumberFormat="1" applyFont="1" applyFill="1" applyBorder="1" applyProtection="1"/>
    <xf numFmtId="164" fontId="50" fillId="36" borderId="190" xfId="5" applyNumberFormat="1" applyFont="1" applyFill="1" applyBorder="1" applyAlignment="1" applyProtection="1">
      <alignment horizontal="right"/>
    </xf>
    <xf numFmtId="173" fontId="41" fillId="36" borderId="190" xfId="5" applyFill="1" applyBorder="1" applyProtection="1"/>
    <xf numFmtId="164" fontId="52" fillId="0" borderId="0" xfId="5" applyNumberFormat="1" applyFont="1" applyFill="1" applyBorder="1"/>
    <xf numFmtId="173" fontId="52" fillId="0" borderId="0" xfId="5" applyNumberFormat="1" applyFont="1" applyFill="1" applyBorder="1"/>
    <xf numFmtId="173" fontId="56" fillId="0" borderId="0" xfId="5" applyNumberFormat="1" applyFont="1" applyFill="1" applyBorder="1" applyAlignment="1">
      <alignment horizontal="center" vertical="center"/>
    </xf>
    <xf numFmtId="164" fontId="50" fillId="0" borderId="0" xfId="5" applyNumberFormat="1" applyFont="1" applyFill="1" applyBorder="1" applyAlignment="1">
      <alignment horizontal="right"/>
    </xf>
    <xf numFmtId="173" fontId="50" fillId="40" borderId="0" xfId="5" applyNumberFormat="1" applyFont="1" applyFill="1" applyBorder="1"/>
    <xf numFmtId="173" fontId="59" fillId="40" borderId="0" xfId="5" applyNumberFormat="1" applyFont="1" applyFill="1" applyBorder="1" applyAlignment="1">
      <alignment horizontal="center"/>
    </xf>
    <xf numFmtId="164" fontId="52" fillId="40" borderId="0" xfId="5" applyNumberFormat="1" applyFont="1" applyFill="1" applyBorder="1"/>
    <xf numFmtId="173" fontId="52" fillId="40" borderId="0" xfId="5" applyNumberFormat="1" applyFont="1" applyFill="1" applyBorder="1" applyAlignment="1">
      <alignment vertical="center"/>
    </xf>
    <xf numFmtId="173" fontId="50" fillId="40" borderId="0" xfId="5" applyFont="1" applyFill="1" applyBorder="1" applyAlignment="1">
      <alignment vertical="center"/>
    </xf>
    <xf numFmtId="173" fontId="41" fillId="40" borderId="0" xfId="5" applyFill="1"/>
    <xf numFmtId="173" fontId="52" fillId="40" borderId="0" xfId="5" applyNumberFormat="1" applyFont="1" applyFill="1" applyBorder="1" applyAlignment="1">
      <alignment horizontal="center"/>
    </xf>
    <xf numFmtId="173" fontId="52" fillId="40" borderId="0" xfId="5" applyNumberFormat="1" applyFont="1" applyFill="1" applyBorder="1" applyAlignment="1">
      <alignment horizontal="center" vertical="center"/>
    </xf>
    <xf numFmtId="1" fontId="50" fillId="40" borderId="0" xfId="5" applyNumberFormat="1" applyFont="1" applyFill="1" applyBorder="1" applyAlignment="1">
      <alignment horizontal="center" vertical="center"/>
    </xf>
    <xf numFmtId="1" fontId="58" fillId="40" borderId="0" xfId="5" applyNumberFormat="1" applyFont="1" applyFill="1" applyBorder="1" applyAlignment="1">
      <alignment horizontal="center" vertical="center"/>
    </xf>
    <xf numFmtId="164" fontId="50" fillId="40" borderId="0" xfId="5" applyNumberFormat="1" applyFont="1" applyFill="1" applyBorder="1" applyAlignment="1">
      <alignment horizontal="center" vertical="center"/>
    </xf>
    <xf numFmtId="164" fontId="41" fillId="0" borderId="0" xfId="5" applyNumberFormat="1" applyFont="1"/>
    <xf numFmtId="173" fontId="41" fillId="0" borderId="0" xfId="5" applyNumberFormat="1" applyFont="1" applyAlignment="1">
      <alignment horizontal="center"/>
    </xf>
    <xf numFmtId="173" fontId="41" fillId="0" borderId="0" xfId="5" applyNumberFormat="1" applyFont="1"/>
    <xf numFmtId="164" fontId="77" fillId="0" borderId="0" xfId="5" applyNumberFormat="1" applyFont="1"/>
    <xf numFmtId="173" fontId="77" fillId="0" borderId="0" xfId="5" applyNumberFormat="1" applyFont="1"/>
    <xf numFmtId="164" fontId="41" fillId="0" borderId="0" xfId="5" applyNumberFormat="1" applyAlignment="1">
      <alignment horizontal="right"/>
    </xf>
    <xf numFmtId="173" fontId="64" fillId="41" borderId="0" xfId="5" applyFont="1" applyFill="1" applyProtection="1"/>
    <xf numFmtId="173" fontId="78" fillId="41" borderId="0" xfId="5" applyFont="1" applyFill="1" applyProtection="1"/>
    <xf numFmtId="173" fontId="64" fillId="41" borderId="190" xfId="5" applyFont="1" applyFill="1" applyBorder="1" applyAlignment="1" applyProtection="1">
      <alignment horizontal="center"/>
    </xf>
    <xf numFmtId="164" fontId="64" fillId="41" borderId="190" xfId="5" applyNumberFormat="1" applyFont="1" applyFill="1" applyBorder="1" applyProtection="1"/>
    <xf numFmtId="173" fontId="64" fillId="41" borderId="190" xfId="5" applyNumberFormat="1" applyFont="1" applyFill="1" applyBorder="1" applyProtection="1"/>
    <xf numFmtId="173" fontId="64" fillId="41" borderId="190" xfId="5" applyNumberFormat="1" applyFont="1" applyFill="1" applyBorder="1" applyAlignment="1" applyProtection="1">
      <alignment horizontal="center"/>
    </xf>
    <xf numFmtId="173" fontId="64" fillId="41" borderId="190" xfId="5" applyFont="1" applyFill="1" applyBorder="1" applyProtection="1"/>
    <xf numFmtId="164" fontId="64" fillId="41" borderId="190" xfId="5" applyNumberFormat="1" applyFont="1" applyFill="1" applyBorder="1" applyAlignment="1" applyProtection="1">
      <alignment horizontal="right"/>
    </xf>
    <xf numFmtId="173" fontId="64" fillId="0" borderId="0" xfId="5" applyFont="1" applyFill="1"/>
    <xf numFmtId="173" fontId="64" fillId="0" borderId="0" xfId="5" applyFont="1" applyFill="1" applyBorder="1" applyAlignment="1">
      <alignment horizontal="center"/>
    </xf>
    <xf numFmtId="164" fontId="64" fillId="0" borderId="0" xfId="5" applyNumberFormat="1" applyFont="1" applyFill="1" applyBorder="1"/>
    <xf numFmtId="173" fontId="64" fillId="0" borderId="0" xfId="5" applyNumberFormat="1" applyFont="1" applyFill="1" applyBorder="1"/>
    <xf numFmtId="173" fontId="64" fillId="0" borderId="0" xfId="5" applyNumberFormat="1" applyFont="1" applyFill="1" applyBorder="1" applyAlignment="1">
      <alignment horizontal="center"/>
    </xf>
    <xf numFmtId="173" fontId="64" fillId="0" borderId="0" xfId="5" applyFont="1" applyFill="1" applyBorder="1"/>
    <xf numFmtId="173" fontId="41" fillId="0" borderId="123" xfId="5" applyBorder="1"/>
    <xf numFmtId="173" fontId="41" fillId="0" borderId="0" xfId="5" applyAlignment="1">
      <alignment vertical="top"/>
    </xf>
    <xf numFmtId="49" fontId="50" fillId="0" borderId="0" xfId="5" applyNumberFormat="1" applyFont="1" applyFill="1" applyBorder="1" applyAlignment="1">
      <alignment vertical="top"/>
    </xf>
    <xf numFmtId="49" fontId="50" fillId="0" borderId="0" xfId="5" applyNumberFormat="1" applyFont="1" applyFill="1" applyBorder="1" applyAlignment="1">
      <alignment horizontal="center" vertical="top"/>
    </xf>
    <xf numFmtId="49" fontId="50" fillId="0" borderId="0" xfId="5" applyNumberFormat="1" applyFont="1" applyFill="1" applyBorder="1" applyAlignment="1">
      <alignment horizontal="center" vertical="center"/>
    </xf>
    <xf numFmtId="49" fontId="50" fillId="0" borderId="0" xfId="5" applyNumberFormat="1" applyFont="1" applyFill="1" applyBorder="1" applyAlignment="1">
      <alignment horizontal="center"/>
    </xf>
    <xf numFmtId="173" fontId="50" fillId="0" borderId="0" xfId="5" applyFont="1" applyAlignment="1">
      <alignment horizontal="center"/>
    </xf>
    <xf numFmtId="173" fontId="65" fillId="0" borderId="0" xfId="5" applyFont="1"/>
    <xf numFmtId="164" fontId="65" fillId="0" borderId="0" xfId="5" applyNumberFormat="1" applyFont="1"/>
    <xf numFmtId="173" fontId="65" fillId="0" borderId="0" xfId="5" applyNumberFormat="1" applyFont="1"/>
    <xf numFmtId="1" fontId="50" fillId="0" borderId="0" xfId="5" applyNumberFormat="1" applyFont="1" applyFill="1" applyBorder="1"/>
    <xf numFmtId="173" fontId="82" fillId="44" borderId="19" xfId="6" applyFont="1" applyFill="1" applyBorder="1" applyAlignment="1">
      <alignment horizontal="center" vertical="center"/>
    </xf>
    <xf numFmtId="173" fontId="82" fillId="44" borderId="200" xfId="6" applyFont="1" applyFill="1" applyBorder="1" applyAlignment="1">
      <alignment vertical="center"/>
    </xf>
    <xf numFmtId="173" fontId="6" fillId="0" borderId="0" xfId="6"/>
    <xf numFmtId="173" fontId="82" fillId="44" borderId="0" xfId="6" applyFont="1" applyFill="1" applyBorder="1" applyAlignment="1">
      <alignment horizontal="center" vertical="center"/>
    </xf>
    <xf numFmtId="173" fontId="82" fillId="44" borderId="74" xfId="6" applyFont="1" applyFill="1" applyBorder="1" applyAlignment="1">
      <alignment vertical="center"/>
    </xf>
    <xf numFmtId="173" fontId="82" fillId="45" borderId="76" xfId="6" applyFont="1" applyFill="1" applyBorder="1"/>
    <xf numFmtId="173" fontId="82" fillId="45" borderId="0" xfId="6" applyFont="1" applyFill="1" applyBorder="1" applyAlignment="1">
      <alignment horizontal="center"/>
    </xf>
    <xf numFmtId="168" fontId="82" fillId="45" borderId="74" xfId="6" applyNumberFormat="1" applyFont="1" applyFill="1" applyBorder="1" applyAlignment="1">
      <alignment horizontal="center"/>
    </xf>
    <xf numFmtId="173" fontId="7" fillId="0" borderId="0" xfId="3" applyAlignment="1">
      <alignment horizontal="center"/>
    </xf>
    <xf numFmtId="1" fontId="82" fillId="45" borderId="74" xfId="6" applyNumberFormat="1" applyFont="1" applyFill="1" applyBorder="1" applyAlignment="1">
      <alignment horizontal="center"/>
    </xf>
    <xf numFmtId="173" fontId="7" fillId="0" borderId="0" xfId="3" applyFont="1" applyFill="1" applyAlignment="1">
      <alignment horizontal="center"/>
    </xf>
    <xf numFmtId="173" fontId="83" fillId="0" borderId="76" xfId="6" applyFont="1" applyBorder="1"/>
    <xf numFmtId="173" fontId="83" fillId="0" borderId="0" xfId="6" applyFont="1" applyFill="1" applyBorder="1" applyAlignment="1">
      <alignment horizontal="center"/>
    </xf>
    <xf numFmtId="167" fontId="83" fillId="0" borderId="0" xfId="2" applyNumberFormat="1" applyFont="1" applyFill="1" applyBorder="1"/>
    <xf numFmtId="167" fontId="83" fillId="0" borderId="74" xfId="2" applyNumberFormat="1" applyFont="1" applyFill="1" applyBorder="1"/>
    <xf numFmtId="168" fontId="83" fillId="0" borderId="74" xfId="6" applyNumberFormat="1" applyFont="1" applyBorder="1"/>
    <xf numFmtId="173" fontId="83" fillId="0" borderId="201" xfId="6" applyFont="1" applyBorder="1"/>
    <xf numFmtId="173" fontId="83" fillId="0" borderId="109" xfId="6" applyFont="1" applyFill="1" applyBorder="1" applyAlignment="1">
      <alignment horizontal="center"/>
    </xf>
    <xf numFmtId="167" fontId="83" fillId="0" borderId="109" xfId="2" applyNumberFormat="1" applyFont="1" applyFill="1" applyBorder="1"/>
    <xf numFmtId="164" fontId="85" fillId="0" borderId="109" xfId="3" applyNumberFormat="1" applyFont="1" applyBorder="1"/>
    <xf numFmtId="164" fontId="85" fillId="0" borderId="202" xfId="3" applyNumberFormat="1" applyFont="1" applyBorder="1"/>
    <xf numFmtId="168" fontId="83" fillId="0" borderId="202" xfId="6" applyNumberFormat="1" applyFont="1" applyBorder="1"/>
    <xf numFmtId="173" fontId="82" fillId="44" borderId="0" xfId="6" applyFont="1" applyFill="1" applyBorder="1" applyAlignment="1">
      <alignment vertical="center"/>
    </xf>
    <xf numFmtId="173" fontId="82" fillId="45" borderId="0" xfId="6" applyFont="1" applyFill="1" applyBorder="1" applyAlignment="1">
      <alignment horizontal="center" wrapText="1"/>
    </xf>
    <xf numFmtId="173" fontId="82" fillId="45" borderId="74" xfId="6" applyFont="1" applyFill="1" applyBorder="1" applyAlignment="1">
      <alignment horizontal="center" wrapText="1"/>
    </xf>
    <xf numFmtId="173" fontId="87" fillId="0" borderId="0" xfId="3" applyFont="1" applyFill="1"/>
    <xf numFmtId="173" fontId="40" fillId="0" borderId="0" xfId="6" applyFont="1" applyAlignment="1">
      <alignment horizontal="center"/>
    </xf>
    <xf numFmtId="167" fontId="83" fillId="0" borderId="74" xfId="6" applyNumberFormat="1" applyFont="1" applyFill="1" applyBorder="1" applyAlignment="1">
      <alignment horizontal="center"/>
    </xf>
    <xf numFmtId="167" fontId="83" fillId="0" borderId="0" xfId="6" applyNumberFormat="1" applyFont="1" applyFill="1" applyBorder="1" applyAlignment="1">
      <alignment horizontal="center"/>
    </xf>
    <xf numFmtId="167" fontId="85" fillId="0" borderId="0" xfId="2" applyNumberFormat="1" applyFont="1" applyFill="1" applyBorder="1"/>
    <xf numFmtId="164" fontId="83" fillId="0" borderId="74" xfId="6" applyNumberFormat="1" applyFont="1" applyBorder="1" applyAlignment="1">
      <alignment horizontal="right" vertical="top"/>
    </xf>
    <xf numFmtId="164" fontId="83" fillId="0" borderId="0" xfId="6" applyNumberFormat="1" applyFont="1" applyBorder="1" applyAlignment="1">
      <alignment horizontal="right" vertical="top"/>
    </xf>
    <xf numFmtId="173" fontId="8" fillId="0" borderId="0" xfId="3" applyFont="1" applyAlignment="1">
      <alignment horizontal="center"/>
    </xf>
    <xf numFmtId="173" fontId="8" fillId="0" borderId="0" xfId="3" applyFont="1" applyFill="1" applyAlignment="1">
      <alignment horizontal="center"/>
    </xf>
    <xf numFmtId="173" fontId="40" fillId="0" borderId="0" xfId="6" applyFont="1" applyFill="1" applyAlignment="1">
      <alignment horizontal="center"/>
    </xf>
    <xf numFmtId="173" fontId="88" fillId="0" borderId="76" xfId="6" applyFont="1" applyBorder="1"/>
    <xf numFmtId="167" fontId="88" fillId="0" borderId="0" xfId="2" applyNumberFormat="1" applyFont="1" applyBorder="1"/>
    <xf numFmtId="167" fontId="88" fillId="0" borderId="74" xfId="2" applyNumberFormat="1" applyFont="1" applyFill="1" applyBorder="1"/>
    <xf numFmtId="167" fontId="88" fillId="0" borderId="0" xfId="2" applyNumberFormat="1" applyFont="1" applyFill="1" applyBorder="1"/>
    <xf numFmtId="173" fontId="40" fillId="0" borderId="0" xfId="6" applyFont="1"/>
    <xf numFmtId="173" fontId="6" fillId="0" borderId="0" xfId="6" applyFill="1"/>
    <xf numFmtId="173" fontId="83" fillId="0" borderId="0" xfId="6" applyFont="1" applyFill="1" applyBorder="1"/>
    <xf numFmtId="173" fontId="83" fillId="0" borderId="74" xfId="6" applyFont="1" applyBorder="1"/>
    <xf numFmtId="173" fontId="83" fillId="0" borderId="0" xfId="6" applyFont="1" applyBorder="1"/>
    <xf numFmtId="173" fontId="6" fillId="0" borderId="0" xfId="6" applyFont="1" applyAlignment="1">
      <alignment horizontal="right"/>
    </xf>
    <xf numFmtId="167" fontId="83" fillId="0" borderId="0" xfId="2" applyNumberFormat="1" applyFont="1" applyFill="1" applyBorder="1" applyAlignment="1">
      <alignment horizontal="right"/>
    </xf>
    <xf numFmtId="167" fontId="83" fillId="0" borderId="74" xfId="2" applyNumberFormat="1" applyFont="1" applyBorder="1"/>
    <xf numFmtId="167" fontId="83" fillId="0" borderId="0" xfId="2" applyNumberFormat="1" applyFont="1" applyBorder="1"/>
    <xf numFmtId="167" fontId="6" fillId="0" borderId="0" xfId="2" applyNumberFormat="1" applyFont="1"/>
    <xf numFmtId="167" fontId="6" fillId="0" borderId="0" xfId="2" applyNumberFormat="1" applyFont="1" applyFill="1"/>
    <xf numFmtId="167" fontId="6" fillId="0" borderId="0" xfId="6" applyNumberFormat="1" applyFont="1" applyFill="1"/>
    <xf numFmtId="167" fontId="83" fillId="0" borderId="202" xfId="2" applyNumberFormat="1" applyFont="1" applyBorder="1"/>
    <xf numFmtId="173" fontId="83" fillId="0" borderId="0" xfId="6" applyFont="1"/>
    <xf numFmtId="167" fontId="83" fillId="0" borderId="0" xfId="2" applyNumberFormat="1" applyFont="1"/>
    <xf numFmtId="167" fontId="83" fillId="0" borderId="0" xfId="2" applyNumberFormat="1" applyFont="1" applyFill="1"/>
    <xf numFmtId="44" fontId="6" fillId="0" borderId="0" xfId="6" applyNumberFormat="1"/>
    <xf numFmtId="173" fontId="6" fillId="0" borderId="0" xfId="6" applyFont="1"/>
    <xf numFmtId="37" fontId="7" fillId="0" borderId="0" xfId="3" applyNumberFormat="1" applyBorder="1"/>
    <xf numFmtId="1" fontId="6" fillId="0" borderId="0" xfId="2" applyNumberFormat="1" applyFont="1"/>
    <xf numFmtId="168" fontId="6" fillId="0" borderId="0" xfId="6" applyNumberFormat="1"/>
    <xf numFmtId="167" fontId="6" fillId="0" borderId="0" xfId="6" applyNumberFormat="1"/>
    <xf numFmtId="167" fontId="40" fillId="0" borderId="0" xfId="2" applyNumberFormat="1" applyFont="1" applyAlignment="1">
      <alignment horizontal="center"/>
    </xf>
    <xf numFmtId="10" fontId="40" fillId="0" borderId="0" xfId="7" applyNumberFormat="1" applyFont="1" applyAlignment="1">
      <alignment horizontal="center"/>
    </xf>
    <xf numFmtId="9" fontId="6" fillId="0" borderId="0" xfId="7" applyFont="1" applyAlignment="1">
      <alignment horizontal="center"/>
    </xf>
    <xf numFmtId="9" fontId="6" fillId="0" borderId="0" xfId="7" applyFont="1"/>
    <xf numFmtId="167" fontId="40" fillId="0" borderId="0" xfId="2" applyNumberFormat="1" applyFont="1"/>
    <xf numFmtId="173" fontId="40" fillId="0" borderId="0" xfId="6" applyFont="1" applyAlignment="1">
      <alignment horizontal="right"/>
    </xf>
    <xf numFmtId="9" fontId="40" fillId="0" borderId="0" xfId="7" applyFont="1"/>
    <xf numFmtId="1" fontId="41" fillId="0" borderId="0" xfId="5" applyNumberFormat="1"/>
    <xf numFmtId="164" fontId="41" fillId="0" borderId="193" xfId="5" applyNumberFormat="1" applyBorder="1"/>
    <xf numFmtId="164" fontId="58" fillId="36" borderId="0" xfId="5" applyNumberFormat="1" applyFont="1" applyFill="1" applyBorder="1" applyProtection="1"/>
    <xf numFmtId="3" fontId="0" fillId="0" borderId="26" xfId="0" applyNumberFormat="1" applyFill="1" applyBorder="1"/>
    <xf numFmtId="3" fontId="0" fillId="0" borderId="0" xfId="0" applyNumberFormat="1" applyFill="1"/>
    <xf numFmtId="2" fontId="0" fillId="0" borderId="1" xfId="0" applyNumberFormat="1" applyFill="1" applyBorder="1"/>
    <xf numFmtId="2" fontId="0" fillId="0" borderId="0" xfId="0" applyNumberFormat="1" applyFill="1"/>
    <xf numFmtId="1" fontId="0" fillId="0" borderId="0" xfId="0" applyNumberFormat="1"/>
    <xf numFmtId="173" fontId="37" fillId="0" borderId="2" xfId="0" applyFont="1" applyFill="1" applyBorder="1"/>
    <xf numFmtId="10" fontId="5" fillId="0" borderId="0" xfId="7" applyNumberFormat="1" applyFont="1" applyAlignment="1">
      <alignment horizontal="center"/>
    </xf>
    <xf numFmtId="1" fontId="0" fillId="0" borderId="0" xfId="0" applyNumberFormat="1" applyAlignment="1">
      <alignment horizontal="left" indent="1"/>
    </xf>
    <xf numFmtId="173" fontId="0" fillId="0" borderId="123" xfId="0" applyBorder="1"/>
    <xf numFmtId="164" fontId="8" fillId="0" borderId="12" xfId="5" applyNumberFormat="1" applyFont="1" applyFill="1" applyBorder="1" applyAlignment="1">
      <alignment horizontal="right"/>
    </xf>
    <xf numFmtId="166" fontId="0" fillId="0" borderId="0" xfId="4" applyNumberFormat="1" applyFont="1"/>
    <xf numFmtId="173" fontId="15" fillId="0" borderId="42" xfId="0" applyFont="1" applyFill="1" applyBorder="1"/>
    <xf numFmtId="173" fontId="37" fillId="0" borderId="50" xfId="0" applyFont="1" applyBorder="1"/>
    <xf numFmtId="173" fontId="37" fillId="0" borderId="51" xfId="0" applyFont="1" applyBorder="1"/>
    <xf numFmtId="167" fontId="37" fillId="0" borderId="44" xfId="0" applyNumberFormat="1" applyFont="1" applyBorder="1"/>
    <xf numFmtId="1" fontId="37" fillId="0" borderId="50" xfId="0" applyNumberFormat="1" applyFont="1" applyBorder="1"/>
    <xf numFmtId="173" fontId="33" fillId="31" borderId="23" xfId="0" applyFont="1" applyFill="1" applyBorder="1" applyAlignment="1">
      <alignment vertical="center"/>
    </xf>
    <xf numFmtId="173" fontId="33" fillId="31" borderId="35" xfId="0" applyFont="1" applyFill="1" applyBorder="1" applyAlignment="1">
      <alignment horizontal="center" vertical="center"/>
    </xf>
    <xf numFmtId="173" fontId="37" fillId="0" borderId="48" xfId="0" applyFont="1" applyFill="1" applyBorder="1"/>
    <xf numFmtId="173" fontId="15" fillId="0" borderId="50" xfId="0" applyFont="1" applyFill="1" applyBorder="1"/>
    <xf numFmtId="167" fontId="37" fillId="0" borderId="50" xfId="2" applyNumberFormat="1" applyFont="1" applyFill="1" applyBorder="1"/>
    <xf numFmtId="167" fontId="37" fillId="0" borderId="133" xfId="2" applyNumberFormat="1" applyFont="1" applyFill="1" applyBorder="1"/>
    <xf numFmtId="167" fontId="37" fillId="0" borderId="51" xfId="2" applyNumberFormat="1" applyFont="1" applyFill="1" applyBorder="1"/>
    <xf numFmtId="173" fontId="37" fillId="0" borderId="56" xfId="0" applyFont="1" applyFill="1" applyBorder="1"/>
    <xf numFmtId="166" fontId="37" fillId="0" borderId="42" xfId="0" applyNumberFormat="1" applyFont="1" applyFill="1" applyBorder="1"/>
    <xf numFmtId="173" fontId="37" fillId="0" borderId="42" xfId="0" applyFont="1" applyFill="1" applyBorder="1"/>
    <xf numFmtId="173" fontId="37" fillId="0" borderId="91" xfId="0" applyFont="1" applyFill="1" applyBorder="1"/>
    <xf numFmtId="10" fontId="37" fillId="0" borderId="44" xfId="0" applyNumberFormat="1" applyFont="1" applyFill="1" applyBorder="1"/>
    <xf numFmtId="167" fontId="37" fillId="0" borderId="42" xfId="2" applyNumberFormat="1" applyFont="1" applyFill="1" applyBorder="1"/>
    <xf numFmtId="167" fontId="37" fillId="0" borderId="91" xfId="2" applyNumberFormat="1" applyFont="1" applyFill="1" applyBorder="1"/>
    <xf numFmtId="167" fontId="37" fillId="0" borderId="44" xfId="2" applyNumberFormat="1" applyFont="1" applyFill="1" applyBorder="1"/>
    <xf numFmtId="173" fontId="37" fillId="0" borderId="58" xfId="0" applyFont="1" applyFill="1" applyBorder="1"/>
    <xf numFmtId="173" fontId="15" fillId="0" borderId="60" xfId="0" applyFont="1" applyFill="1" applyBorder="1"/>
    <xf numFmtId="167" fontId="37" fillId="0" borderId="60" xfId="2" applyNumberFormat="1" applyFont="1" applyFill="1" applyBorder="1"/>
    <xf numFmtId="167" fontId="37" fillId="0" borderId="134" xfId="2" applyNumberFormat="1" applyFont="1" applyFill="1" applyBorder="1"/>
    <xf numFmtId="173" fontId="37" fillId="0" borderId="12" xfId="0" applyFont="1" applyFill="1" applyBorder="1"/>
    <xf numFmtId="173" fontId="37" fillId="0" borderId="67" xfId="0" applyFont="1" applyFill="1" applyBorder="1"/>
    <xf numFmtId="173" fontId="37" fillId="0" borderId="70" xfId="0" applyFont="1" applyFill="1" applyBorder="1"/>
    <xf numFmtId="173" fontId="37" fillId="0" borderId="126" xfId="0" applyFont="1" applyFill="1" applyBorder="1"/>
    <xf numFmtId="173" fontId="15" fillId="0" borderId="135" xfId="0" applyFont="1" applyFill="1" applyBorder="1"/>
    <xf numFmtId="167" fontId="37" fillId="0" borderId="135" xfId="2" applyNumberFormat="1" applyFont="1" applyFill="1" applyBorder="1"/>
    <xf numFmtId="167" fontId="37" fillId="0" borderId="136" xfId="2" applyNumberFormat="1" applyFont="1" applyFill="1" applyBorder="1"/>
    <xf numFmtId="167" fontId="37" fillId="0" borderId="137" xfId="2" applyNumberFormat="1" applyFont="1" applyFill="1" applyBorder="1"/>
    <xf numFmtId="173" fontId="37" fillId="28" borderId="33" xfId="0" applyFont="1" applyFill="1" applyBorder="1"/>
    <xf numFmtId="173" fontId="15" fillId="28" borderId="7" xfId="0" applyFont="1" applyFill="1" applyBorder="1"/>
    <xf numFmtId="164" fontId="37" fillId="28" borderId="7" xfId="0" applyNumberFormat="1" applyFont="1" applyFill="1" applyBorder="1"/>
    <xf numFmtId="164" fontId="37" fillId="28" borderId="16" xfId="0" applyNumberFormat="1" applyFont="1" applyFill="1" applyBorder="1"/>
    <xf numFmtId="164" fontId="37" fillId="28" borderId="22" xfId="0" applyNumberFormat="1" applyFont="1" applyFill="1" applyBorder="1"/>
    <xf numFmtId="173" fontId="33" fillId="31" borderId="35" xfId="0" applyFont="1" applyFill="1" applyBorder="1" applyAlignment="1">
      <alignment horizontal="center"/>
    </xf>
    <xf numFmtId="173" fontId="37" fillId="0" borderId="48" xfId="0" applyFont="1" applyBorder="1"/>
    <xf numFmtId="167" fontId="37" fillId="0" borderId="50" xfId="2" applyNumberFormat="1" applyFont="1" applyBorder="1"/>
    <xf numFmtId="167" fontId="37" fillId="0" borderId="133" xfId="2" applyNumberFormat="1" applyFont="1" applyBorder="1"/>
    <xf numFmtId="167" fontId="37" fillId="0" borderId="51" xfId="2" applyNumberFormat="1" applyFont="1" applyBorder="1"/>
    <xf numFmtId="167" fontId="37" fillId="0" borderId="135" xfId="2" applyNumberFormat="1" applyFont="1" applyBorder="1"/>
    <xf numFmtId="167" fontId="37" fillId="0" borderId="137" xfId="2" applyNumberFormat="1" applyFont="1" applyBorder="1"/>
    <xf numFmtId="173" fontId="37" fillId="28" borderId="0" xfId="0" applyFont="1" applyFill="1" applyBorder="1"/>
    <xf numFmtId="173" fontId="37" fillId="28" borderId="12" xfId="0" applyFont="1" applyFill="1" applyBorder="1"/>
    <xf numFmtId="167" fontId="37" fillId="28" borderId="12" xfId="2" applyNumberFormat="1" applyFont="1" applyFill="1" applyBorder="1"/>
    <xf numFmtId="167" fontId="37" fillId="28" borderId="12" xfId="0" applyNumberFormat="1" applyFont="1" applyFill="1" applyBorder="1"/>
    <xf numFmtId="173" fontId="37" fillId="28" borderId="67" xfId="0" applyFont="1" applyFill="1" applyBorder="1"/>
    <xf numFmtId="173" fontId="37" fillId="28" borderId="70" xfId="0" applyFont="1" applyFill="1" applyBorder="1"/>
    <xf numFmtId="173" fontId="37" fillId="28" borderId="121" xfId="0" applyFont="1" applyFill="1" applyBorder="1"/>
    <xf numFmtId="173" fontId="37" fillId="28" borderId="42" xfId="0" applyFont="1" applyFill="1" applyBorder="1"/>
    <xf numFmtId="167" fontId="37" fillId="28" borderId="42" xfId="2" applyNumberFormat="1" applyFont="1" applyFill="1" applyBorder="1"/>
    <xf numFmtId="167" fontId="37" fillId="28" borderId="42" xfId="0" applyNumberFormat="1" applyFont="1" applyFill="1" applyBorder="1"/>
    <xf numFmtId="173" fontId="37" fillId="28" borderId="44" xfId="0" applyFont="1" applyFill="1" applyBorder="1"/>
    <xf numFmtId="173" fontId="37" fillId="28" borderId="122" xfId="0" applyFont="1" applyFill="1" applyBorder="1"/>
    <xf numFmtId="173" fontId="37" fillId="28" borderId="11" xfId="0" applyFont="1" applyFill="1" applyBorder="1"/>
    <xf numFmtId="167" fontId="37" fillId="28" borderId="11" xfId="2" applyNumberFormat="1" applyFont="1" applyFill="1" applyBorder="1"/>
    <xf numFmtId="167" fontId="37" fillId="28" borderId="11" xfId="0" applyNumberFormat="1" applyFont="1" applyFill="1" applyBorder="1"/>
    <xf numFmtId="173" fontId="37" fillId="28" borderId="45" xfId="0" applyFont="1" applyFill="1" applyBorder="1"/>
    <xf numFmtId="173" fontId="37" fillId="0" borderId="133" xfId="0" applyFont="1" applyBorder="1"/>
    <xf numFmtId="173" fontId="37" fillId="0" borderId="56" xfId="0" applyFont="1" applyBorder="1"/>
    <xf numFmtId="167" fontId="37" fillId="0" borderId="42" xfId="2" applyNumberFormat="1" applyFont="1" applyBorder="1"/>
    <xf numFmtId="167" fontId="37" fillId="0" borderId="91" xfId="2" applyNumberFormat="1" applyFont="1" applyBorder="1"/>
    <xf numFmtId="167" fontId="37" fillId="0" borderId="44" xfId="2" applyNumberFormat="1" applyFont="1" applyBorder="1"/>
    <xf numFmtId="173" fontId="37" fillId="0" borderId="58" xfId="0" applyFont="1" applyBorder="1"/>
    <xf numFmtId="167" fontId="37" fillId="0" borderId="60" xfId="2" applyNumberFormat="1" applyFont="1" applyBorder="1"/>
    <xf numFmtId="167" fontId="37" fillId="0" borderId="92" xfId="2" applyNumberFormat="1" applyFont="1" applyBorder="1"/>
    <xf numFmtId="167" fontId="37" fillId="0" borderId="134" xfId="2" applyNumberFormat="1" applyFont="1" applyBorder="1"/>
    <xf numFmtId="173" fontId="37" fillId="28" borderId="78" xfId="0" applyFont="1" applyFill="1" applyBorder="1"/>
    <xf numFmtId="1" fontId="37" fillId="28" borderId="50" xfId="0" applyNumberFormat="1" applyFont="1" applyFill="1" applyBorder="1"/>
    <xf numFmtId="164" fontId="37" fillId="28" borderId="50" xfId="0" applyNumberFormat="1" applyFont="1" applyFill="1" applyBorder="1"/>
    <xf numFmtId="164" fontId="37" fillId="28" borderId="133" xfId="0" applyNumberFormat="1" applyFont="1" applyFill="1" applyBorder="1"/>
    <xf numFmtId="2" fontId="37" fillId="28" borderId="51" xfId="0" applyNumberFormat="1" applyFont="1" applyFill="1" applyBorder="1"/>
    <xf numFmtId="173" fontId="37" fillId="28" borderId="64" xfId="0" applyFont="1" applyFill="1" applyBorder="1"/>
    <xf numFmtId="164" fontId="37" fillId="28" borderId="42" xfId="0" applyNumberFormat="1" applyFont="1" applyFill="1" applyBorder="1"/>
    <xf numFmtId="164" fontId="37" fillId="28" borderId="91" xfId="0" applyNumberFormat="1" applyFont="1" applyFill="1" applyBorder="1"/>
    <xf numFmtId="164" fontId="37" fillId="28" borderId="44" xfId="0" applyNumberFormat="1" applyFont="1" applyFill="1" applyBorder="1"/>
    <xf numFmtId="173" fontId="37" fillId="28" borderId="53" xfId="0" applyFont="1" applyFill="1" applyBorder="1"/>
    <xf numFmtId="164" fontId="37" fillId="28" borderId="11" xfId="0" applyNumberFormat="1" applyFont="1" applyFill="1" applyBorder="1"/>
    <xf numFmtId="164" fontId="37" fillId="28" borderId="138" xfId="0" applyNumberFormat="1" applyFont="1" applyFill="1" applyBorder="1"/>
    <xf numFmtId="164" fontId="37" fillId="28" borderId="45" xfId="0" applyNumberFormat="1" applyFont="1" applyFill="1" applyBorder="1"/>
    <xf numFmtId="173" fontId="37" fillId="0" borderId="52" xfId="0" applyFont="1" applyBorder="1"/>
    <xf numFmtId="167" fontId="37" fillId="0" borderId="11" xfId="2" applyNumberFormat="1" applyFont="1" applyBorder="1" applyAlignment="1">
      <alignment horizontal="center"/>
    </xf>
    <xf numFmtId="167" fontId="37" fillId="0" borderId="11" xfId="2" applyNumberFormat="1" applyFont="1" applyBorder="1"/>
    <xf numFmtId="167" fontId="37" fillId="0" borderId="138" xfId="2" applyNumberFormat="1" applyFont="1" applyBorder="1"/>
    <xf numFmtId="173" fontId="37" fillId="0" borderId="45" xfId="0" applyFont="1" applyBorder="1"/>
    <xf numFmtId="173" fontId="33" fillId="31" borderId="113" xfId="0" applyFont="1" applyFill="1" applyBorder="1" applyAlignment="1">
      <alignment horizontal="center"/>
    </xf>
    <xf numFmtId="173" fontId="37" fillId="0" borderId="139" xfId="0" applyFont="1" applyBorder="1"/>
    <xf numFmtId="167" fontId="37" fillId="0" borderId="105" xfId="2" applyNumberFormat="1" applyFont="1" applyBorder="1"/>
    <xf numFmtId="44" fontId="37" fillId="0" borderId="140" xfId="2" applyFont="1" applyBorder="1"/>
    <xf numFmtId="44" fontId="37" fillId="0" borderId="42" xfId="2" applyFont="1" applyBorder="1"/>
    <xf numFmtId="44" fontId="37" fillId="0" borderId="91" xfId="2" applyFont="1" applyBorder="1"/>
    <xf numFmtId="44" fontId="37" fillId="0" borderId="44" xfId="2" applyFont="1" applyBorder="1"/>
    <xf numFmtId="44" fontId="37" fillId="0" borderId="11" xfId="2" applyFont="1" applyBorder="1"/>
    <xf numFmtId="44" fontId="37" fillId="0" borderId="138" xfId="2" applyFont="1" applyBorder="1"/>
    <xf numFmtId="44" fontId="37" fillId="0" borderId="45" xfId="2" applyFont="1" applyBorder="1"/>
    <xf numFmtId="1" fontId="37" fillId="0" borderId="51" xfId="0" applyNumberFormat="1" applyFont="1" applyBorder="1"/>
    <xf numFmtId="173" fontId="0" fillId="0" borderId="0" xfId="0" applyAlignment="1">
      <alignment horizontal="center"/>
    </xf>
    <xf numFmtId="173" fontId="0" fillId="0" borderId="1" xfId="0" applyBorder="1" applyAlignment="1">
      <alignment horizontal="center"/>
    </xf>
    <xf numFmtId="173" fontId="12" fillId="15" borderId="2" xfId="0" applyFont="1" applyFill="1" applyBorder="1" applyAlignment="1">
      <alignment horizontal="center"/>
    </xf>
    <xf numFmtId="173" fontId="0" fillId="0" borderId="0" xfId="0" applyBorder="1" applyAlignment="1">
      <alignment horizontal="center"/>
    </xf>
    <xf numFmtId="173" fontId="12" fillId="15" borderId="0" xfId="0" applyFont="1" applyFill="1" applyBorder="1" applyAlignment="1">
      <alignment horizontal="center"/>
    </xf>
    <xf numFmtId="173" fontId="0" fillId="0" borderId="1" xfId="0" applyBorder="1" applyAlignment="1"/>
    <xf numFmtId="173" fontId="12" fillId="15" borderId="33" xfId="0" applyFont="1" applyFill="1" applyBorder="1" applyAlignment="1">
      <alignment horizontal="center"/>
    </xf>
    <xf numFmtId="173" fontId="12" fillId="15" borderId="18" xfId="0" applyFont="1" applyFill="1" applyBorder="1" applyAlignment="1">
      <alignment horizontal="center"/>
    </xf>
    <xf numFmtId="173" fontId="0" fillId="0" borderId="34" xfId="0" applyBorder="1" applyAlignment="1"/>
    <xf numFmtId="1" fontId="33" fillId="31" borderId="6" xfId="0" applyNumberFormat="1" applyFont="1" applyFill="1" applyBorder="1" applyAlignment="1">
      <alignment horizontal="center" vertical="center"/>
    </xf>
    <xf numFmtId="1" fontId="33" fillId="31" borderId="8" xfId="0" applyNumberFormat="1" applyFont="1" applyFill="1" applyBorder="1" applyAlignment="1">
      <alignment horizontal="center" vertical="center"/>
    </xf>
    <xf numFmtId="1" fontId="33" fillId="31" borderId="6" xfId="0" applyNumberFormat="1" applyFont="1" applyFill="1" applyBorder="1" applyAlignment="1">
      <alignment horizontal="center"/>
    </xf>
    <xf numFmtId="1" fontId="33" fillId="31" borderId="8" xfId="0" applyNumberFormat="1" applyFont="1" applyFill="1" applyBorder="1" applyAlignment="1">
      <alignment horizontal="center"/>
    </xf>
    <xf numFmtId="1" fontId="33" fillId="31" borderId="112" xfId="0" applyNumberFormat="1" applyFont="1" applyFill="1" applyBorder="1" applyAlignment="1">
      <alignment horizontal="center"/>
    </xf>
    <xf numFmtId="1" fontId="33" fillId="31" borderId="114" xfId="0" applyNumberFormat="1" applyFont="1" applyFill="1" applyBorder="1" applyAlignment="1">
      <alignment horizontal="center"/>
    </xf>
    <xf numFmtId="167" fontId="37" fillId="28" borderId="7" xfId="2" applyNumberFormat="1" applyFont="1" applyFill="1" applyBorder="1"/>
    <xf numFmtId="1" fontId="8" fillId="3" borderId="0" xfId="0" applyNumberFormat="1" applyFont="1" applyFill="1" applyAlignment="1">
      <alignment horizontal="center"/>
    </xf>
    <xf numFmtId="1" fontId="8" fillId="3" borderId="78" xfId="0" applyNumberFormat="1" applyFont="1" applyFill="1" applyBorder="1" applyAlignment="1">
      <alignment horizontal="center"/>
    </xf>
    <xf numFmtId="1" fontId="8" fillId="3" borderId="100" xfId="0" applyNumberFormat="1" applyFont="1" applyFill="1" applyBorder="1" applyAlignment="1">
      <alignment horizontal="center"/>
    </xf>
    <xf numFmtId="1" fontId="8" fillId="0" borderId="2" xfId="0" applyNumberFormat="1" applyFont="1" applyFill="1" applyBorder="1" applyAlignment="1">
      <alignment horizontal="center"/>
    </xf>
    <xf numFmtId="1" fontId="0" fillId="0" borderId="26" xfId="0" applyNumberFormat="1" applyFill="1" applyBorder="1"/>
    <xf numFmtId="1" fontId="0" fillId="0" borderId="0" xfId="0" applyNumberFormat="1" applyFill="1"/>
    <xf numFmtId="1" fontId="0" fillId="0" borderId="1" xfId="0" applyNumberFormat="1" applyFill="1" applyBorder="1"/>
    <xf numFmtId="1" fontId="0" fillId="0" borderId="0" xfId="0" applyNumberFormat="1" applyFill="1" applyBorder="1"/>
    <xf numFmtId="1" fontId="8" fillId="0" borderId="26" xfId="0" applyNumberFormat="1" applyFont="1" applyFill="1" applyBorder="1" applyAlignment="1">
      <alignment horizontal="center" vertical="center"/>
    </xf>
    <xf numFmtId="1" fontId="0" fillId="0" borderId="26" xfId="0" applyNumberFormat="1" applyFill="1" applyBorder="1" applyAlignment="1">
      <alignment horizontal="center"/>
    </xf>
    <xf numFmtId="1" fontId="0" fillId="0" borderId="0" xfId="0" applyNumberFormat="1" applyFill="1" applyAlignment="1">
      <alignment horizontal="center"/>
    </xf>
    <xf numFmtId="1" fontId="0" fillId="0" borderId="1" xfId="0" applyNumberFormat="1" applyFill="1" applyBorder="1" applyAlignment="1">
      <alignment horizontal="center"/>
    </xf>
    <xf numFmtId="1" fontId="8" fillId="0" borderId="26" xfId="0" applyNumberFormat="1" applyFont="1" applyFill="1" applyBorder="1" applyAlignment="1">
      <alignment horizontal="center"/>
    </xf>
    <xf numFmtId="1" fontId="8" fillId="0" borderId="0" xfId="0" applyNumberFormat="1" applyFont="1" applyFill="1" applyAlignment="1">
      <alignment horizontal="center"/>
    </xf>
    <xf numFmtId="1" fontId="8" fillId="0" borderId="1" xfId="0" applyNumberFormat="1" applyFont="1" applyFill="1" applyBorder="1" applyAlignment="1">
      <alignment horizontal="center"/>
    </xf>
    <xf numFmtId="1" fontId="8" fillId="0" borderId="0" xfId="0" applyNumberFormat="1" applyFont="1" applyFill="1" applyBorder="1" applyAlignment="1">
      <alignment horizontal="center"/>
    </xf>
    <xf numFmtId="1" fontId="8" fillId="19" borderId="2" xfId="0" applyNumberFormat="1" applyFont="1" applyFill="1" applyBorder="1" applyAlignment="1">
      <alignment horizontal="center"/>
    </xf>
    <xf numFmtId="1" fontId="8" fillId="19" borderId="26" xfId="0" applyNumberFormat="1" applyFont="1" applyFill="1" applyBorder="1" applyAlignment="1">
      <alignment horizontal="center"/>
    </xf>
    <xf numFmtId="1" fontId="8" fillId="19" borderId="0" xfId="0" applyNumberFormat="1" applyFont="1" applyFill="1" applyAlignment="1">
      <alignment horizontal="center"/>
    </xf>
    <xf numFmtId="1" fontId="8" fillId="19" borderId="1" xfId="0" applyNumberFormat="1" applyFont="1" applyFill="1" applyBorder="1" applyAlignment="1">
      <alignment horizontal="center"/>
    </xf>
    <xf numFmtId="1" fontId="8" fillId="19" borderId="0" xfId="0" applyNumberFormat="1" applyFont="1" applyFill="1" applyBorder="1" applyAlignment="1">
      <alignment horizontal="center"/>
    </xf>
    <xf numFmtId="1" fontId="0" fillId="0" borderId="0" xfId="0" applyNumberFormat="1" applyBorder="1" applyAlignment="1">
      <alignment horizontal="center"/>
    </xf>
    <xf numFmtId="1" fontId="0" fillId="0" borderId="26" xfId="0" applyNumberFormat="1" applyBorder="1" applyAlignment="1">
      <alignment horizontal="center"/>
    </xf>
    <xf numFmtId="1" fontId="7" fillId="19" borderId="2" xfId="0" applyNumberFormat="1" applyFont="1" applyFill="1" applyBorder="1" applyAlignment="1">
      <alignment horizontal="center"/>
    </xf>
    <xf numFmtId="1" fontId="7" fillId="19" borderId="0" xfId="0" applyNumberFormat="1" applyFont="1" applyFill="1" applyAlignment="1">
      <alignment horizontal="center"/>
    </xf>
    <xf numFmtId="1" fontId="7" fillId="19" borderId="1" xfId="0" applyNumberFormat="1" applyFont="1" applyFill="1" applyBorder="1" applyAlignment="1">
      <alignment horizontal="center"/>
    </xf>
    <xf numFmtId="1" fontId="7" fillId="19" borderId="0" xfId="0" applyNumberFormat="1" applyFont="1" applyFill="1" applyBorder="1" applyAlignment="1">
      <alignment horizontal="center"/>
    </xf>
    <xf numFmtId="1" fontId="7" fillId="19" borderId="26" xfId="0" applyNumberFormat="1" applyFont="1" applyFill="1" applyBorder="1" applyAlignment="1">
      <alignment horizontal="center"/>
    </xf>
    <xf numFmtId="1" fontId="7" fillId="0" borderId="2" xfId="0" applyNumberFormat="1" applyFont="1" applyFill="1" applyBorder="1" applyAlignment="1">
      <alignment horizontal="center"/>
    </xf>
    <xf numFmtId="1" fontId="7" fillId="0" borderId="0" xfId="0" applyNumberFormat="1" applyFont="1" applyFill="1" applyBorder="1" applyAlignment="1">
      <alignment horizontal="center"/>
    </xf>
    <xf numFmtId="1" fontId="11" fillId="0" borderId="2" xfId="0" applyNumberFormat="1" applyFont="1" applyFill="1" applyBorder="1" applyAlignment="1">
      <alignment horizontal="center"/>
    </xf>
    <xf numFmtId="1" fontId="27" fillId="0" borderId="26" xfId="0" applyNumberFormat="1" applyFont="1" applyFill="1" applyBorder="1" applyAlignment="1">
      <alignment horizontal="center"/>
    </xf>
    <xf numFmtId="1" fontId="11" fillId="0" borderId="0" xfId="0" applyNumberFormat="1" applyFont="1" applyFill="1" applyBorder="1" applyAlignment="1">
      <alignment horizontal="center"/>
    </xf>
    <xf numFmtId="1" fontId="11" fillId="0" borderId="0" xfId="0" applyNumberFormat="1" applyFont="1" applyFill="1"/>
    <xf numFmtId="1" fontId="11" fillId="0" borderId="1" xfId="0" applyNumberFormat="1" applyFont="1" applyFill="1" applyBorder="1" applyAlignment="1">
      <alignment horizontal="center"/>
    </xf>
    <xf numFmtId="1" fontId="11" fillId="0" borderId="26" xfId="0" applyNumberFormat="1" applyFont="1" applyFill="1" applyBorder="1" applyAlignment="1">
      <alignment horizontal="center"/>
    </xf>
    <xf numFmtId="1" fontId="8" fillId="24" borderId="0" xfId="0" applyNumberFormat="1" applyFont="1" applyFill="1" applyBorder="1" applyAlignment="1">
      <alignment horizontal="center"/>
    </xf>
    <xf numFmtId="1" fontId="8" fillId="24" borderId="26" xfId="0" applyNumberFormat="1" applyFont="1" applyFill="1" applyBorder="1" applyAlignment="1">
      <alignment horizontal="center"/>
    </xf>
    <xf numFmtId="1" fontId="8" fillId="24" borderId="0" xfId="0" applyNumberFormat="1" applyFont="1" applyFill="1" applyAlignment="1">
      <alignment horizontal="center"/>
    </xf>
    <xf numFmtId="1" fontId="8" fillId="24" borderId="1" xfId="0" applyNumberFormat="1" applyFont="1" applyFill="1" applyBorder="1" applyAlignment="1">
      <alignment horizontal="center"/>
    </xf>
    <xf numFmtId="1" fontId="0" fillId="24" borderId="26" xfId="0" applyNumberFormat="1" applyFill="1" applyBorder="1" applyAlignment="1">
      <alignment horizontal="center"/>
    </xf>
    <xf numFmtId="1" fontId="11" fillId="0" borderId="0" xfId="0" applyNumberFormat="1" applyFont="1" applyFill="1" applyAlignment="1">
      <alignment horizontal="center"/>
    </xf>
    <xf numFmtId="1" fontId="7" fillId="0" borderId="0" xfId="0" applyNumberFormat="1" applyFont="1" applyFill="1"/>
    <xf numFmtId="1" fontId="7" fillId="0" borderId="0" xfId="0" applyNumberFormat="1" applyFont="1" applyFill="1" applyAlignment="1">
      <alignment horizontal="center"/>
    </xf>
    <xf numFmtId="1" fontId="7" fillId="0" borderId="1" xfId="0" applyNumberFormat="1" applyFont="1" applyFill="1" applyBorder="1" applyAlignment="1">
      <alignment horizontal="center"/>
    </xf>
    <xf numFmtId="1" fontId="7" fillId="0" borderId="26" xfId="0" applyNumberFormat="1" applyFont="1" applyFill="1" applyBorder="1" applyAlignment="1">
      <alignment horizontal="center"/>
    </xf>
    <xf numFmtId="1" fontId="7" fillId="24" borderId="26" xfId="0" applyNumberFormat="1" applyFont="1" applyFill="1" applyBorder="1" applyAlignment="1">
      <alignment horizontal="center"/>
    </xf>
    <xf numFmtId="1" fontId="8" fillId="25" borderId="0" xfId="0" applyNumberFormat="1" applyFont="1" applyFill="1" applyBorder="1" applyAlignment="1">
      <alignment horizontal="center"/>
    </xf>
    <xf numFmtId="1" fontId="8" fillId="25" borderId="26" xfId="0" applyNumberFormat="1" applyFont="1" applyFill="1" applyBorder="1" applyAlignment="1">
      <alignment horizontal="center"/>
    </xf>
    <xf numFmtId="1" fontId="8" fillId="25" borderId="0" xfId="0" applyNumberFormat="1" applyFont="1" applyFill="1" applyAlignment="1">
      <alignment horizontal="center"/>
    </xf>
    <xf numFmtId="1" fontId="8" fillId="25" borderId="1" xfId="0" applyNumberFormat="1" applyFont="1" applyFill="1" applyBorder="1" applyAlignment="1">
      <alignment horizontal="center"/>
    </xf>
    <xf numFmtId="1" fontId="7" fillId="25" borderId="26" xfId="0" applyNumberFormat="1" applyFont="1" applyFill="1" applyBorder="1" applyAlignment="1">
      <alignment horizontal="center"/>
    </xf>
    <xf numFmtId="1" fontId="8" fillId="0" borderId="0" xfId="4" applyNumberFormat="1" applyFont="1" applyFill="1" applyBorder="1" applyAlignment="1">
      <alignment horizontal="center"/>
    </xf>
    <xf numFmtId="1" fontId="8" fillId="0" borderId="26" xfId="4" applyNumberFormat="1" applyFont="1" applyFill="1" applyBorder="1" applyAlignment="1">
      <alignment horizontal="center"/>
    </xf>
    <xf numFmtId="1" fontId="8" fillId="0" borderId="0" xfId="4" applyNumberFormat="1" applyFont="1" applyFill="1" applyAlignment="1">
      <alignment horizontal="center"/>
    </xf>
    <xf numFmtId="1" fontId="8" fillId="0" borderId="1" xfId="4" applyNumberFormat="1" applyFont="1" applyFill="1" applyBorder="1" applyAlignment="1">
      <alignment horizontal="center"/>
    </xf>
    <xf numFmtId="1" fontId="7" fillId="0" borderId="26" xfId="4" applyNumberFormat="1" applyFont="1" applyFill="1" applyBorder="1" applyAlignment="1">
      <alignment horizontal="center"/>
    </xf>
    <xf numFmtId="1" fontId="27" fillId="0" borderId="0" xfId="0" applyNumberFormat="1" applyFont="1" applyFill="1" applyBorder="1" applyAlignment="1">
      <alignment horizontal="center"/>
    </xf>
    <xf numFmtId="1" fontId="27" fillId="0" borderId="0" xfId="0" applyNumberFormat="1" applyFont="1" applyFill="1" applyAlignment="1">
      <alignment horizontal="center"/>
    </xf>
    <xf numFmtId="1" fontId="27" fillId="0" borderId="1" xfId="0" applyNumberFormat="1" applyFont="1" applyFill="1" applyBorder="1" applyAlignment="1">
      <alignment horizontal="center"/>
    </xf>
    <xf numFmtId="1" fontId="11" fillId="34" borderId="26" xfId="0" applyNumberFormat="1" applyFont="1" applyFill="1" applyBorder="1" applyAlignment="1">
      <alignment horizontal="center"/>
    </xf>
    <xf numFmtId="1" fontId="11" fillId="34" borderId="0" xfId="0" applyNumberFormat="1" applyFont="1" applyFill="1" applyAlignment="1">
      <alignment horizontal="center"/>
    </xf>
    <xf numFmtId="1" fontId="11" fillId="34" borderId="0" xfId="0" applyNumberFormat="1" applyFont="1" applyFill="1" applyBorder="1" applyAlignment="1">
      <alignment horizontal="center"/>
    </xf>
    <xf numFmtId="1" fontId="11" fillId="34" borderId="1" xfId="0" applyNumberFormat="1" applyFont="1" applyFill="1" applyBorder="1" applyAlignment="1">
      <alignment horizontal="center"/>
    </xf>
    <xf numFmtId="1" fontId="8" fillId="30" borderId="0" xfId="0" applyNumberFormat="1" applyFont="1" applyFill="1" applyBorder="1" applyAlignment="1">
      <alignment horizontal="center"/>
    </xf>
    <xf numFmtId="1" fontId="8" fillId="30" borderId="26" xfId="0" applyNumberFormat="1" applyFont="1" applyFill="1" applyBorder="1" applyAlignment="1">
      <alignment horizontal="center"/>
    </xf>
    <xf numFmtId="1" fontId="8" fillId="30" borderId="0" xfId="0" applyNumberFormat="1" applyFont="1" applyFill="1" applyAlignment="1">
      <alignment horizontal="center"/>
    </xf>
    <xf numFmtId="1" fontId="8" fillId="30" borderId="1" xfId="0" applyNumberFormat="1" applyFont="1" applyFill="1" applyBorder="1" applyAlignment="1">
      <alignment horizontal="center"/>
    </xf>
    <xf numFmtId="1" fontId="0" fillId="0" borderId="2" xfId="0" applyNumberFormat="1" applyBorder="1" applyAlignment="1">
      <alignment horizontal="center"/>
    </xf>
    <xf numFmtId="1" fontId="10" fillId="0" borderId="0" xfId="0" applyNumberFormat="1" applyFont="1" applyAlignment="1">
      <alignment horizontal="center"/>
    </xf>
    <xf numFmtId="1" fontId="0" fillId="0" borderId="1" xfId="0" applyNumberFormat="1" applyBorder="1" applyAlignment="1">
      <alignment horizontal="center"/>
    </xf>
    <xf numFmtId="1" fontId="0" fillId="0" borderId="26" xfId="0" applyNumberFormat="1" applyBorder="1"/>
    <xf numFmtId="1" fontId="8" fillId="0" borderId="0" xfId="0" applyNumberFormat="1" applyFont="1" applyAlignment="1">
      <alignment horizontal="center"/>
    </xf>
    <xf numFmtId="1" fontId="12" fillId="15" borderId="0" xfId="0" applyNumberFormat="1" applyFont="1" applyFill="1" applyBorder="1" applyAlignment="1">
      <alignment horizontal="center"/>
    </xf>
    <xf numFmtId="1" fontId="12" fillId="15" borderId="18" xfId="0" applyNumberFormat="1" applyFont="1" applyFill="1" applyBorder="1" applyAlignment="1">
      <alignment horizontal="center"/>
    </xf>
    <xf numFmtId="1" fontId="8" fillId="3" borderId="17" xfId="0" applyNumberFormat="1" applyFont="1" applyFill="1" applyBorder="1" applyAlignment="1">
      <alignment horizontal="center"/>
    </xf>
    <xf numFmtId="1" fontId="8" fillId="3" borderId="1" xfId="0" applyNumberFormat="1" applyFont="1" applyFill="1" applyBorder="1" applyAlignment="1">
      <alignment horizontal="center"/>
    </xf>
    <xf numFmtId="1" fontId="8" fillId="3" borderId="34" xfId="0" applyNumberFormat="1" applyFont="1" applyFill="1" applyBorder="1" applyAlignment="1">
      <alignment horizontal="center"/>
    </xf>
    <xf numFmtId="1" fontId="0" fillId="19" borderId="1" xfId="0" applyNumberFormat="1" applyFill="1" applyBorder="1" applyAlignment="1">
      <alignment horizontal="center"/>
    </xf>
    <xf numFmtId="1" fontId="0" fillId="24" borderId="1" xfId="0" applyNumberFormat="1" applyFill="1" applyBorder="1" applyAlignment="1">
      <alignment horizontal="center"/>
    </xf>
    <xf numFmtId="1" fontId="7" fillId="24" borderId="1" xfId="0" applyNumberFormat="1" applyFont="1" applyFill="1" applyBorder="1" applyAlignment="1">
      <alignment horizontal="center"/>
    </xf>
    <xf numFmtId="1" fontId="7" fillId="25" borderId="1" xfId="0" applyNumberFormat="1" applyFont="1" applyFill="1" applyBorder="1" applyAlignment="1">
      <alignment horizontal="center"/>
    </xf>
    <xf numFmtId="1" fontId="7" fillId="0" borderId="1" xfId="0" applyNumberFormat="1" applyFont="1" applyFill="1" applyBorder="1"/>
    <xf numFmtId="1" fontId="7" fillId="30" borderId="0" xfId="0" applyNumberFormat="1" applyFont="1" applyFill="1" applyBorder="1" applyAlignment="1">
      <alignment horizontal="center"/>
    </xf>
    <xf numFmtId="1" fontId="0" fillId="0" borderId="0" xfId="1" applyNumberFormat="1" applyFont="1" applyAlignment="1">
      <alignment horizontal="center"/>
    </xf>
    <xf numFmtId="1" fontId="0" fillId="19" borderId="0" xfId="0" applyNumberFormat="1" applyFill="1"/>
    <xf numFmtId="1" fontId="0" fillId="24" borderId="0" xfId="0" applyNumberFormat="1" applyFill="1"/>
    <xf numFmtId="1" fontId="0" fillId="25" borderId="0" xfId="0" applyNumberFormat="1" applyFill="1"/>
    <xf numFmtId="1" fontId="0" fillId="30" borderId="0" xfId="0" applyNumberFormat="1" applyFill="1" applyBorder="1"/>
    <xf numFmtId="1" fontId="0" fillId="4" borderId="42" xfId="0" applyNumberFormat="1" applyFill="1" applyBorder="1"/>
    <xf numFmtId="1" fontId="0" fillId="4" borderId="11" xfId="0" applyNumberFormat="1" applyFill="1" applyBorder="1"/>
    <xf numFmtId="1" fontId="0" fillId="4" borderId="28" xfId="0" applyNumberFormat="1" applyFill="1" applyBorder="1"/>
    <xf numFmtId="1" fontId="0" fillId="5" borderId="41" xfId="0" applyNumberFormat="1" applyFill="1" applyBorder="1" applyAlignment="1">
      <alignment horizontal="center"/>
    </xf>
    <xf numFmtId="1" fontId="0" fillId="5" borderId="42" xfId="0" applyNumberFormat="1" applyFill="1" applyBorder="1" applyAlignment="1">
      <alignment horizontal="center"/>
    </xf>
    <xf numFmtId="1" fontId="0" fillId="5" borderId="11" xfId="0" applyNumberFormat="1" applyFill="1" applyBorder="1" applyAlignment="1">
      <alignment horizontal="center"/>
    </xf>
    <xf numFmtId="1" fontId="0" fillId="4" borderId="28" xfId="0" applyNumberFormat="1" applyFill="1" applyBorder="1" applyAlignment="1">
      <alignment horizontal="center"/>
    </xf>
    <xf numFmtId="1" fontId="0" fillId="4" borderId="41" xfId="0" applyNumberFormat="1" applyFill="1" applyBorder="1" applyAlignment="1">
      <alignment horizontal="center"/>
    </xf>
    <xf numFmtId="1" fontId="0" fillId="4" borderId="60" xfId="0" applyNumberFormat="1" applyFill="1" applyBorder="1" applyAlignment="1">
      <alignment horizontal="center"/>
    </xf>
    <xf numFmtId="1" fontId="0" fillId="4" borderId="42" xfId="0" applyNumberFormat="1" applyFill="1" applyBorder="1" applyAlignment="1">
      <alignment horizontal="center"/>
    </xf>
    <xf numFmtId="1" fontId="0" fillId="4" borderId="11" xfId="0" applyNumberFormat="1" applyFill="1" applyBorder="1" applyAlignment="1">
      <alignment horizontal="center"/>
    </xf>
    <xf numFmtId="1" fontId="8" fillId="0" borderId="0" xfId="0" applyNumberFormat="1" applyFont="1"/>
    <xf numFmtId="2" fontId="7" fillId="0" borderId="0" xfId="0" applyNumberFormat="1" applyFont="1"/>
    <xf numFmtId="166" fontId="37" fillId="0" borderId="91" xfId="0" applyNumberFormat="1" applyFont="1" applyFill="1" applyBorder="1"/>
    <xf numFmtId="167" fontId="37" fillId="0" borderId="92" xfId="2" applyNumberFormat="1" applyFont="1" applyFill="1" applyBorder="1"/>
    <xf numFmtId="173" fontId="37" fillId="28" borderId="91" xfId="0" applyFont="1" applyFill="1" applyBorder="1"/>
    <xf numFmtId="173" fontId="37" fillId="28" borderId="138" xfId="0" applyFont="1" applyFill="1" applyBorder="1"/>
    <xf numFmtId="167" fontId="37" fillId="0" borderId="106" xfId="2" applyNumberFormat="1" applyFont="1" applyBorder="1"/>
    <xf numFmtId="173" fontId="33" fillId="31" borderId="23" xfId="0" applyFont="1" applyFill="1" applyBorder="1" applyAlignment="1">
      <alignment wrapText="1"/>
    </xf>
    <xf numFmtId="173" fontId="33" fillId="31" borderId="36" xfId="0" applyFont="1" applyFill="1" applyBorder="1" applyAlignment="1">
      <alignment wrapText="1"/>
    </xf>
    <xf numFmtId="173" fontId="37" fillId="0" borderId="126" xfId="0" applyFont="1" applyBorder="1" applyAlignment="1">
      <alignment wrapText="1"/>
    </xf>
    <xf numFmtId="167" fontId="37" fillId="17" borderId="42" xfId="2" applyNumberFormat="1" applyFont="1" applyFill="1" applyBorder="1"/>
    <xf numFmtId="10" fontId="0" fillId="0" borderId="0" xfId="0" applyNumberFormat="1" applyFill="1" applyBorder="1" applyAlignment="1"/>
    <xf numFmtId="173" fontId="0" fillId="0" borderId="0" xfId="0" applyFill="1" applyBorder="1" applyAlignment="1"/>
    <xf numFmtId="173" fontId="33" fillId="28" borderId="13" xfId="0" applyFont="1" applyFill="1" applyBorder="1"/>
    <xf numFmtId="173" fontId="0" fillId="28" borderId="14" xfId="0" applyFill="1" applyBorder="1"/>
    <xf numFmtId="173" fontId="0" fillId="28" borderId="15" xfId="0" applyFill="1" applyBorder="1"/>
    <xf numFmtId="173" fontId="0" fillId="28" borderId="86" xfId="0" applyFill="1" applyBorder="1"/>
    <xf numFmtId="173" fontId="33" fillId="31" borderId="83" xfId="0" applyFont="1" applyFill="1" applyBorder="1" applyAlignment="1">
      <alignment horizontal="center" vertical="center"/>
    </xf>
    <xf numFmtId="173" fontId="33" fillId="31" borderId="94" xfId="0" applyFont="1" applyFill="1" applyBorder="1" applyAlignment="1">
      <alignment horizontal="center" vertical="center"/>
    </xf>
    <xf numFmtId="173" fontId="0" fillId="28" borderId="90" xfId="0" applyFill="1" applyBorder="1"/>
    <xf numFmtId="173" fontId="33" fillId="31" borderId="45" xfId="0" applyFont="1" applyFill="1" applyBorder="1" applyAlignment="1">
      <alignment horizontal="center" vertical="center"/>
    </xf>
    <xf numFmtId="173" fontId="15" fillId="0" borderId="54" xfId="0" applyFont="1" applyBorder="1" applyAlignment="1">
      <alignment horizontal="right"/>
    </xf>
    <xf numFmtId="173" fontId="15" fillId="0" borderId="56" xfId="0" applyFont="1" applyBorder="1"/>
    <xf numFmtId="173" fontId="15" fillId="0" borderId="52" xfId="0" applyFont="1" applyBorder="1"/>
    <xf numFmtId="173" fontId="15" fillId="0" borderId="54" xfId="0" applyFont="1" applyBorder="1"/>
    <xf numFmtId="167" fontId="0" fillId="0" borderId="93" xfId="2" applyNumberFormat="1" applyFont="1" applyBorder="1"/>
    <xf numFmtId="167" fontId="0" fillId="0" borderId="99" xfId="2" applyNumberFormat="1" applyFont="1" applyBorder="1"/>
    <xf numFmtId="167" fontId="0" fillId="0" borderId="87" xfId="2" applyNumberFormat="1" applyFont="1" applyBorder="1"/>
    <xf numFmtId="1" fontId="0" fillId="0" borderId="172" xfId="0" applyNumberFormat="1" applyBorder="1"/>
    <xf numFmtId="1" fontId="0" fillId="0" borderId="85" xfId="0" applyNumberFormat="1" applyBorder="1"/>
    <xf numFmtId="1" fontId="0" fillId="0" borderId="88" xfId="0" applyNumberFormat="1" applyBorder="1"/>
    <xf numFmtId="167" fontId="0" fillId="0" borderId="172" xfId="2" applyNumberFormat="1" applyFont="1" applyBorder="1"/>
    <xf numFmtId="167" fontId="0" fillId="0" borderId="85" xfId="2" applyNumberFormat="1" applyFont="1" applyBorder="1"/>
    <xf numFmtId="167" fontId="0" fillId="0" borderId="88" xfId="2" applyNumberFormat="1" applyFont="1" applyBorder="1"/>
    <xf numFmtId="167" fontId="0" fillId="0" borderId="94" xfId="2" applyNumberFormat="1" applyFont="1" applyBorder="1"/>
    <xf numFmtId="167" fontId="0" fillId="0" borderId="89" xfId="2" applyNumberFormat="1" applyFont="1" applyBorder="1"/>
    <xf numFmtId="0" fontId="4" fillId="0" borderId="0" xfId="8"/>
    <xf numFmtId="0" fontId="4" fillId="0" borderId="0" xfId="8" applyBorder="1"/>
    <xf numFmtId="167" fontId="23" fillId="19" borderId="42" xfId="10" applyNumberFormat="1" applyFont="1" applyFill="1" applyBorder="1" applyAlignment="1">
      <alignment horizontal="center"/>
    </xf>
    <xf numFmtId="0" fontId="4" fillId="0" borderId="0" xfId="8" applyFill="1" applyBorder="1"/>
    <xf numFmtId="9" fontId="4" fillId="0" borderId="0" xfId="8" applyNumberFormat="1" applyFill="1" applyBorder="1"/>
    <xf numFmtId="0" fontId="4" fillId="0" borderId="0" xfId="8" applyFill="1"/>
    <xf numFmtId="164" fontId="4" fillId="0" borderId="0" xfId="8" applyNumberFormat="1" applyFill="1"/>
    <xf numFmtId="167" fontId="23" fillId="24" borderId="42" xfId="10" applyNumberFormat="1" applyFont="1" applyFill="1" applyBorder="1" applyAlignment="1">
      <alignment horizontal="center"/>
    </xf>
    <xf numFmtId="167" fontId="23" fillId="25" borderId="42" xfId="10" applyNumberFormat="1" applyFont="1" applyFill="1" applyBorder="1" applyAlignment="1">
      <alignment horizontal="center"/>
    </xf>
    <xf numFmtId="0" fontId="23" fillId="25" borderId="56" xfId="8" applyFont="1" applyFill="1" applyBorder="1"/>
    <xf numFmtId="164" fontId="4" fillId="0" borderId="0" xfId="8" applyNumberFormat="1" applyFill="1" applyBorder="1"/>
    <xf numFmtId="167" fontId="23" fillId="30" borderId="42" xfId="10" applyNumberFormat="1" applyFont="1" applyFill="1" applyBorder="1" applyAlignment="1">
      <alignment horizontal="center"/>
    </xf>
    <xf numFmtId="0" fontId="23" fillId="30" borderId="56" xfId="8" applyFont="1" applyFill="1" applyBorder="1"/>
    <xf numFmtId="167" fontId="0" fillId="0" borderId="94" xfId="2" applyNumberFormat="1" applyFont="1" applyFill="1" applyBorder="1"/>
    <xf numFmtId="167" fontId="0" fillId="0" borderId="93" xfId="2" applyNumberFormat="1" applyFont="1" applyFill="1" applyBorder="1"/>
    <xf numFmtId="167" fontId="7" fillId="0" borderId="99" xfId="2" applyNumberFormat="1" applyFont="1" applyFill="1" applyBorder="1" applyAlignment="1">
      <alignment horizontal="center"/>
    </xf>
    <xf numFmtId="167" fontId="0" fillId="0" borderId="0" xfId="2" applyNumberFormat="1" applyFont="1" applyAlignment="1">
      <alignment horizontal="left"/>
    </xf>
    <xf numFmtId="173" fontId="33" fillId="31" borderId="138" xfId="0" applyFont="1" applyFill="1" applyBorder="1" applyAlignment="1">
      <alignment horizontal="center" vertical="center"/>
    </xf>
    <xf numFmtId="167" fontId="0" fillId="0" borderId="72" xfId="2" applyNumberFormat="1" applyFont="1" applyBorder="1"/>
    <xf numFmtId="167" fontId="0" fillId="0" borderId="91" xfId="2" applyNumberFormat="1" applyFont="1" applyBorder="1"/>
    <xf numFmtId="167" fontId="0" fillId="0" borderId="138" xfId="2" applyNumberFormat="1" applyFont="1" applyBorder="1"/>
    <xf numFmtId="167" fontId="0" fillId="0" borderId="42" xfId="2" applyNumberFormat="1" applyFont="1" applyBorder="1"/>
    <xf numFmtId="10" fontId="4" fillId="0" borderId="0" xfId="8" applyNumberFormat="1" applyFill="1" applyBorder="1" applyAlignment="1"/>
    <xf numFmtId="0" fontId="4" fillId="0" borderId="0" xfId="8" applyFill="1" applyBorder="1" applyAlignment="1"/>
    <xf numFmtId="173" fontId="30" fillId="28" borderId="13" xfId="0" applyFont="1" applyFill="1" applyBorder="1" applyAlignment="1">
      <alignment vertical="center"/>
    </xf>
    <xf numFmtId="0" fontId="23" fillId="0" borderId="0" xfId="8" applyFont="1" applyFill="1" applyBorder="1"/>
    <xf numFmtId="0" fontId="23" fillId="27" borderId="56" xfId="17" applyFont="1" applyFill="1" applyBorder="1"/>
    <xf numFmtId="0" fontId="4" fillId="27" borderId="0" xfId="8" applyFill="1" applyBorder="1"/>
    <xf numFmtId="9" fontId="4" fillId="27" borderId="0" xfId="8" applyNumberFormat="1" applyFill="1" applyBorder="1"/>
    <xf numFmtId="164" fontId="4" fillId="27" borderId="0" xfId="8" applyNumberFormat="1" applyFill="1" applyBorder="1"/>
    <xf numFmtId="0" fontId="4" fillId="0" borderId="64" xfId="8" applyFill="1" applyBorder="1"/>
    <xf numFmtId="10" fontId="4" fillId="0" borderId="64" xfId="8" applyNumberFormat="1" applyFill="1" applyBorder="1" applyAlignment="1"/>
    <xf numFmtId="0" fontId="4" fillId="0" borderId="64" xfId="8" applyFill="1" applyBorder="1" applyAlignment="1"/>
    <xf numFmtId="10" fontId="4" fillId="27" borderId="64" xfId="8" applyNumberFormat="1" applyFill="1" applyBorder="1" applyAlignment="1"/>
    <xf numFmtId="0" fontId="4" fillId="27" borderId="64" xfId="8" applyFill="1" applyBorder="1" applyAlignment="1"/>
    <xf numFmtId="0" fontId="4" fillId="27" borderId="64" xfId="8" applyFill="1" applyBorder="1"/>
    <xf numFmtId="0" fontId="23" fillId="19" borderId="56" xfId="8" applyFont="1" applyFill="1" applyBorder="1"/>
    <xf numFmtId="0" fontId="23" fillId="24" borderId="56" xfId="8" applyFont="1" applyFill="1" applyBorder="1"/>
    <xf numFmtId="0" fontId="40" fillId="0" borderId="12" xfId="8" applyFont="1" applyBorder="1" applyAlignment="1">
      <alignment horizontal="center"/>
    </xf>
    <xf numFmtId="0" fontId="4" fillId="0" borderId="12" xfId="8" applyBorder="1"/>
    <xf numFmtId="9" fontId="0" fillId="0" borderId="12" xfId="9" applyFont="1" applyBorder="1"/>
    <xf numFmtId="167" fontId="23" fillId="19" borderId="42" xfId="10" applyNumberFormat="1" applyFont="1" applyFill="1" applyBorder="1" applyAlignment="1">
      <alignment horizontal="right"/>
    </xf>
    <xf numFmtId="9" fontId="23" fillId="19" borderId="42" xfId="9" applyFont="1" applyFill="1" applyBorder="1" applyAlignment="1">
      <alignment horizontal="center"/>
    </xf>
    <xf numFmtId="9" fontId="0" fillId="0" borderId="42" xfId="9" applyFont="1" applyBorder="1"/>
    <xf numFmtId="0" fontId="4" fillId="0" borderId="42" xfId="8" applyBorder="1"/>
    <xf numFmtId="167" fontId="23" fillId="24" borderId="42" xfId="10" applyNumberFormat="1" applyFont="1" applyFill="1" applyBorder="1" applyAlignment="1">
      <alignment horizontal="right"/>
    </xf>
    <xf numFmtId="9" fontId="23" fillId="24" borderId="42" xfId="9" applyFont="1" applyFill="1" applyBorder="1" applyAlignment="1">
      <alignment horizontal="center"/>
    </xf>
    <xf numFmtId="167" fontId="23" fillId="25" borderId="42" xfId="10" applyNumberFormat="1" applyFont="1" applyFill="1" applyBorder="1" applyAlignment="1"/>
    <xf numFmtId="9" fontId="23" fillId="25" borderId="42" xfId="9" applyFont="1" applyFill="1" applyBorder="1" applyAlignment="1">
      <alignment horizontal="center"/>
    </xf>
    <xf numFmtId="167" fontId="23" fillId="25" borderId="42" xfId="10" applyNumberFormat="1" applyFont="1" applyFill="1" applyBorder="1" applyAlignment="1">
      <alignment horizontal="right"/>
    </xf>
    <xf numFmtId="167" fontId="23" fillId="30" borderId="42" xfId="10" applyNumberFormat="1" applyFont="1" applyFill="1" applyBorder="1" applyAlignment="1"/>
    <xf numFmtId="9" fontId="23" fillId="30" borderId="42" xfId="9" applyFont="1" applyFill="1" applyBorder="1" applyAlignment="1">
      <alignment horizontal="center"/>
    </xf>
    <xf numFmtId="9" fontId="0" fillId="0" borderId="42" xfId="9" applyFont="1" applyFill="1" applyBorder="1"/>
    <xf numFmtId="167" fontId="23" fillId="30" borderId="42" xfId="10" applyNumberFormat="1" applyFont="1" applyFill="1" applyBorder="1" applyAlignment="1">
      <alignment horizontal="right"/>
    </xf>
    <xf numFmtId="167" fontId="23" fillId="27" borderId="42" xfId="10" applyNumberFormat="1" applyFont="1" applyFill="1" applyBorder="1" applyAlignment="1">
      <alignment horizontal="center"/>
    </xf>
    <xf numFmtId="167" fontId="23" fillId="27" borderId="42" xfId="10" applyNumberFormat="1" applyFont="1" applyFill="1" applyBorder="1" applyAlignment="1"/>
    <xf numFmtId="9" fontId="23" fillId="27" borderId="42" xfId="9" applyFont="1" applyFill="1" applyBorder="1" applyAlignment="1">
      <alignment horizontal="center"/>
    </xf>
    <xf numFmtId="9" fontId="0" fillId="27" borderId="42" xfId="9" applyFont="1" applyFill="1" applyBorder="1"/>
    <xf numFmtId="167" fontId="23" fillId="0" borderId="12" xfId="10" applyNumberFormat="1" applyFont="1" applyFill="1" applyBorder="1" applyAlignment="1">
      <alignment horizontal="center"/>
    </xf>
    <xf numFmtId="167" fontId="23" fillId="0" borderId="12" xfId="10" applyNumberFormat="1" applyFont="1" applyFill="1" applyBorder="1" applyAlignment="1"/>
    <xf numFmtId="167" fontId="23" fillId="0" borderId="12" xfId="10" applyNumberFormat="1" applyFont="1" applyFill="1" applyBorder="1" applyAlignment="1">
      <alignment horizontal="right"/>
    </xf>
    <xf numFmtId="9" fontId="23" fillId="0" borderId="12" xfId="9" applyFont="1" applyFill="1" applyBorder="1" applyAlignment="1">
      <alignment horizontal="center"/>
    </xf>
    <xf numFmtId="9" fontId="0" fillId="0" borderId="12" xfId="9" applyFont="1" applyFill="1" applyBorder="1"/>
    <xf numFmtId="167" fontId="4" fillId="0" borderId="12" xfId="8" applyNumberFormat="1" applyBorder="1"/>
    <xf numFmtId="0" fontId="23" fillId="46" borderId="0" xfId="8" applyFont="1" applyFill="1" applyBorder="1"/>
    <xf numFmtId="167" fontId="23" fillId="46" borderId="12" xfId="10" applyNumberFormat="1" applyFont="1" applyFill="1" applyBorder="1" applyAlignment="1">
      <alignment horizontal="center"/>
    </xf>
    <xf numFmtId="167" fontId="23" fillId="46" borderId="12" xfId="10" applyNumberFormat="1" applyFont="1" applyFill="1" applyBorder="1" applyAlignment="1"/>
    <xf numFmtId="9" fontId="23" fillId="46" borderId="12" xfId="9" applyFont="1" applyFill="1" applyBorder="1" applyAlignment="1">
      <alignment horizontal="center"/>
    </xf>
    <xf numFmtId="9" fontId="0" fillId="46" borderId="12" xfId="9" applyFont="1" applyFill="1" applyBorder="1"/>
    <xf numFmtId="10" fontId="4" fillId="46" borderId="0" xfId="8" applyNumberFormat="1" applyFill="1" applyBorder="1" applyAlignment="1"/>
    <xf numFmtId="0" fontId="4" fillId="46" borderId="0" xfId="8" applyFill="1" applyBorder="1" applyAlignment="1"/>
    <xf numFmtId="0" fontId="4" fillId="46" borderId="0" xfId="8" applyFill="1" applyBorder="1"/>
    <xf numFmtId="9" fontId="4" fillId="46" borderId="0" xfId="8" applyNumberFormat="1" applyFill="1" applyBorder="1"/>
    <xf numFmtId="164" fontId="4" fillId="46" borderId="0" xfId="8" applyNumberFormat="1" applyFill="1" applyBorder="1"/>
    <xf numFmtId="0" fontId="2" fillId="0" borderId="12" xfId="8" applyFont="1" applyBorder="1"/>
    <xf numFmtId="167" fontId="7" fillId="0" borderId="83" xfId="2" applyNumberFormat="1" applyFont="1" applyFill="1" applyBorder="1" applyAlignment="1">
      <alignment horizontal="center"/>
    </xf>
    <xf numFmtId="167" fontId="0" fillId="0" borderId="83" xfId="2" applyNumberFormat="1" applyFont="1" applyFill="1" applyBorder="1"/>
    <xf numFmtId="1" fontId="0" fillId="0" borderId="94" xfId="0" applyNumberFormat="1" applyBorder="1" applyAlignment="1">
      <alignment horizontal="right"/>
    </xf>
    <xf numFmtId="1" fontId="0" fillId="0" borderId="83" xfId="0" applyNumberFormat="1" applyBorder="1" applyAlignment="1">
      <alignment horizontal="right"/>
    </xf>
    <xf numFmtId="1" fontId="0" fillId="0" borderId="89" xfId="0" applyNumberFormat="1" applyBorder="1" applyAlignment="1">
      <alignment horizontal="right"/>
    </xf>
    <xf numFmtId="173" fontId="0" fillId="0" borderId="0" xfId="0" applyProtection="1">
      <protection hidden="1"/>
    </xf>
    <xf numFmtId="1" fontId="21" fillId="0" borderId="0" xfId="0" applyNumberFormat="1" applyFont="1" applyFill="1" applyAlignment="1" applyProtection="1">
      <alignment vertical="center"/>
      <protection hidden="1"/>
    </xf>
    <xf numFmtId="173" fontId="21" fillId="0" borderId="0" xfId="0" applyFont="1" applyFill="1" applyAlignment="1" applyProtection="1">
      <alignment vertical="center"/>
      <protection hidden="1"/>
    </xf>
    <xf numFmtId="173" fontId="37" fillId="0" borderId="0" xfId="0" applyFont="1" applyProtection="1">
      <protection hidden="1"/>
    </xf>
    <xf numFmtId="1" fontId="37" fillId="0" borderId="50" xfId="0" applyNumberFormat="1" applyFont="1" applyFill="1" applyBorder="1" applyAlignment="1" applyProtection="1">
      <alignment horizontal="center" vertical="center"/>
      <protection hidden="1"/>
    </xf>
    <xf numFmtId="1" fontId="0" fillId="0" borderId="0" xfId="0" applyNumberFormat="1" applyProtection="1">
      <protection hidden="1"/>
    </xf>
    <xf numFmtId="1" fontId="37" fillId="0" borderId="42" xfId="0" applyNumberFormat="1" applyFont="1" applyFill="1" applyBorder="1" applyAlignment="1" applyProtection="1">
      <alignment horizontal="center" vertical="center"/>
      <protection hidden="1"/>
    </xf>
    <xf numFmtId="1" fontId="37" fillId="0" borderId="135" xfId="0" applyNumberFormat="1" applyFont="1" applyFill="1" applyBorder="1" applyAlignment="1" applyProtection="1">
      <alignment horizontal="center" vertical="center"/>
      <protection hidden="1"/>
    </xf>
    <xf numFmtId="1" fontId="89" fillId="0" borderId="0" xfId="0" applyNumberFormat="1" applyFont="1" applyProtection="1">
      <protection hidden="1"/>
    </xf>
    <xf numFmtId="1" fontId="37" fillId="0" borderId="0" xfId="0" applyNumberFormat="1" applyFont="1" applyProtection="1">
      <protection hidden="1"/>
    </xf>
    <xf numFmtId="167" fontId="89" fillId="0" borderId="0" xfId="2" applyNumberFormat="1" applyFont="1" applyProtection="1">
      <protection hidden="1"/>
    </xf>
    <xf numFmtId="167" fontId="0" fillId="0" borderId="0" xfId="0" applyNumberFormat="1" applyProtection="1">
      <protection hidden="1"/>
    </xf>
    <xf numFmtId="167" fontId="0" fillId="0" borderId="0" xfId="2" applyNumberFormat="1" applyFont="1" applyProtection="1">
      <protection hidden="1"/>
    </xf>
    <xf numFmtId="167" fontId="37" fillId="0" borderId="0" xfId="2" applyNumberFormat="1" applyFont="1" applyProtection="1">
      <protection hidden="1"/>
    </xf>
    <xf numFmtId="167" fontId="37" fillId="0" borderId="135" xfId="0" applyNumberFormat="1" applyFont="1" applyFill="1" applyBorder="1" applyProtection="1">
      <protection hidden="1"/>
    </xf>
    <xf numFmtId="173" fontId="37" fillId="0" borderId="135" xfId="0" applyFont="1" applyBorder="1" applyProtection="1">
      <protection hidden="1"/>
    </xf>
    <xf numFmtId="1" fontId="37" fillId="0" borderId="105" xfId="0" applyNumberFormat="1" applyFont="1" applyFill="1" applyBorder="1" applyAlignment="1" applyProtection="1">
      <alignment horizontal="center" vertical="center"/>
      <protection hidden="1"/>
    </xf>
    <xf numFmtId="173" fontId="37" fillId="0" borderId="105" xfId="0" applyFont="1" applyBorder="1" applyAlignment="1" applyProtection="1">
      <alignment horizontal="center" vertical="center"/>
      <protection hidden="1"/>
    </xf>
    <xf numFmtId="173" fontId="37" fillId="0" borderId="42" xfId="0" applyFont="1" applyBorder="1" applyAlignment="1" applyProtection="1">
      <alignment horizontal="center" vertical="center"/>
      <protection hidden="1"/>
    </xf>
    <xf numFmtId="173" fontId="37" fillId="0" borderId="0" xfId="0" applyFont="1" applyFill="1" applyBorder="1" applyProtection="1">
      <protection hidden="1"/>
    </xf>
    <xf numFmtId="173" fontId="0" fillId="0" borderId="0" xfId="0" applyBorder="1" applyProtection="1">
      <protection hidden="1"/>
    </xf>
    <xf numFmtId="173" fontId="37" fillId="0" borderId="135" xfId="0" applyFont="1" applyFill="1" applyBorder="1" applyProtection="1">
      <protection hidden="1"/>
    </xf>
    <xf numFmtId="0" fontId="0" fillId="0" borderId="0" xfId="0" applyNumberFormat="1" applyProtection="1">
      <protection hidden="1"/>
    </xf>
    <xf numFmtId="173" fontId="98" fillId="0" borderId="0" xfId="0" applyFont="1" applyProtection="1">
      <protection hidden="1"/>
    </xf>
    <xf numFmtId="173" fontId="7" fillId="0" borderId="0" xfId="0" applyFont="1" applyProtection="1">
      <protection hidden="1"/>
    </xf>
    <xf numFmtId="173" fontId="7" fillId="0" borderId="0" xfId="3" applyFont="1" applyProtection="1">
      <protection hidden="1"/>
    </xf>
    <xf numFmtId="0" fontId="0" fillId="0" borderId="0" xfId="0" applyNumberFormat="1" applyFill="1" applyProtection="1">
      <protection hidden="1"/>
    </xf>
    <xf numFmtId="9" fontId="8" fillId="0" borderId="0" xfId="4" applyFont="1" applyProtection="1">
      <protection hidden="1"/>
    </xf>
    <xf numFmtId="1" fontId="0" fillId="0" borderId="0" xfId="0" applyNumberFormat="1" applyFill="1" applyProtection="1">
      <protection hidden="1"/>
    </xf>
    <xf numFmtId="173" fontId="15" fillId="0" borderId="0" xfId="0" applyFont="1" applyProtection="1">
      <protection hidden="1"/>
    </xf>
    <xf numFmtId="9" fontId="0" fillId="0" borderId="0" xfId="7" applyNumberFormat="1" applyFont="1" applyProtection="1">
      <protection hidden="1"/>
    </xf>
    <xf numFmtId="173" fontId="15" fillId="0" borderId="0" xfId="0" applyFont="1" applyFill="1" applyProtection="1">
      <protection hidden="1"/>
    </xf>
    <xf numFmtId="2" fontId="102" fillId="0" borderId="0" xfId="14" applyNumberFormat="1" applyAlignment="1" applyProtection="1">
      <protection hidden="1"/>
    </xf>
    <xf numFmtId="1" fontId="7" fillId="0" borderId="0" xfId="0" applyNumberFormat="1" applyFont="1" applyAlignment="1" applyProtection="1">
      <alignment horizontal="center"/>
      <protection hidden="1"/>
    </xf>
    <xf numFmtId="1" fontId="7" fillId="0" borderId="0" xfId="0" applyNumberFormat="1" applyFont="1" applyProtection="1">
      <protection hidden="1"/>
    </xf>
    <xf numFmtId="2" fontId="0" fillId="0" borderId="0" xfId="0" applyNumberFormat="1" applyProtection="1">
      <protection hidden="1"/>
    </xf>
    <xf numFmtId="173" fontId="7" fillId="0" borderId="0" xfId="0" applyFont="1" applyAlignment="1" applyProtection="1">
      <alignment horizontal="right"/>
      <protection hidden="1"/>
    </xf>
    <xf numFmtId="9" fontId="0" fillId="0" borderId="0" xfId="4" applyFont="1" applyProtection="1">
      <protection hidden="1"/>
    </xf>
    <xf numFmtId="2" fontId="7" fillId="0" borderId="0" xfId="0" applyNumberFormat="1" applyFont="1" applyProtection="1">
      <protection hidden="1"/>
    </xf>
    <xf numFmtId="173" fontId="0" fillId="0" borderId="0" xfId="0" applyAlignment="1" applyProtection="1">
      <alignment horizontal="right"/>
      <protection hidden="1"/>
    </xf>
    <xf numFmtId="173" fontId="8" fillId="0" borderId="0" xfId="0" applyFont="1" applyProtection="1">
      <protection hidden="1"/>
    </xf>
    <xf numFmtId="9" fontId="0" fillId="0" borderId="0" xfId="0" applyNumberFormat="1" applyProtection="1">
      <protection hidden="1"/>
    </xf>
    <xf numFmtId="10" fontId="0" fillId="4" borderId="85" xfId="0" applyNumberFormat="1" applyFill="1" applyBorder="1" applyProtection="1">
      <protection hidden="1"/>
    </xf>
    <xf numFmtId="10" fontId="0" fillId="4" borderId="88" xfId="0" applyNumberFormat="1" applyFill="1" applyBorder="1" applyProtection="1">
      <protection hidden="1"/>
    </xf>
    <xf numFmtId="164" fontId="0" fillId="0" borderId="0" xfId="0" applyNumberFormat="1" applyFill="1" applyBorder="1" applyProtection="1">
      <protection hidden="1"/>
    </xf>
    <xf numFmtId="173" fontId="0" fillId="0" borderId="0" xfId="0" applyFill="1" applyBorder="1" applyProtection="1">
      <protection hidden="1"/>
    </xf>
    <xf numFmtId="10" fontId="0" fillId="0" borderId="0" xfId="0" applyNumberFormat="1" applyFill="1" applyBorder="1" applyProtection="1">
      <protection hidden="1"/>
    </xf>
    <xf numFmtId="173" fontId="18" fillId="0" borderId="0" xfId="0" applyFont="1" applyFill="1" applyBorder="1" applyAlignment="1" applyProtection="1">
      <alignment horizontal="center"/>
      <protection hidden="1"/>
    </xf>
    <xf numFmtId="173" fontId="33" fillId="31" borderId="127" xfId="0" applyFont="1" applyFill="1" applyBorder="1" applyAlignment="1" applyProtection="1">
      <alignment horizontal="left" vertical="center"/>
      <protection hidden="1"/>
    </xf>
    <xf numFmtId="0" fontId="33" fillId="31" borderId="128" xfId="0" applyNumberFormat="1" applyFont="1" applyFill="1" applyBorder="1" applyAlignment="1" applyProtection="1">
      <alignment horizontal="center" vertical="center"/>
      <protection hidden="1"/>
    </xf>
    <xf numFmtId="0" fontId="33" fillId="31" borderId="129" xfId="0" applyNumberFormat="1" applyFont="1" applyFill="1" applyBorder="1" applyAlignment="1" applyProtection="1">
      <alignment horizontal="center" vertical="center"/>
      <protection hidden="1"/>
    </xf>
    <xf numFmtId="173" fontId="33" fillId="0" borderId="0" xfId="0" applyFont="1" applyFill="1" applyBorder="1" applyAlignment="1" applyProtection="1">
      <alignment horizontal="center" vertical="center"/>
      <protection hidden="1"/>
    </xf>
    <xf numFmtId="173" fontId="37" fillId="0" borderId="215" xfId="0" applyFont="1" applyFill="1" applyBorder="1" applyAlignment="1" applyProtection="1">
      <alignment horizontal="left" vertical="center"/>
      <protection hidden="1"/>
    </xf>
    <xf numFmtId="0" fontId="37" fillId="0" borderId="216" xfId="0" applyNumberFormat="1" applyFont="1" applyFill="1" applyBorder="1" applyAlignment="1" applyProtection="1">
      <alignment horizontal="center" vertical="center"/>
      <protection hidden="1"/>
    </xf>
    <xf numFmtId="173" fontId="0" fillId="0" borderId="0" xfId="0" applyFill="1" applyProtection="1">
      <protection hidden="1"/>
    </xf>
    <xf numFmtId="173" fontId="37" fillId="0" borderId="218" xfId="0" applyFont="1" applyFill="1" applyBorder="1" applyAlignment="1" applyProtection="1">
      <alignment horizontal="left" vertical="center"/>
      <protection hidden="1"/>
    </xf>
    <xf numFmtId="0" fontId="37" fillId="0" borderId="219" xfId="0" applyNumberFormat="1" applyFont="1" applyFill="1" applyBorder="1" applyAlignment="1" applyProtection="1">
      <alignment horizontal="center" vertical="center"/>
      <protection hidden="1"/>
    </xf>
    <xf numFmtId="173" fontId="37" fillId="0" borderId="223" xfId="0" applyFont="1" applyFill="1" applyBorder="1" applyAlignment="1" applyProtection="1">
      <alignment horizontal="left" vertical="center"/>
      <protection hidden="1"/>
    </xf>
    <xf numFmtId="0" fontId="37" fillId="0" borderId="224" xfId="0" applyNumberFormat="1" applyFont="1" applyFill="1" applyBorder="1" applyAlignment="1" applyProtection="1">
      <alignment horizontal="center" vertical="center"/>
      <protection hidden="1"/>
    </xf>
    <xf numFmtId="173" fontId="0" fillId="0" borderId="0" xfId="0" applyBorder="1" applyAlignment="1" applyProtection="1">
      <alignment vertical="center"/>
      <protection hidden="1"/>
    </xf>
    <xf numFmtId="173" fontId="0" fillId="0" borderId="0" xfId="0" applyAlignment="1" applyProtection="1">
      <alignment vertical="center"/>
      <protection hidden="1"/>
    </xf>
    <xf numFmtId="173" fontId="33" fillId="31" borderId="127" xfId="0" applyFont="1" applyFill="1" applyBorder="1" applyProtection="1">
      <protection hidden="1"/>
    </xf>
    <xf numFmtId="173" fontId="37" fillId="34" borderId="215" xfId="0" applyFont="1" applyFill="1" applyBorder="1" applyProtection="1">
      <protection hidden="1"/>
    </xf>
    <xf numFmtId="1" fontId="37" fillId="34" borderId="216" xfId="0" applyNumberFormat="1" applyFont="1" applyFill="1" applyBorder="1" applyAlignment="1" applyProtection="1">
      <alignment horizontal="center"/>
      <protection hidden="1"/>
    </xf>
    <xf numFmtId="173" fontId="37" fillId="34" borderId="218" xfId="0" applyFont="1" applyFill="1" applyBorder="1" applyProtection="1">
      <protection hidden="1"/>
    </xf>
    <xf numFmtId="167" fontId="37" fillId="34" borderId="219" xfId="0" applyNumberFormat="1" applyFont="1" applyFill="1" applyBorder="1" applyProtection="1">
      <protection hidden="1"/>
    </xf>
    <xf numFmtId="167" fontId="37" fillId="34" borderId="220" xfId="0" applyNumberFormat="1" applyFont="1" applyFill="1" applyBorder="1" applyProtection="1">
      <protection hidden="1"/>
    </xf>
    <xf numFmtId="173" fontId="37" fillId="34" borderId="223" xfId="0" applyFont="1" applyFill="1" applyBorder="1" applyProtection="1">
      <protection hidden="1"/>
    </xf>
    <xf numFmtId="167" fontId="37" fillId="34" borderId="224" xfId="0" applyNumberFormat="1" applyFont="1" applyFill="1" applyBorder="1" applyProtection="1">
      <protection hidden="1"/>
    </xf>
    <xf numFmtId="173" fontId="37" fillId="0" borderId="221" xfId="0" applyFont="1" applyBorder="1" applyProtection="1">
      <protection hidden="1"/>
    </xf>
    <xf numFmtId="1" fontId="37" fillId="0" borderId="222" xfId="0" applyNumberFormat="1" applyFont="1" applyBorder="1" applyAlignment="1" applyProtection="1">
      <alignment horizontal="center"/>
      <protection hidden="1"/>
    </xf>
    <xf numFmtId="173" fontId="37" fillId="0" borderId="218" xfId="0" applyFont="1" applyBorder="1" applyProtection="1">
      <protection hidden="1"/>
    </xf>
    <xf numFmtId="167" fontId="81" fillId="0" borderId="219" xfId="5" applyNumberFormat="1" applyFont="1" applyFill="1" applyBorder="1" applyProtection="1">
      <protection hidden="1"/>
    </xf>
    <xf numFmtId="167" fontId="37" fillId="0" borderId="219" xfId="0" applyNumberFormat="1" applyFont="1" applyBorder="1" applyProtection="1">
      <protection hidden="1"/>
    </xf>
    <xf numFmtId="167" fontId="37" fillId="0" borderId="219" xfId="0" applyNumberFormat="1" applyFont="1" applyFill="1" applyBorder="1" applyProtection="1">
      <protection hidden="1"/>
    </xf>
    <xf numFmtId="173" fontId="37" fillId="0" borderId="223" xfId="0" applyFont="1" applyBorder="1" applyProtection="1">
      <protection hidden="1"/>
    </xf>
    <xf numFmtId="167" fontId="37" fillId="0" borderId="224" xfId="0" applyNumberFormat="1" applyFont="1" applyBorder="1" applyProtection="1">
      <protection hidden="1"/>
    </xf>
    <xf numFmtId="173" fontId="0" fillId="0" borderId="0" xfId="0" applyFill="1" applyAlignment="1" applyProtection="1">
      <alignment horizontal="center"/>
      <protection hidden="1"/>
    </xf>
    <xf numFmtId="164" fontId="0" fillId="0" borderId="0" xfId="0" applyNumberFormat="1" applyFill="1" applyProtection="1">
      <protection hidden="1"/>
    </xf>
    <xf numFmtId="1" fontId="15" fillId="0" borderId="204" xfId="0" applyNumberFormat="1" applyFont="1" applyFill="1" applyBorder="1" applyAlignment="1" applyProtection="1">
      <alignment horizontal="center" vertical="center"/>
      <protection hidden="1"/>
    </xf>
    <xf numFmtId="173" fontId="0" fillId="0" borderId="0" xfId="0" applyFill="1" applyAlignment="1" applyProtection="1">
      <alignment vertical="center"/>
      <protection hidden="1"/>
    </xf>
    <xf numFmtId="164" fontId="0" fillId="0" borderId="0" xfId="0" applyNumberFormat="1" applyFill="1" applyAlignment="1" applyProtection="1">
      <alignment vertical="center"/>
      <protection hidden="1"/>
    </xf>
    <xf numFmtId="1" fontId="89" fillId="0" borderId="105" xfId="0" applyNumberFormat="1" applyFont="1" applyFill="1" applyBorder="1" applyAlignment="1" applyProtection="1">
      <alignment horizontal="center" vertical="center"/>
      <protection hidden="1"/>
    </xf>
    <xf numFmtId="1" fontId="89" fillId="0" borderId="42" xfId="0" applyNumberFormat="1" applyFont="1" applyFill="1" applyBorder="1" applyAlignment="1" applyProtection="1">
      <alignment horizontal="center" vertical="center"/>
      <protection hidden="1"/>
    </xf>
    <xf numFmtId="1" fontId="89" fillId="0" borderId="60" xfId="0" applyNumberFormat="1" applyFont="1" applyFill="1" applyBorder="1" applyAlignment="1" applyProtection="1">
      <alignment horizontal="center" vertical="center"/>
      <protection hidden="1"/>
    </xf>
    <xf numFmtId="173" fontId="18" fillId="0" borderId="0" xfId="0" applyFont="1" applyFill="1" applyBorder="1" applyAlignment="1" applyProtection="1">
      <alignment vertical="center"/>
      <protection hidden="1"/>
    </xf>
    <xf numFmtId="173" fontId="93" fillId="0" borderId="0" xfId="0" applyFont="1" applyFill="1" applyBorder="1" applyAlignment="1" applyProtection="1">
      <alignment vertical="center"/>
      <protection hidden="1"/>
    </xf>
    <xf numFmtId="173" fontId="15" fillId="0" borderId="0" xfId="0" applyFont="1" applyFill="1" applyBorder="1" applyProtection="1">
      <protection hidden="1"/>
    </xf>
    <xf numFmtId="173" fontId="89" fillId="0" borderId="172" xfId="0" applyFont="1" applyFill="1" applyBorder="1" applyProtection="1">
      <protection hidden="1"/>
    </xf>
    <xf numFmtId="173" fontId="15" fillId="0" borderId="127" xfId="0" applyFont="1" applyFill="1" applyBorder="1" applyAlignment="1" applyProtection="1">
      <alignment vertical="center"/>
      <protection hidden="1"/>
    </xf>
    <xf numFmtId="173" fontId="89" fillId="0" borderId="231" xfId="0" applyFont="1" applyFill="1" applyBorder="1" applyAlignment="1" applyProtection="1">
      <alignment vertical="center"/>
      <protection hidden="1"/>
    </xf>
    <xf numFmtId="173" fontId="89" fillId="0" borderId="234" xfId="0" applyFont="1" applyFill="1" applyBorder="1" applyAlignment="1" applyProtection="1">
      <alignment vertical="center"/>
      <protection hidden="1"/>
    </xf>
    <xf numFmtId="173" fontId="89" fillId="0" borderId="88" xfId="0" applyFont="1" applyFill="1" applyBorder="1" applyAlignment="1" applyProtection="1">
      <alignment horizontal="left" vertical="center"/>
      <protection hidden="1"/>
    </xf>
    <xf numFmtId="173" fontId="89" fillId="0" borderId="144" xfId="0" applyFont="1" applyFill="1" applyBorder="1" applyAlignment="1" applyProtection="1">
      <alignment horizontal="left" vertical="center"/>
      <protection hidden="1"/>
    </xf>
    <xf numFmtId="0" fontId="89" fillId="0" borderId="143" xfId="0" applyNumberFormat="1" applyFont="1" applyFill="1" applyBorder="1" applyAlignment="1" applyProtection="1">
      <alignment horizontal="left" vertical="center"/>
      <protection hidden="1"/>
    </xf>
    <xf numFmtId="167" fontId="89" fillId="0" borderId="85" xfId="2" applyNumberFormat="1" applyFont="1" applyFill="1" applyBorder="1" applyAlignment="1" applyProtection="1">
      <alignment horizontal="right" vertical="center"/>
      <protection hidden="1"/>
    </xf>
    <xf numFmtId="9" fontId="89" fillId="0" borderId="85" xfId="0" applyNumberFormat="1" applyFont="1" applyFill="1" applyBorder="1" applyAlignment="1" applyProtection="1">
      <alignment horizontal="right" vertical="center"/>
      <protection hidden="1"/>
    </xf>
    <xf numFmtId="0" fontId="37" fillId="0" borderId="238" xfId="0" applyNumberFormat="1" applyFont="1" applyFill="1" applyBorder="1" applyAlignment="1" applyProtection="1">
      <alignment horizontal="center" vertical="center"/>
      <protection hidden="1"/>
    </xf>
    <xf numFmtId="0" fontId="37" fillId="0" borderId="239" xfId="0" applyNumberFormat="1" applyFont="1" applyFill="1" applyBorder="1" applyAlignment="1" applyProtection="1">
      <alignment horizontal="center" vertical="center"/>
      <protection hidden="1"/>
    </xf>
    <xf numFmtId="0" fontId="37" fillId="0" borderId="240" xfId="0" applyNumberFormat="1" applyFont="1" applyFill="1" applyBorder="1" applyAlignment="1" applyProtection="1">
      <alignment horizontal="center" vertical="center"/>
      <protection hidden="1"/>
    </xf>
    <xf numFmtId="1" fontId="37" fillId="0" borderId="91" xfId="0" applyNumberFormat="1" applyFont="1" applyFill="1" applyBorder="1" applyAlignment="1" applyProtection="1">
      <alignment horizontal="center" vertical="center"/>
      <protection hidden="1"/>
    </xf>
    <xf numFmtId="1" fontId="37" fillId="0" borderId="60" xfId="0" applyNumberFormat="1" applyFont="1" applyFill="1" applyBorder="1" applyAlignment="1" applyProtection="1">
      <alignment horizontal="center" vertical="center"/>
      <protection hidden="1"/>
    </xf>
    <xf numFmtId="1" fontId="37" fillId="0" borderId="92" xfId="0" applyNumberFormat="1" applyFont="1" applyFill="1" applyBorder="1" applyAlignment="1" applyProtection="1">
      <alignment horizontal="center" vertical="center"/>
      <protection hidden="1"/>
    </xf>
    <xf numFmtId="173" fontId="0" fillId="0" borderId="38" xfId="0" applyBorder="1" applyProtection="1">
      <protection hidden="1"/>
    </xf>
    <xf numFmtId="1" fontId="89" fillId="0" borderId="0" xfId="2" applyNumberFormat="1" applyFont="1" applyProtection="1">
      <protection hidden="1"/>
    </xf>
    <xf numFmtId="173" fontId="89" fillId="0" borderId="0" xfId="0" applyFont="1" applyProtection="1">
      <protection hidden="1"/>
    </xf>
    <xf numFmtId="167" fontId="89" fillId="0" borderId="0" xfId="0" applyNumberFormat="1" applyFont="1" applyProtection="1">
      <protection hidden="1"/>
    </xf>
    <xf numFmtId="173" fontId="98" fillId="0" borderId="0" xfId="0" applyFont="1"/>
    <xf numFmtId="49" fontId="8" fillId="0" borderId="0" xfId="0" applyNumberFormat="1" applyFont="1" applyProtection="1">
      <protection hidden="1"/>
    </xf>
    <xf numFmtId="173" fontId="7" fillId="0" borderId="0" xfId="0" applyFont="1" applyFill="1" applyBorder="1" applyAlignment="1">
      <alignment horizontal="left" vertical="center"/>
    </xf>
    <xf numFmtId="173" fontId="107" fillId="0" borderId="0" xfId="0" applyFont="1" applyFill="1" applyBorder="1" applyAlignment="1">
      <alignment horizontal="left" vertical="center"/>
    </xf>
    <xf numFmtId="1" fontId="108" fillId="0" borderId="105" xfId="3" applyNumberFormat="1" applyFont="1" applyBorder="1" applyAlignment="1">
      <alignment horizontal="center"/>
    </xf>
    <xf numFmtId="9" fontId="108" fillId="0" borderId="105" xfId="7" applyFont="1" applyBorder="1" applyAlignment="1">
      <alignment horizontal="center"/>
    </xf>
    <xf numFmtId="1" fontId="109" fillId="0" borderId="42" xfId="3" applyNumberFormat="1" applyFont="1" applyBorder="1" applyAlignment="1">
      <alignment horizontal="center"/>
    </xf>
    <xf numFmtId="0" fontId="109" fillId="0" borderId="42" xfId="3" applyNumberFormat="1" applyFont="1" applyBorder="1" applyAlignment="1">
      <alignment horizontal="center"/>
    </xf>
    <xf numFmtId="173" fontId="93" fillId="0" borderId="0" xfId="0" applyFont="1" applyFill="1" applyBorder="1" applyAlignment="1" applyProtection="1">
      <alignment vertical="center" wrapText="1"/>
      <protection hidden="1"/>
    </xf>
    <xf numFmtId="173" fontId="15" fillId="0" borderId="225" xfId="0" applyFont="1" applyFill="1" applyBorder="1" applyProtection="1">
      <protection hidden="1"/>
    </xf>
    <xf numFmtId="173" fontId="15" fillId="34" borderId="225" xfId="0" applyFont="1" applyFill="1" applyBorder="1" applyProtection="1">
      <protection hidden="1"/>
    </xf>
    <xf numFmtId="173" fontId="15" fillId="0" borderId="225" xfId="0" applyFont="1" applyFill="1" applyBorder="1" applyAlignment="1" applyProtection="1">
      <alignment horizontal="left" vertical="center"/>
      <protection hidden="1"/>
    </xf>
    <xf numFmtId="0" fontId="15" fillId="0" borderId="226" xfId="0" applyNumberFormat="1" applyFont="1" applyFill="1" applyBorder="1" applyAlignment="1" applyProtection="1">
      <alignment horizontal="center" vertical="center"/>
      <protection hidden="1"/>
    </xf>
    <xf numFmtId="0" fontId="15" fillId="0" borderId="241" xfId="0" applyNumberFormat="1" applyFont="1" applyFill="1" applyBorder="1" applyAlignment="1" applyProtection="1">
      <alignment horizontal="center" vertical="center"/>
      <protection hidden="1"/>
    </xf>
    <xf numFmtId="173" fontId="37" fillId="0" borderId="105" xfId="0" applyFont="1" applyBorder="1" applyAlignment="1" applyProtection="1">
      <alignment vertical="center"/>
      <protection hidden="1"/>
    </xf>
    <xf numFmtId="173" fontId="37" fillId="0" borderId="106" xfId="0" applyFont="1" applyBorder="1" applyAlignment="1" applyProtection="1">
      <alignment vertical="center"/>
      <protection hidden="1"/>
    </xf>
    <xf numFmtId="1" fontId="37" fillId="0" borderId="50" xfId="0" applyNumberFormat="1" applyFont="1" applyFill="1" applyBorder="1" applyAlignment="1" applyProtection="1">
      <alignment vertical="center"/>
      <protection hidden="1"/>
    </xf>
    <xf numFmtId="1" fontId="94" fillId="34" borderId="50" xfId="0" applyNumberFormat="1" applyFont="1" applyFill="1" applyBorder="1" applyAlignment="1" applyProtection="1">
      <alignment vertical="center"/>
      <protection hidden="1"/>
    </xf>
    <xf numFmtId="1" fontId="94" fillId="0" borderId="50" xfId="0" applyNumberFormat="1" applyFont="1" applyFill="1" applyBorder="1" applyAlignment="1" applyProtection="1">
      <alignment vertical="center"/>
      <protection hidden="1"/>
    </xf>
    <xf numFmtId="173" fontId="94" fillId="0" borderId="50" xfId="0" applyFont="1" applyFill="1" applyBorder="1" applyAlignment="1" applyProtection="1">
      <alignment vertical="center"/>
      <protection hidden="1"/>
    </xf>
    <xf numFmtId="173" fontId="94" fillId="0" borderId="50" xfId="0" applyFont="1" applyBorder="1" applyAlignment="1" applyProtection="1">
      <alignment vertical="center"/>
      <protection hidden="1"/>
    </xf>
    <xf numFmtId="173" fontId="37" fillId="0" borderId="50" xfId="0" applyFont="1" applyBorder="1" applyAlignment="1" applyProtection="1">
      <alignment vertical="center"/>
      <protection hidden="1"/>
    </xf>
    <xf numFmtId="167" fontId="37" fillId="0" borderId="42" xfId="0" applyNumberFormat="1" applyFont="1" applyFill="1" applyBorder="1" applyAlignment="1" applyProtection="1">
      <alignment vertical="center"/>
      <protection hidden="1"/>
    </xf>
    <xf numFmtId="167" fontId="94" fillId="34" borderId="42" xfId="0" applyNumberFormat="1" applyFont="1" applyFill="1" applyBorder="1" applyAlignment="1" applyProtection="1">
      <alignment vertical="center"/>
      <protection hidden="1"/>
    </xf>
    <xf numFmtId="167" fontId="94" fillId="0" borderId="42" xfId="0" applyNumberFormat="1" applyFont="1" applyFill="1" applyBorder="1" applyAlignment="1" applyProtection="1">
      <alignment vertical="center"/>
      <protection hidden="1"/>
    </xf>
    <xf numFmtId="173" fontId="94" fillId="0" borderId="42" xfId="0" applyFont="1" applyFill="1" applyBorder="1" applyAlignment="1" applyProtection="1">
      <alignment vertical="center"/>
      <protection hidden="1"/>
    </xf>
    <xf numFmtId="173" fontId="94" fillId="0" borderId="42" xfId="0" applyFont="1" applyBorder="1" applyAlignment="1" applyProtection="1">
      <alignment vertical="center"/>
      <protection hidden="1"/>
    </xf>
    <xf numFmtId="173" fontId="37" fillId="0" borderId="42" xfId="0" applyFont="1" applyBorder="1" applyAlignment="1" applyProtection="1">
      <alignment vertical="center"/>
      <protection hidden="1"/>
    </xf>
    <xf numFmtId="173" fontId="37" fillId="0" borderId="91" xfId="0" applyFont="1" applyBorder="1" applyAlignment="1" applyProtection="1">
      <alignment vertical="center"/>
      <protection hidden="1"/>
    </xf>
    <xf numFmtId="167" fontId="37" fillId="0" borderId="135" xfId="0" applyNumberFormat="1" applyFont="1" applyFill="1" applyBorder="1" applyAlignment="1" applyProtection="1">
      <alignment vertical="center"/>
      <protection hidden="1"/>
    </xf>
    <xf numFmtId="167" fontId="94" fillId="34" borderId="135" xfId="0" applyNumberFormat="1" applyFont="1" applyFill="1" applyBorder="1" applyAlignment="1" applyProtection="1">
      <alignment vertical="center"/>
      <protection hidden="1"/>
    </xf>
    <xf numFmtId="167" fontId="94" fillId="0" borderId="135" xfId="0" applyNumberFormat="1" applyFont="1" applyFill="1" applyBorder="1" applyAlignment="1" applyProtection="1">
      <alignment vertical="center"/>
      <protection hidden="1"/>
    </xf>
    <xf numFmtId="167" fontId="94" fillId="0" borderId="135" xfId="0" applyNumberFormat="1" applyFont="1" applyBorder="1" applyAlignment="1" applyProtection="1">
      <alignment vertical="center"/>
      <protection hidden="1"/>
    </xf>
    <xf numFmtId="173" fontId="37" fillId="0" borderId="135" xfId="0" applyFont="1" applyBorder="1" applyAlignment="1" applyProtection="1">
      <alignment vertical="center"/>
      <protection hidden="1"/>
    </xf>
    <xf numFmtId="1" fontId="94" fillId="0" borderId="50" xfId="0" applyNumberFormat="1" applyFont="1" applyFill="1" applyBorder="1" applyAlignment="1" applyProtection="1">
      <alignment horizontal="center" vertical="center"/>
      <protection hidden="1"/>
    </xf>
    <xf numFmtId="0" fontId="89" fillId="0" borderId="92" xfId="0" applyNumberFormat="1" applyFont="1" applyFill="1" applyBorder="1" applyAlignment="1" applyProtection="1">
      <alignment horizontal="left" vertical="center"/>
      <protection hidden="1"/>
    </xf>
    <xf numFmtId="173" fontId="37" fillId="0" borderId="65" xfId="0" applyFont="1" applyBorder="1" applyAlignment="1" applyProtection="1">
      <alignment vertical="center"/>
      <protection hidden="1"/>
    </xf>
    <xf numFmtId="167" fontId="81" fillId="0" borderId="42" xfId="5" applyNumberFormat="1" applyFont="1" applyFill="1" applyBorder="1" applyAlignment="1" applyProtection="1">
      <alignment vertical="center"/>
      <protection hidden="1"/>
    </xf>
    <xf numFmtId="167" fontId="94" fillId="0" borderId="42" xfId="0" applyNumberFormat="1" applyFont="1" applyFill="1" applyBorder="1" applyAlignment="1" applyProtection="1">
      <alignment horizontal="center" vertical="center"/>
      <protection hidden="1"/>
    </xf>
    <xf numFmtId="0" fontId="89" fillId="0" borderId="0" xfId="0" applyNumberFormat="1" applyFont="1" applyFill="1" applyBorder="1" applyAlignment="1" applyProtection="1">
      <alignment horizontal="left" vertical="center"/>
      <protection hidden="1"/>
    </xf>
    <xf numFmtId="173" fontId="37" fillId="0" borderId="0" xfId="0" applyFont="1" applyBorder="1" applyAlignment="1" applyProtection="1">
      <alignment vertical="center"/>
      <protection hidden="1"/>
    </xf>
    <xf numFmtId="173" fontId="89" fillId="0" borderId="0" xfId="0" applyFont="1" applyBorder="1" applyAlignment="1" applyProtection="1">
      <alignment vertical="center"/>
      <protection hidden="1"/>
    </xf>
    <xf numFmtId="167" fontId="37" fillId="0" borderId="60" xfId="0" applyNumberFormat="1" applyFont="1" applyFill="1" applyBorder="1" applyAlignment="1" applyProtection="1">
      <alignment vertical="center"/>
      <protection hidden="1"/>
    </xf>
    <xf numFmtId="173" fontId="37" fillId="0" borderId="60" xfId="0" applyFont="1" applyBorder="1" applyAlignment="1" applyProtection="1">
      <alignment vertical="center"/>
      <protection hidden="1"/>
    </xf>
    <xf numFmtId="173" fontId="37" fillId="0" borderId="92" xfId="0" applyFont="1" applyBorder="1" applyAlignment="1" applyProtection="1">
      <alignment vertical="center"/>
      <protection hidden="1"/>
    </xf>
    <xf numFmtId="173" fontId="0" fillId="0" borderId="106" xfId="0" applyBorder="1" applyAlignment="1" applyProtection="1">
      <alignment vertical="center"/>
      <protection hidden="1"/>
    </xf>
    <xf numFmtId="173" fontId="0" fillId="0" borderId="105" xfId="0" applyBorder="1" applyAlignment="1" applyProtection="1">
      <alignment vertical="center"/>
      <protection hidden="1"/>
    </xf>
    <xf numFmtId="173" fontId="0" fillId="0" borderId="123" xfId="0" applyBorder="1" applyAlignment="1" applyProtection="1">
      <alignment vertical="center"/>
      <protection hidden="1"/>
    </xf>
    <xf numFmtId="173" fontId="0" fillId="0" borderId="91" xfId="0" applyBorder="1" applyAlignment="1" applyProtection="1">
      <alignment vertical="center"/>
      <protection hidden="1"/>
    </xf>
    <xf numFmtId="173" fontId="0" fillId="0" borderId="42" xfId="0" applyBorder="1" applyAlignment="1" applyProtection="1">
      <alignment vertical="center"/>
      <protection hidden="1"/>
    </xf>
    <xf numFmtId="173" fontId="0" fillId="0" borderId="64" xfId="0" applyBorder="1" applyAlignment="1" applyProtection="1">
      <alignment vertical="center"/>
      <protection hidden="1"/>
    </xf>
    <xf numFmtId="1" fontId="37" fillId="34" borderId="105" xfId="0" applyNumberFormat="1" applyFont="1" applyFill="1" applyBorder="1" applyAlignment="1" applyProtection="1">
      <alignment vertical="center"/>
      <protection hidden="1"/>
    </xf>
    <xf numFmtId="1" fontId="94" fillId="34" borderId="105" xfId="0" applyNumberFormat="1" applyFont="1" applyFill="1" applyBorder="1" applyAlignment="1" applyProtection="1">
      <alignment vertical="center"/>
      <protection hidden="1"/>
    </xf>
    <xf numFmtId="0" fontId="89" fillId="0" borderId="67" xfId="0" applyNumberFormat="1" applyFont="1" applyFill="1" applyBorder="1" applyAlignment="1" applyProtection="1">
      <alignment horizontal="left" vertical="center"/>
      <protection hidden="1"/>
    </xf>
    <xf numFmtId="173" fontId="37" fillId="34" borderId="42" xfId="0" applyFont="1" applyFill="1" applyBorder="1" applyAlignment="1" applyProtection="1">
      <alignment vertical="center"/>
      <protection hidden="1"/>
    </xf>
    <xf numFmtId="167" fontId="37" fillId="34" borderId="42" xfId="0" applyNumberFormat="1" applyFont="1" applyFill="1" applyBorder="1" applyAlignment="1" applyProtection="1">
      <alignment vertical="center"/>
      <protection hidden="1"/>
    </xf>
    <xf numFmtId="167" fontId="37" fillId="34" borderId="60" xfId="0" applyNumberFormat="1" applyFont="1" applyFill="1" applyBorder="1" applyAlignment="1" applyProtection="1">
      <alignment vertical="center"/>
      <protection hidden="1"/>
    </xf>
    <xf numFmtId="167" fontId="94" fillId="34" borderId="60" xfId="0" applyNumberFormat="1" applyFont="1" applyFill="1" applyBorder="1" applyAlignment="1" applyProtection="1">
      <alignment vertical="center"/>
      <protection hidden="1"/>
    </xf>
    <xf numFmtId="1" fontId="37" fillId="0" borderId="105" xfId="0" applyNumberFormat="1" applyFont="1" applyFill="1" applyBorder="1" applyAlignment="1" applyProtection="1">
      <alignment vertical="center"/>
      <protection hidden="1"/>
    </xf>
    <xf numFmtId="1" fontId="94" fillId="0" borderId="105" xfId="0" applyNumberFormat="1" applyFont="1" applyFill="1" applyBorder="1" applyAlignment="1" applyProtection="1">
      <alignment horizontal="center" vertical="center"/>
      <protection hidden="1"/>
    </xf>
    <xf numFmtId="167" fontId="94" fillId="0" borderId="42" xfId="5" applyNumberFormat="1" applyFont="1" applyFill="1" applyBorder="1" applyAlignment="1" applyProtection="1">
      <alignment horizontal="center" vertical="center"/>
      <protection hidden="1"/>
    </xf>
    <xf numFmtId="0" fontId="89" fillId="0" borderId="42" xfId="0" applyNumberFormat="1" applyFont="1" applyFill="1" applyBorder="1" applyAlignment="1" applyProtection="1">
      <alignment horizontal="left" vertical="center"/>
      <protection hidden="1"/>
    </xf>
    <xf numFmtId="173" fontId="0" fillId="0" borderId="78" xfId="0" applyBorder="1" applyAlignment="1" applyProtection="1">
      <alignment vertical="center"/>
      <protection hidden="1"/>
    </xf>
    <xf numFmtId="173" fontId="37" fillId="34" borderId="50" xfId="0" applyFont="1" applyFill="1" applyBorder="1" applyAlignment="1" applyProtection="1">
      <alignment vertical="center"/>
      <protection hidden="1"/>
    </xf>
    <xf numFmtId="1" fontId="37" fillId="34" borderId="50" xfId="0" applyNumberFormat="1" applyFont="1" applyFill="1" applyBorder="1" applyAlignment="1" applyProtection="1">
      <alignment vertical="center"/>
      <protection hidden="1"/>
    </xf>
    <xf numFmtId="173" fontId="96" fillId="0" borderId="133" xfId="0" applyFont="1" applyBorder="1" applyAlignment="1" applyProtection="1">
      <alignment vertical="center"/>
      <protection hidden="1"/>
    </xf>
    <xf numFmtId="173" fontId="96" fillId="0" borderId="91" xfId="0" applyFont="1" applyBorder="1" applyAlignment="1" applyProtection="1">
      <alignment vertical="center"/>
      <protection hidden="1"/>
    </xf>
    <xf numFmtId="173" fontId="37" fillId="34" borderId="135" xfId="0" applyFont="1" applyFill="1" applyBorder="1" applyAlignment="1" applyProtection="1">
      <alignment vertical="center"/>
      <protection hidden="1"/>
    </xf>
    <xf numFmtId="167" fontId="37" fillId="34" borderId="135" xfId="0" applyNumberFormat="1" applyFont="1" applyFill="1" applyBorder="1" applyAlignment="1" applyProtection="1">
      <alignment vertical="center"/>
      <protection hidden="1"/>
    </xf>
    <xf numFmtId="173" fontId="37" fillId="0" borderId="60" xfId="0" applyFont="1" applyFill="1" applyBorder="1" applyAlignment="1" applyProtection="1">
      <alignment vertical="center"/>
      <protection hidden="1"/>
    </xf>
    <xf numFmtId="173" fontId="0" fillId="0" borderId="65" xfId="0" applyBorder="1" applyAlignment="1" applyProtection="1">
      <alignment vertical="center"/>
      <protection hidden="1"/>
    </xf>
    <xf numFmtId="1" fontId="37" fillId="0" borderId="50" xfId="0" applyNumberFormat="1" applyFont="1" applyBorder="1" applyAlignment="1" applyProtection="1">
      <alignment vertical="center"/>
      <protection hidden="1"/>
    </xf>
    <xf numFmtId="1" fontId="37" fillId="0" borderId="133" xfId="0" applyNumberFormat="1" applyFont="1" applyBorder="1" applyAlignment="1" applyProtection="1">
      <alignment vertical="center"/>
      <protection hidden="1"/>
    </xf>
    <xf numFmtId="167" fontId="37" fillId="0" borderId="42" xfId="0" applyNumberFormat="1" applyFont="1" applyBorder="1" applyAlignment="1" applyProtection="1">
      <alignment vertical="center"/>
      <protection hidden="1"/>
    </xf>
    <xf numFmtId="167" fontId="37" fillId="0" borderId="91" xfId="0" applyNumberFormat="1" applyFont="1" applyBorder="1" applyAlignment="1" applyProtection="1">
      <alignment vertical="center"/>
      <protection hidden="1"/>
    </xf>
    <xf numFmtId="173" fontId="33" fillId="31" borderId="201" xfId="0" applyFont="1" applyFill="1" applyBorder="1" applyAlignment="1" applyProtection="1">
      <alignment horizontal="right" vertical="center"/>
      <protection hidden="1"/>
    </xf>
    <xf numFmtId="1" fontId="33" fillId="31" borderId="32" xfId="0" applyNumberFormat="1" applyFont="1" applyFill="1" applyBorder="1" applyAlignment="1" applyProtection="1">
      <alignment horizontal="center" vertical="center"/>
      <protection hidden="1"/>
    </xf>
    <xf numFmtId="1" fontId="33" fillId="31" borderId="68" xfId="0" applyNumberFormat="1" applyFont="1" applyFill="1" applyBorder="1" applyAlignment="1" applyProtection="1">
      <alignment horizontal="center" vertical="center"/>
      <protection hidden="1"/>
    </xf>
    <xf numFmtId="173" fontId="0" fillId="0" borderId="92" xfId="0" applyBorder="1" applyAlignment="1" applyProtection="1">
      <alignment vertical="center"/>
      <protection hidden="1"/>
    </xf>
    <xf numFmtId="173" fontId="0" fillId="0" borderId="60" xfId="0" applyBorder="1" applyAlignment="1" applyProtection="1">
      <alignment vertical="center"/>
      <protection hidden="1"/>
    </xf>
    <xf numFmtId="173" fontId="33" fillId="31" borderId="244" xfId="0" applyFont="1" applyFill="1" applyBorder="1" applyAlignment="1" applyProtection="1">
      <alignment horizontal="right" vertical="center"/>
      <protection hidden="1"/>
    </xf>
    <xf numFmtId="1" fontId="33" fillId="31" borderId="112" xfId="0" applyNumberFormat="1" applyFont="1" applyFill="1" applyBorder="1" applyAlignment="1" applyProtection="1">
      <alignment horizontal="center" vertical="center"/>
      <protection hidden="1"/>
    </xf>
    <xf numFmtId="1" fontId="33" fillId="31" borderId="114" xfId="0" applyNumberFormat="1" applyFont="1" applyFill="1" applyBorder="1" applyAlignment="1" applyProtection="1">
      <alignment horizontal="center" vertical="center"/>
      <protection hidden="1"/>
    </xf>
    <xf numFmtId="1" fontId="33" fillId="31" borderId="214" xfId="0" applyNumberFormat="1" applyFont="1" applyFill="1" applyBorder="1" applyAlignment="1" applyProtection="1">
      <alignment horizontal="center" vertical="center"/>
      <protection hidden="1"/>
    </xf>
    <xf numFmtId="173" fontId="33" fillId="19" borderId="243" xfId="0" applyFont="1" applyFill="1" applyBorder="1" applyAlignment="1" applyProtection="1">
      <alignment horizontal="right" vertical="center"/>
      <protection hidden="1"/>
    </xf>
    <xf numFmtId="1" fontId="33" fillId="19" borderId="243" xfId="0" applyNumberFormat="1" applyFont="1" applyFill="1" applyBorder="1" applyAlignment="1" applyProtection="1">
      <alignment horizontal="center" vertical="center"/>
      <protection hidden="1"/>
    </xf>
    <xf numFmtId="173" fontId="33" fillId="24" borderId="243" xfId="0" applyFont="1" applyFill="1" applyBorder="1" applyAlignment="1" applyProtection="1">
      <alignment horizontal="right" vertical="center"/>
      <protection hidden="1"/>
    </xf>
    <xf numFmtId="1" fontId="33" fillId="24" borderId="243" xfId="0" applyNumberFormat="1" applyFont="1" applyFill="1" applyBorder="1" applyAlignment="1" applyProtection="1">
      <alignment horizontal="center" vertical="center"/>
      <protection hidden="1"/>
    </xf>
    <xf numFmtId="173" fontId="33" fillId="25" borderId="243" xfId="0" applyFont="1" applyFill="1" applyBorder="1" applyAlignment="1" applyProtection="1">
      <alignment horizontal="right" vertical="center"/>
      <protection hidden="1"/>
    </xf>
    <xf numFmtId="1" fontId="33" fillId="25" borderId="243" xfId="0" applyNumberFormat="1" applyFont="1" applyFill="1" applyBorder="1" applyAlignment="1" applyProtection="1">
      <alignment horizontal="center" vertical="center"/>
      <protection hidden="1"/>
    </xf>
    <xf numFmtId="173" fontId="33" fillId="30" borderId="243" xfId="0" applyFont="1" applyFill="1" applyBorder="1" applyAlignment="1" applyProtection="1">
      <alignment horizontal="right" vertical="center"/>
      <protection hidden="1"/>
    </xf>
    <xf numFmtId="0" fontId="8" fillId="30" borderId="243" xfId="0" applyNumberFormat="1" applyFont="1" applyFill="1" applyBorder="1" applyAlignment="1" applyProtection="1">
      <alignment vertical="center"/>
      <protection hidden="1"/>
    </xf>
    <xf numFmtId="1" fontId="33" fillId="30" borderId="243" xfId="0" applyNumberFormat="1" applyFont="1" applyFill="1" applyBorder="1" applyAlignment="1" applyProtection="1">
      <alignment horizontal="center" vertical="center"/>
      <protection hidden="1"/>
    </xf>
    <xf numFmtId="1" fontId="37" fillId="0" borderId="60" xfId="0" applyNumberFormat="1" applyFont="1" applyBorder="1" applyAlignment="1" applyProtection="1">
      <alignment horizontal="center" vertical="center"/>
      <protection hidden="1"/>
    </xf>
    <xf numFmtId="173" fontId="37" fillId="0" borderId="60" xfId="0" applyFont="1" applyBorder="1" applyAlignment="1" applyProtection="1">
      <alignment horizontal="center" vertical="center"/>
      <protection hidden="1"/>
    </xf>
    <xf numFmtId="1" fontId="33" fillId="31" borderId="6" xfId="0" applyNumberFormat="1" applyFont="1" applyFill="1" applyBorder="1" applyAlignment="1" applyProtection="1">
      <alignment horizontal="center" vertical="center"/>
      <protection hidden="1"/>
    </xf>
    <xf numFmtId="1" fontId="33" fillId="31" borderId="8" xfId="0" applyNumberFormat="1" applyFont="1" applyFill="1" applyBorder="1" applyAlignment="1" applyProtection="1">
      <alignment horizontal="center" vertical="center"/>
      <protection hidden="1"/>
    </xf>
    <xf numFmtId="173" fontId="37" fillId="0" borderId="233" xfId="0" applyFont="1" applyFill="1" applyBorder="1" applyAlignment="1" applyProtection="1">
      <alignment horizontal="left" vertical="center"/>
      <protection hidden="1"/>
    </xf>
    <xf numFmtId="173" fontId="37" fillId="0" borderId="172" xfId="0" applyFont="1" applyFill="1" applyBorder="1" applyAlignment="1" applyProtection="1">
      <alignment horizontal="left" vertical="center"/>
      <protection hidden="1"/>
    </xf>
    <xf numFmtId="173" fontId="37" fillId="0" borderId="143" xfId="0" applyFont="1" applyFill="1" applyBorder="1" applyAlignment="1" applyProtection="1">
      <alignment horizontal="left" vertical="center"/>
      <protection hidden="1"/>
    </xf>
    <xf numFmtId="1" fontId="37" fillId="0" borderId="206" xfId="0" applyNumberFormat="1" applyFont="1" applyFill="1" applyBorder="1" applyAlignment="1" applyProtection="1">
      <alignment horizontal="center" vertical="center"/>
      <protection hidden="1"/>
    </xf>
    <xf numFmtId="173" fontId="37" fillId="0" borderId="231" xfId="0" applyFont="1" applyFill="1" applyBorder="1" applyAlignment="1" applyProtection="1">
      <alignment vertical="center"/>
      <protection hidden="1"/>
    </xf>
    <xf numFmtId="173" fontId="37" fillId="0" borderId="88" xfId="0" applyFont="1" applyFill="1" applyBorder="1" applyAlignment="1" applyProtection="1">
      <alignment vertical="center"/>
      <protection hidden="1"/>
    </xf>
    <xf numFmtId="173" fontId="37" fillId="0" borderId="205" xfId="0" applyFont="1" applyFill="1" applyBorder="1" applyAlignment="1" applyProtection="1">
      <alignment vertical="center"/>
      <protection hidden="1"/>
    </xf>
    <xf numFmtId="173" fontId="37" fillId="0" borderId="231" xfId="0" applyFont="1" applyBorder="1" applyAlignment="1" applyProtection="1">
      <alignment vertical="center"/>
      <protection hidden="1"/>
    </xf>
    <xf numFmtId="173" fontId="37" fillId="0" borderId="88" xfId="0" applyFont="1" applyBorder="1" applyAlignment="1" applyProtection="1">
      <alignment vertical="center"/>
      <protection hidden="1"/>
    </xf>
    <xf numFmtId="173" fontId="37" fillId="0" borderId="144" xfId="0" applyFont="1" applyBorder="1" applyAlignment="1" applyProtection="1">
      <alignment vertical="center"/>
      <protection hidden="1"/>
    </xf>
    <xf numFmtId="173" fontId="37" fillId="34" borderId="234" xfId="0" applyFont="1" applyFill="1" applyBorder="1" applyAlignment="1" applyProtection="1">
      <alignment vertical="center"/>
      <protection hidden="1"/>
    </xf>
    <xf numFmtId="173" fontId="37" fillId="34" borderId="88" xfId="0" applyFont="1" applyFill="1" applyBorder="1" applyAlignment="1" applyProtection="1">
      <alignment vertical="center"/>
      <protection hidden="1"/>
    </xf>
    <xf numFmtId="173" fontId="37" fillId="34" borderId="144" xfId="0" applyFont="1" applyFill="1" applyBorder="1" applyAlignment="1" applyProtection="1">
      <alignment vertical="center"/>
      <protection hidden="1"/>
    </xf>
    <xf numFmtId="173" fontId="37" fillId="0" borderId="234" xfId="0" applyFont="1" applyBorder="1" applyAlignment="1" applyProtection="1">
      <alignment vertical="center"/>
      <protection hidden="1"/>
    </xf>
    <xf numFmtId="173" fontId="37" fillId="34" borderId="231" xfId="0" applyFont="1" applyFill="1" applyBorder="1" applyAlignment="1" applyProtection="1">
      <alignment vertical="center"/>
      <protection hidden="1"/>
    </xf>
    <xf numFmtId="173" fontId="37" fillId="34" borderId="205" xfId="0" applyFont="1" applyFill="1" applyBorder="1" applyAlignment="1" applyProtection="1">
      <alignment vertical="center"/>
      <protection hidden="1"/>
    </xf>
    <xf numFmtId="173" fontId="33" fillId="31" borderId="210" xfId="0" applyFont="1" applyFill="1" applyBorder="1" applyAlignment="1" applyProtection="1">
      <alignment horizontal="right" vertical="center"/>
      <protection hidden="1"/>
    </xf>
    <xf numFmtId="173" fontId="37" fillId="0" borderId="205" xfId="0" applyFont="1" applyBorder="1" applyProtection="1">
      <protection hidden="1"/>
    </xf>
    <xf numFmtId="49" fontId="15" fillId="0" borderId="121" xfId="0" applyNumberFormat="1" applyFont="1" applyBorder="1" applyAlignment="1">
      <alignment horizontal="right" vertical="top"/>
    </xf>
    <xf numFmtId="0" fontId="100" fillId="0" borderId="44" xfId="0" applyNumberFormat="1" applyFont="1" applyBorder="1" applyAlignment="1">
      <alignment horizontal="left" vertical="top" wrapText="1"/>
    </xf>
    <xf numFmtId="0" fontId="92" fillId="0" borderId="44" xfId="0" applyNumberFormat="1" applyFont="1" applyBorder="1" applyAlignment="1">
      <alignment horizontal="left" vertical="top" wrapText="1"/>
    </xf>
    <xf numFmtId="49" fontId="15" fillId="0" borderId="203" xfId="0" applyNumberFormat="1" applyFont="1" applyBorder="1" applyAlignment="1">
      <alignment horizontal="right" vertical="top"/>
    </xf>
    <xf numFmtId="0" fontId="92" fillId="0" borderId="134" xfId="0" applyNumberFormat="1" applyFont="1" applyBorder="1" applyAlignment="1">
      <alignment horizontal="left" vertical="top" wrapText="1"/>
    </xf>
    <xf numFmtId="173" fontId="108" fillId="0" borderId="105" xfId="3" applyFont="1" applyBorder="1" applyAlignment="1">
      <alignment horizontal="center"/>
    </xf>
    <xf numFmtId="0" fontId="37" fillId="0" borderId="105" xfId="0" applyNumberFormat="1" applyFont="1" applyFill="1" applyBorder="1" applyAlignment="1" applyProtection="1">
      <alignment horizontal="center" vertical="center"/>
      <protection hidden="1"/>
    </xf>
    <xf numFmtId="0" fontId="37" fillId="0" borderId="42" xfId="0" applyNumberFormat="1" applyFont="1" applyFill="1" applyBorder="1" applyAlignment="1" applyProtection="1">
      <alignment horizontal="center" vertical="center"/>
      <protection hidden="1"/>
    </xf>
    <xf numFmtId="0" fontId="37" fillId="0" borderId="60" xfId="0" applyNumberFormat="1" applyFont="1" applyFill="1" applyBorder="1" applyAlignment="1" applyProtection="1">
      <alignment horizontal="center" vertical="center"/>
      <protection hidden="1"/>
    </xf>
    <xf numFmtId="0" fontId="37" fillId="0" borderId="50" xfId="0" applyNumberFormat="1" applyFont="1" applyFill="1" applyBorder="1" applyAlignment="1" applyProtection="1">
      <alignment horizontal="center" vertical="center"/>
      <protection hidden="1"/>
    </xf>
    <xf numFmtId="173" fontId="37" fillId="0" borderId="50" xfId="0" applyFont="1" applyBorder="1" applyAlignment="1" applyProtection="1">
      <alignment horizontal="center" vertical="center"/>
      <protection hidden="1"/>
    </xf>
    <xf numFmtId="173" fontId="0" fillId="0" borderId="133" xfId="0" applyBorder="1" applyAlignment="1" applyProtection="1">
      <alignment vertical="center"/>
      <protection hidden="1"/>
    </xf>
    <xf numFmtId="0" fontId="37" fillId="0" borderId="105" xfId="0" applyNumberFormat="1" applyFont="1" applyBorder="1" applyAlignment="1" applyProtection="1">
      <alignment horizontal="center" vertical="center"/>
      <protection hidden="1"/>
    </xf>
    <xf numFmtId="0" fontId="37" fillId="0" borderId="42" xfId="0" applyNumberFormat="1" applyFont="1" applyBorder="1" applyAlignment="1" applyProtection="1">
      <alignment horizontal="center" vertical="center"/>
      <protection hidden="1"/>
    </xf>
    <xf numFmtId="10" fontId="0" fillId="0" borderId="0" xfId="0" applyNumberFormat="1" applyFill="1" applyBorder="1" applyAlignment="1"/>
    <xf numFmtId="173" fontId="0" fillId="0" borderId="0" xfId="0" applyFill="1" applyBorder="1" applyAlignment="1"/>
    <xf numFmtId="173" fontId="18" fillId="14" borderId="0" xfId="0" applyFont="1" applyFill="1" applyBorder="1" applyAlignment="1" applyProtection="1">
      <alignment horizontal="center" vertical="center"/>
      <protection hidden="1"/>
    </xf>
    <xf numFmtId="173" fontId="18" fillId="14" borderId="74" xfId="0" applyFont="1" applyFill="1" applyBorder="1" applyAlignment="1" applyProtection="1">
      <alignment horizontal="center" vertical="center"/>
      <protection hidden="1"/>
    </xf>
    <xf numFmtId="1" fontId="109" fillId="0" borderId="60" xfId="3" applyNumberFormat="1" applyFont="1" applyBorder="1" applyAlignment="1">
      <alignment horizontal="center"/>
    </xf>
    <xf numFmtId="0" fontId="109" fillId="0" borderId="60" xfId="3" applyNumberFormat="1" applyFont="1" applyBorder="1" applyAlignment="1">
      <alignment horizontal="center"/>
    </xf>
    <xf numFmtId="1" fontId="37" fillId="34" borderId="238" xfId="0" applyNumberFormat="1" applyFont="1" applyFill="1" applyBorder="1" applyAlignment="1" applyProtection="1">
      <alignment horizontal="center"/>
      <protection hidden="1"/>
    </xf>
    <xf numFmtId="167" fontId="37" fillId="34" borderId="239" xfId="0" applyNumberFormat="1" applyFont="1" applyFill="1" applyBorder="1" applyProtection="1">
      <protection hidden="1"/>
    </xf>
    <xf numFmtId="167" fontId="37" fillId="34" borderId="240" xfId="0" applyNumberFormat="1" applyFont="1" applyFill="1" applyBorder="1" applyProtection="1">
      <protection hidden="1"/>
    </xf>
    <xf numFmtId="1" fontId="37" fillId="0" borderId="245" xfId="0" applyNumberFormat="1" applyFont="1" applyBorder="1" applyAlignment="1" applyProtection="1">
      <alignment horizontal="center"/>
      <protection hidden="1"/>
    </xf>
    <xf numFmtId="167" fontId="37" fillId="0" borderId="239" xfId="0" applyNumberFormat="1" applyFont="1" applyBorder="1" applyProtection="1">
      <protection hidden="1"/>
    </xf>
    <xf numFmtId="167" fontId="37" fillId="0" borderId="240" xfId="0" applyNumberFormat="1" applyFont="1" applyBorder="1" applyProtection="1">
      <protection hidden="1"/>
    </xf>
    <xf numFmtId="0" fontId="37" fillId="0" borderId="246" xfId="0" applyNumberFormat="1" applyFont="1" applyFill="1" applyBorder="1" applyAlignment="1" applyProtection="1">
      <alignment horizontal="center" vertical="center"/>
      <protection hidden="1"/>
    </xf>
    <xf numFmtId="0" fontId="37" fillId="0" borderId="247" xfId="0" applyNumberFormat="1" applyFont="1" applyFill="1" applyBorder="1" applyAlignment="1" applyProtection="1">
      <alignment horizontal="center" vertical="center"/>
      <protection hidden="1"/>
    </xf>
    <xf numFmtId="0" fontId="37" fillId="0" borderId="248" xfId="0" applyNumberFormat="1" applyFont="1" applyFill="1" applyBorder="1" applyAlignment="1" applyProtection="1">
      <alignment horizontal="center" vertical="center"/>
      <protection hidden="1"/>
    </xf>
    <xf numFmtId="173" fontId="33" fillId="46" borderId="243" xfId="0" applyFont="1" applyFill="1" applyBorder="1" applyAlignment="1" applyProtection="1">
      <alignment horizontal="right" vertical="center"/>
      <protection hidden="1"/>
    </xf>
    <xf numFmtId="1" fontId="33" fillId="46" borderId="243" xfId="0" applyNumberFormat="1" applyFont="1" applyFill="1" applyBorder="1" applyAlignment="1" applyProtection="1">
      <alignment horizontal="center" vertical="center"/>
      <protection hidden="1"/>
    </xf>
    <xf numFmtId="173" fontId="93" fillId="35" borderId="0" xfId="0" applyFont="1" applyFill="1" applyBorder="1" applyAlignment="1" applyProtection="1">
      <alignment horizontal="center" vertical="center" wrapText="1"/>
      <protection hidden="1"/>
    </xf>
    <xf numFmtId="1" fontId="33" fillId="31" borderId="0" xfId="0" applyNumberFormat="1" applyFont="1" applyFill="1" applyBorder="1" applyAlignment="1" applyProtection="1">
      <alignment horizontal="center" vertical="center"/>
      <protection hidden="1"/>
    </xf>
    <xf numFmtId="173" fontId="33" fillId="19" borderId="0" xfId="0" applyFont="1" applyFill="1" applyBorder="1" applyAlignment="1" applyProtection="1">
      <alignment horizontal="left" vertical="center"/>
      <protection hidden="1"/>
    </xf>
    <xf numFmtId="173" fontId="8" fillId="19" borderId="0" xfId="0" applyFont="1" applyFill="1" applyBorder="1" applyAlignment="1" applyProtection="1">
      <alignment vertical="center"/>
      <protection hidden="1"/>
    </xf>
    <xf numFmtId="173" fontId="15" fillId="19" borderId="0" xfId="0" applyFont="1" applyFill="1" applyBorder="1" applyAlignment="1" applyProtection="1">
      <alignment horizontal="left" vertical="center"/>
      <protection hidden="1"/>
    </xf>
    <xf numFmtId="1" fontId="37" fillId="0" borderId="0" xfId="0" applyNumberFormat="1" applyFont="1" applyFill="1" applyBorder="1" applyAlignment="1" applyProtection="1">
      <alignment horizontal="center" vertical="center"/>
      <protection hidden="1"/>
    </xf>
    <xf numFmtId="173" fontId="37" fillId="31" borderId="0" xfId="0" applyFont="1" applyFill="1" applyBorder="1" applyAlignment="1" applyProtection="1">
      <alignment vertical="center"/>
      <protection hidden="1"/>
    </xf>
    <xf numFmtId="173" fontId="33" fillId="24" borderId="0" xfId="0" applyFont="1" applyFill="1" applyBorder="1" applyAlignment="1" applyProtection="1">
      <alignment horizontal="left" vertical="center"/>
      <protection hidden="1"/>
    </xf>
    <xf numFmtId="173" fontId="0" fillId="24" borderId="0" xfId="0" applyFill="1" applyBorder="1" applyAlignment="1" applyProtection="1">
      <alignment vertical="center"/>
      <protection hidden="1"/>
    </xf>
    <xf numFmtId="173" fontId="15" fillId="24" borderId="0" xfId="0" applyFont="1" applyFill="1" applyBorder="1" applyAlignment="1" applyProtection="1">
      <alignment horizontal="left" vertical="center"/>
      <protection hidden="1"/>
    </xf>
    <xf numFmtId="173" fontId="33" fillId="25" borderId="0" xfId="0" applyFont="1" applyFill="1" applyBorder="1" applyAlignment="1" applyProtection="1">
      <alignment horizontal="left" vertical="center"/>
      <protection hidden="1"/>
    </xf>
    <xf numFmtId="173" fontId="0" fillId="25" borderId="0" xfId="0" applyFill="1" applyBorder="1" applyAlignment="1" applyProtection="1">
      <alignment vertical="center"/>
      <protection hidden="1"/>
    </xf>
    <xf numFmtId="173" fontId="15" fillId="25" borderId="0" xfId="0" applyFont="1" applyFill="1" applyBorder="1" applyAlignment="1" applyProtection="1">
      <alignment horizontal="left" vertical="center"/>
      <protection hidden="1"/>
    </xf>
    <xf numFmtId="173" fontId="0" fillId="31" borderId="0" xfId="0" applyFill="1" applyBorder="1" applyAlignment="1" applyProtection="1">
      <alignment vertical="center"/>
      <protection hidden="1"/>
    </xf>
    <xf numFmtId="173" fontId="33" fillId="30" borderId="0" xfId="0" applyFont="1" applyFill="1" applyBorder="1" applyAlignment="1" applyProtection="1">
      <alignment horizontal="left" vertical="center"/>
      <protection hidden="1"/>
    </xf>
    <xf numFmtId="173" fontId="0" fillId="30" borderId="0" xfId="0" applyFill="1" applyBorder="1" applyAlignment="1" applyProtection="1">
      <alignment vertical="center"/>
      <protection hidden="1"/>
    </xf>
    <xf numFmtId="173" fontId="15" fillId="30" borderId="0" xfId="0" applyFont="1" applyFill="1" applyBorder="1" applyAlignment="1" applyProtection="1">
      <alignment horizontal="left" vertical="center"/>
      <protection hidden="1"/>
    </xf>
    <xf numFmtId="173" fontId="33" fillId="20" borderId="0" xfId="0" applyFont="1" applyFill="1" applyBorder="1" applyAlignment="1" applyProtection="1">
      <alignment horizontal="left" vertical="center"/>
      <protection hidden="1"/>
    </xf>
    <xf numFmtId="1" fontId="33" fillId="20" borderId="0" xfId="0" applyNumberFormat="1" applyFont="1" applyFill="1" applyBorder="1" applyAlignment="1" applyProtection="1">
      <alignment horizontal="center" vertical="center"/>
      <protection hidden="1"/>
    </xf>
    <xf numFmtId="173" fontId="15" fillId="20" borderId="0" xfId="0" applyFont="1" applyFill="1" applyBorder="1" applyAlignment="1" applyProtection="1">
      <alignment horizontal="left" vertical="center"/>
      <protection hidden="1"/>
    </xf>
    <xf numFmtId="173" fontId="33" fillId="47" borderId="0" xfId="0" applyFont="1" applyFill="1" applyBorder="1" applyAlignment="1" applyProtection="1">
      <alignment horizontal="left" vertical="center"/>
      <protection hidden="1"/>
    </xf>
    <xf numFmtId="1" fontId="33" fillId="47" borderId="0" xfId="0" applyNumberFormat="1" applyFont="1" applyFill="1" applyBorder="1" applyAlignment="1" applyProtection="1">
      <alignment horizontal="center" vertical="center"/>
      <protection hidden="1"/>
    </xf>
    <xf numFmtId="173" fontId="15" fillId="47" borderId="0" xfId="0" applyFont="1" applyFill="1" applyBorder="1" applyAlignment="1" applyProtection="1">
      <alignment horizontal="left" vertical="center"/>
      <protection hidden="1"/>
    </xf>
    <xf numFmtId="173" fontId="33" fillId="46" borderId="0" xfId="0" applyFont="1" applyFill="1" applyBorder="1" applyAlignment="1" applyProtection="1">
      <alignment horizontal="left" vertical="center"/>
      <protection hidden="1"/>
    </xf>
    <xf numFmtId="1" fontId="33" fillId="46" borderId="0" xfId="0" applyNumberFormat="1" applyFont="1" applyFill="1" applyBorder="1" applyAlignment="1" applyProtection="1">
      <alignment horizontal="center" vertical="center"/>
      <protection hidden="1"/>
    </xf>
    <xf numFmtId="173" fontId="15" fillId="46" borderId="0" xfId="0" applyFont="1" applyFill="1" applyBorder="1" applyAlignment="1" applyProtection="1">
      <alignment horizontal="left" vertical="center"/>
      <protection hidden="1"/>
    </xf>
    <xf numFmtId="173" fontId="0" fillId="0" borderId="136" xfId="0" applyBorder="1" applyAlignment="1" applyProtection="1">
      <alignment vertical="center"/>
      <protection hidden="1"/>
    </xf>
    <xf numFmtId="173" fontId="0" fillId="0" borderId="136" xfId="0" applyBorder="1" applyProtection="1">
      <protection hidden="1"/>
    </xf>
    <xf numFmtId="1" fontId="33" fillId="46" borderId="127" xfId="0" applyNumberFormat="1" applyFont="1" applyFill="1" applyBorder="1" applyAlignment="1" applyProtection="1">
      <alignment horizontal="center" vertical="center"/>
      <protection hidden="1"/>
    </xf>
    <xf numFmtId="173" fontId="37" fillId="0" borderId="141" xfId="0" applyFont="1" applyBorder="1" applyAlignment="1" applyProtection="1">
      <alignment vertical="center"/>
      <protection hidden="1"/>
    </xf>
    <xf numFmtId="173" fontId="37" fillId="0" borderId="74" xfId="0" applyFont="1" applyBorder="1" applyAlignment="1" applyProtection="1">
      <alignment vertical="center"/>
      <protection hidden="1"/>
    </xf>
    <xf numFmtId="173" fontId="37" fillId="0" borderId="205" xfId="0" applyFont="1" applyBorder="1" applyAlignment="1" applyProtection="1">
      <alignment vertical="center"/>
      <protection hidden="1"/>
    </xf>
    <xf numFmtId="167" fontId="94" fillId="0" borderId="135" xfId="0" applyNumberFormat="1" applyFont="1" applyFill="1" applyBorder="1" applyAlignment="1" applyProtection="1">
      <alignment horizontal="center" vertical="center"/>
      <protection hidden="1"/>
    </xf>
    <xf numFmtId="173" fontId="37" fillId="0" borderId="68" xfId="0" applyFont="1" applyBorder="1" applyAlignment="1" applyProtection="1">
      <alignment vertical="center"/>
      <protection hidden="1"/>
    </xf>
    <xf numFmtId="173" fontId="37" fillId="0" borderId="109" xfId="0" applyFont="1" applyBorder="1" applyAlignment="1" applyProtection="1">
      <alignment vertical="center"/>
      <protection hidden="1"/>
    </xf>
    <xf numFmtId="173" fontId="37" fillId="0" borderId="202" xfId="0" applyFont="1" applyBorder="1" applyAlignment="1" applyProtection="1">
      <alignment vertical="center"/>
      <protection hidden="1"/>
    </xf>
    <xf numFmtId="173" fontId="0" fillId="0" borderId="50" xfId="0" applyBorder="1" applyProtection="1">
      <protection hidden="1"/>
    </xf>
    <xf numFmtId="173" fontId="0" fillId="0" borderId="42" xfId="0" applyBorder="1" applyProtection="1">
      <protection hidden="1"/>
    </xf>
    <xf numFmtId="173" fontId="0" fillId="0" borderId="135" xfId="0" applyBorder="1" applyProtection="1">
      <protection hidden="1"/>
    </xf>
    <xf numFmtId="173" fontId="37" fillId="0" borderId="231" xfId="0" applyFont="1" applyFill="1" applyBorder="1" applyAlignment="1" applyProtection="1">
      <alignment horizontal="left" vertical="center"/>
      <protection hidden="1"/>
    </xf>
    <xf numFmtId="173" fontId="37" fillId="0" borderId="234" xfId="0" applyFont="1" applyFill="1" applyBorder="1" applyAlignment="1" applyProtection="1">
      <alignment horizontal="left" vertical="center"/>
      <protection hidden="1"/>
    </xf>
    <xf numFmtId="173" fontId="37" fillId="0" borderId="88" xfId="0" applyFont="1" applyFill="1" applyBorder="1" applyAlignment="1" applyProtection="1">
      <alignment horizontal="left" vertical="center"/>
      <protection hidden="1"/>
    </xf>
    <xf numFmtId="173" fontId="37" fillId="0" borderId="144" xfId="0" applyFont="1" applyFill="1" applyBorder="1" applyAlignment="1" applyProtection="1">
      <alignment horizontal="left" vertical="center"/>
      <protection hidden="1"/>
    </xf>
    <xf numFmtId="1" fontId="33" fillId="24" borderId="127" xfId="0" applyNumberFormat="1" applyFont="1" applyFill="1" applyBorder="1" applyAlignment="1" applyProtection="1">
      <alignment horizontal="center" vertical="center"/>
      <protection hidden="1"/>
    </xf>
    <xf numFmtId="1" fontId="33" fillId="25" borderId="127" xfId="0" applyNumberFormat="1" applyFont="1" applyFill="1" applyBorder="1" applyAlignment="1" applyProtection="1">
      <alignment horizontal="center" vertical="center"/>
      <protection hidden="1"/>
    </xf>
    <xf numFmtId="1" fontId="37" fillId="0" borderId="106" xfId="0" applyNumberFormat="1" applyFont="1" applyFill="1" applyBorder="1" applyAlignment="1" applyProtection="1">
      <alignment horizontal="center" vertical="center"/>
      <protection hidden="1"/>
    </xf>
    <xf numFmtId="1" fontId="37" fillId="0" borderId="133" xfId="0" applyNumberFormat="1" applyFont="1" applyFill="1" applyBorder="1" applyAlignment="1" applyProtection="1">
      <alignment vertical="center"/>
      <protection hidden="1"/>
    </xf>
    <xf numFmtId="167" fontId="37" fillId="0" borderId="91" xfId="0" applyNumberFormat="1" applyFont="1" applyFill="1" applyBorder="1" applyAlignment="1" applyProtection="1">
      <alignment vertical="center"/>
      <protection hidden="1"/>
    </xf>
    <xf numFmtId="167" fontId="37" fillId="0" borderId="92" xfId="0" applyNumberFormat="1" applyFont="1" applyFill="1" applyBorder="1" applyAlignment="1" applyProtection="1">
      <alignment vertical="center"/>
      <protection hidden="1"/>
    </xf>
    <xf numFmtId="1" fontId="33" fillId="30" borderId="127" xfId="0" applyNumberFormat="1" applyFont="1" applyFill="1" applyBorder="1" applyAlignment="1" applyProtection="1">
      <alignment horizontal="center" vertical="center"/>
      <protection hidden="1"/>
    </xf>
    <xf numFmtId="1" fontId="33" fillId="31" borderId="227" xfId="0" applyNumberFormat="1" applyFont="1" applyFill="1" applyBorder="1" applyAlignment="1" applyProtection="1">
      <alignment horizontal="center" vertical="center"/>
      <protection hidden="1"/>
    </xf>
    <xf numFmtId="173" fontId="93" fillId="35" borderId="250" xfId="0" applyFont="1" applyFill="1" applyBorder="1" applyAlignment="1" applyProtection="1">
      <alignment horizontal="center" vertical="center" wrapText="1"/>
      <protection hidden="1"/>
    </xf>
    <xf numFmtId="173" fontId="18" fillId="14" borderId="207" xfId="0" applyFont="1" applyFill="1" applyBorder="1" applyAlignment="1" applyProtection="1">
      <alignment horizontal="center" vertical="center"/>
      <protection hidden="1"/>
    </xf>
    <xf numFmtId="1" fontId="33" fillId="46" borderId="251" xfId="0" applyNumberFormat="1" applyFont="1" applyFill="1" applyBorder="1" applyAlignment="1" applyProtection="1">
      <alignment horizontal="center" vertical="center"/>
      <protection hidden="1"/>
    </xf>
    <xf numFmtId="173" fontId="15" fillId="46" borderId="128" xfId="0" applyFont="1" applyFill="1" applyBorder="1" applyAlignment="1" applyProtection="1">
      <alignment horizontal="left" vertical="center"/>
      <protection hidden="1"/>
    </xf>
    <xf numFmtId="173" fontId="15" fillId="46" borderId="251" xfId="0" applyFont="1" applyFill="1" applyBorder="1" applyAlignment="1" applyProtection="1">
      <alignment horizontal="left" vertical="center"/>
      <protection hidden="1"/>
    </xf>
    <xf numFmtId="173" fontId="15" fillId="46" borderId="67" xfId="0" applyFont="1" applyFill="1" applyBorder="1" applyAlignment="1" applyProtection="1">
      <alignment horizontal="left" vertical="center"/>
      <protection hidden="1"/>
    </xf>
    <xf numFmtId="173" fontId="33" fillId="27" borderId="243" xfId="0" applyFont="1" applyFill="1" applyBorder="1" applyAlignment="1" applyProtection="1">
      <alignment horizontal="right" vertical="center"/>
      <protection hidden="1"/>
    </xf>
    <xf numFmtId="1" fontId="33" fillId="27" borderId="243" xfId="0" applyNumberFormat="1" applyFont="1" applyFill="1" applyBorder="1" applyAlignment="1" applyProtection="1">
      <alignment horizontal="center" vertical="center"/>
      <protection hidden="1"/>
    </xf>
    <xf numFmtId="1" fontId="33" fillId="27" borderId="127" xfId="0" applyNumberFormat="1" applyFont="1" applyFill="1" applyBorder="1" applyAlignment="1" applyProtection="1">
      <alignment horizontal="center" vertical="center"/>
      <protection hidden="1"/>
    </xf>
    <xf numFmtId="173" fontId="33" fillId="48" borderId="243" xfId="0" applyFont="1" applyFill="1" applyBorder="1" applyAlignment="1" applyProtection="1">
      <alignment horizontal="right" vertical="center"/>
      <protection hidden="1"/>
    </xf>
    <xf numFmtId="1" fontId="33" fillId="48" borderId="243" xfId="0" applyNumberFormat="1" applyFont="1" applyFill="1" applyBorder="1" applyAlignment="1" applyProtection="1">
      <alignment horizontal="center" vertical="center"/>
      <protection hidden="1"/>
    </xf>
    <xf numFmtId="1" fontId="33" fillId="48" borderId="127" xfId="0" applyNumberFormat="1" applyFont="1" applyFill="1" applyBorder="1" applyAlignment="1" applyProtection="1">
      <alignment horizontal="center" vertical="center"/>
      <protection hidden="1"/>
    </xf>
    <xf numFmtId="1" fontId="37" fillId="0" borderId="105" xfId="0" applyNumberFormat="1" applyFont="1" applyBorder="1" applyAlignment="1" applyProtection="1">
      <alignment horizontal="center" vertical="center"/>
      <protection hidden="1"/>
    </xf>
    <xf numFmtId="1" fontId="37" fillId="0" borderId="42" xfId="0" applyNumberFormat="1" applyFont="1" applyBorder="1" applyAlignment="1" applyProtection="1">
      <alignment horizontal="center" vertical="center"/>
      <protection hidden="1"/>
    </xf>
    <xf numFmtId="173" fontId="7" fillId="0" borderId="133" xfId="0" applyFont="1" applyBorder="1" applyAlignment="1" applyProtection="1">
      <alignment vertical="center"/>
      <protection hidden="1"/>
    </xf>
    <xf numFmtId="173" fontId="7" fillId="0" borderId="50" xfId="0" applyFont="1" applyBorder="1" applyAlignment="1" applyProtection="1">
      <alignment vertical="center"/>
      <protection hidden="1"/>
    </xf>
    <xf numFmtId="173" fontId="7" fillId="0" borderId="91" xfId="0" applyFont="1" applyBorder="1" applyAlignment="1" applyProtection="1">
      <alignment vertical="center"/>
      <protection hidden="1"/>
    </xf>
    <xf numFmtId="173" fontId="7" fillId="0" borderId="42" xfId="0" applyFont="1" applyBorder="1" applyAlignment="1" applyProtection="1">
      <alignment vertical="center"/>
      <protection hidden="1"/>
    </xf>
    <xf numFmtId="167" fontId="37" fillId="0" borderId="135" xfId="0" applyNumberFormat="1" applyFont="1" applyBorder="1" applyAlignment="1" applyProtection="1">
      <alignment vertical="center"/>
      <protection hidden="1"/>
    </xf>
    <xf numFmtId="173" fontId="7" fillId="0" borderId="136" xfId="0" applyFont="1" applyBorder="1" applyAlignment="1" applyProtection="1">
      <alignment vertical="center"/>
      <protection hidden="1"/>
    </xf>
    <xf numFmtId="173" fontId="7" fillId="0" borderId="78" xfId="0" applyFont="1" applyBorder="1" applyAlignment="1" applyProtection="1">
      <alignment vertical="center"/>
      <protection hidden="1"/>
    </xf>
    <xf numFmtId="173" fontId="7" fillId="0" borderId="64" xfId="0" applyFont="1" applyBorder="1" applyAlignment="1" applyProtection="1">
      <alignment vertical="center"/>
      <protection hidden="1"/>
    </xf>
    <xf numFmtId="173" fontId="7" fillId="0" borderId="135" xfId="0" applyFont="1" applyBorder="1" applyAlignment="1" applyProtection="1">
      <alignment vertical="center"/>
      <protection hidden="1"/>
    </xf>
    <xf numFmtId="173" fontId="7" fillId="0" borderId="38" xfId="0" applyFont="1" applyBorder="1" applyAlignment="1" applyProtection="1">
      <alignment vertical="center"/>
      <protection hidden="1"/>
    </xf>
    <xf numFmtId="173" fontId="7" fillId="0" borderId="105" xfId="0" applyFont="1" applyBorder="1" applyAlignment="1" applyProtection="1">
      <alignment vertical="center"/>
      <protection hidden="1"/>
    </xf>
    <xf numFmtId="173" fontId="7" fillId="0" borderId="123" xfId="0" applyFont="1" applyBorder="1" applyAlignment="1" applyProtection="1">
      <alignment vertical="center"/>
      <protection hidden="1"/>
    </xf>
    <xf numFmtId="173" fontId="7" fillId="0" borderId="106" xfId="0" applyFont="1" applyBorder="1" applyAlignment="1" applyProtection="1">
      <alignment vertical="center"/>
      <protection hidden="1"/>
    </xf>
    <xf numFmtId="173" fontId="7" fillId="0" borderId="65" xfId="0" applyFont="1" applyBorder="1" applyAlignment="1" applyProtection="1">
      <alignment vertical="center"/>
      <protection hidden="1"/>
    </xf>
    <xf numFmtId="173" fontId="7" fillId="0" borderId="92" xfId="0" applyFont="1" applyBorder="1" applyAlignment="1" applyProtection="1">
      <alignment vertical="center"/>
      <protection hidden="1"/>
    </xf>
    <xf numFmtId="167" fontId="37" fillId="0" borderId="42" xfId="5" applyNumberFormat="1" applyFont="1" applyFill="1" applyBorder="1" applyAlignment="1" applyProtection="1">
      <alignment vertical="center"/>
      <protection hidden="1"/>
    </xf>
    <xf numFmtId="173" fontId="7" fillId="0" borderId="38" xfId="0" applyFont="1" applyBorder="1" applyProtection="1">
      <protection hidden="1"/>
    </xf>
    <xf numFmtId="173" fontId="7" fillId="0" borderId="136" xfId="0" applyFont="1" applyBorder="1" applyProtection="1">
      <protection hidden="1"/>
    </xf>
    <xf numFmtId="10" fontId="0" fillId="4" borderId="228" xfId="0" applyNumberFormat="1" applyFill="1" applyBorder="1" applyProtection="1">
      <protection hidden="1"/>
    </xf>
    <xf numFmtId="10" fontId="0" fillId="4" borderId="214" xfId="0" applyNumberFormat="1" applyFill="1" applyBorder="1" applyProtection="1">
      <protection hidden="1"/>
    </xf>
    <xf numFmtId="173" fontId="8" fillId="0" borderId="50" xfId="0" applyFont="1" applyBorder="1" applyAlignment="1" applyProtection="1">
      <alignment horizontal="center"/>
      <protection hidden="1"/>
    </xf>
    <xf numFmtId="173" fontId="8" fillId="0" borderId="211" xfId="0" applyFont="1" applyBorder="1" applyProtection="1">
      <protection hidden="1"/>
    </xf>
    <xf numFmtId="173" fontId="8" fillId="0" borderId="127" xfId="0" applyFont="1" applyBorder="1" applyProtection="1">
      <protection hidden="1"/>
    </xf>
    <xf numFmtId="173" fontId="8" fillId="0" borderId="129" xfId="0" applyFont="1" applyBorder="1" applyProtection="1">
      <protection hidden="1"/>
    </xf>
    <xf numFmtId="164" fontId="0" fillId="4" borderId="228" xfId="0" applyNumberFormat="1" applyFill="1" applyBorder="1" applyProtection="1">
      <protection hidden="1"/>
    </xf>
    <xf numFmtId="164" fontId="0" fillId="4" borderId="85" xfId="0" applyNumberFormat="1" applyFill="1" applyBorder="1" applyProtection="1">
      <protection hidden="1"/>
    </xf>
    <xf numFmtId="164" fontId="0" fillId="4" borderId="214" xfId="0" applyNumberFormat="1" applyFill="1" applyBorder="1" applyProtection="1">
      <protection hidden="1"/>
    </xf>
    <xf numFmtId="173" fontId="8" fillId="0" borderId="204" xfId="0" applyFont="1" applyBorder="1" applyProtection="1">
      <protection hidden="1"/>
    </xf>
    <xf numFmtId="173" fontId="8" fillId="0" borderId="231" xfId="0" applyFont="1" applyBorder="1" applyProtection="1">
      <protection hidden="1"/>
    </xf>
    <xf numFmtId="173" fontId="7" fillId="4" borderId="88" xfId="0" applyFont="1" applyFill="1" applyBorder="1" applyAlignment="1" applyProtection="1">
      <alignment horizontal="right"/>
      <protection hidden="1"/>
    </xf>
    <xf numFmtId="10" fontId="7" fillId="4" borderId="88" xfId="0" applyNumberFormat="1" applyFont="1" applyFill="1" applyBorder="1" applyAlignment="1" applyProtection="1">
      <alignment horizontal="right"/>
      <protection hidden="1"/>
    </xf>
    <xf numFmtId="10" fontId="7" fillId="4" borderId="234" xfId="0" applyNumberFormat="1" applyFont="1" applyFill="1" applyBorder="1" applyAlignment="1" applyProtection="1">
      <alignment horizontal="right"/>
      <protection hidden="1"/>
    </xf>
    <xf numFmtId="10" fontId="0" fillId="4" borderId="244" xfId="0" applyNumberFormat="1" applyFill="1" applyBorder="1" applyAlignment="1" applyProtection="1">
      <alignment horizontal="right"/>
      <protection hidden="1"/>
    </xf>
    <xf numFmtId="1" fontId="0" fillId="4" borderId="42" xfId="0" applyNumberFormat="1" applyFill="1" applyBorder="1" applyAlignment="1" applyProtection="1">
      <alignment horizontal="center"/>
      <protection hidden="1"/>
    </xf>
    <xf numFmtId="1" fontId="0" fillId="4" borderId="105" xfId="0" applyNumberFormat="1" applyFill="1" applyBorder="1" applyAlignment="1" applyProtection="1">
      <alignment horizontal="center"/>
      <protection hidden="1"/>
    </xf>
    <xf numFmtId="1" fontId="0" fillId="4" borderId="112" xfId="0" applyNumberFormat="1" applyFill="1" applyBorder="1" applyAlignment="1" applyProtection="1">
      <alignment horizontal="center"/>
      <protection hidden="1"/>
    </xf>
    <xf numFmtId="173" fontId="8" fillId="0" borderId="133" xfId="0" applyFont="1" applyBorder="1" applyProtection="1">
      <protection hidden="1"/>
    </xf>
    <xf numFmtId="10" fontId="0" fillId="4" borderId="91" xfId="0" applyNumberFormat="1" applyFill="1" applyBorder="1" applyProtection="1">
      <protection hidden="1"/>
    </xf>
    <xf numFmtId="10" fontId="0" fillId="4" borderId="106" xfId="0" applyNumberFormat="1" applyFill="1" applyBorder="1" applyProtection="1">
      <protection hidden="1"/>
    </xf>
    <xf numFmtId="10" fontId="0" fillId="4" borderId="114" xfId="0" applyNumberFormat="1" applyFill="1" applyBorder="1" applyProtection="1">
      <protection hidden="1"/>
    </xf>
    <xf numFmtId="173" fontId="7" fillId="4" borderId="234" xfId="0" applyFont="1" applyFill="1" applyBorder="1" applyProtection="1">
      <protection hidden="1"/>
    </xf>
    <xf numFmtId="10" fontId="7" fillId="4" borderId="88" xfId="0" applyNumberFormat="1" applyFont="1" applyFill="1" applyBorder="1" applyProtection="1">
      <protection hidden="1"/>
    </xf>
    <xf numFmtId="10" fontId="7" fillId="4" borderId="234" xfId="0" applyNumberFormat="1" applyFont="1" applyFill="1" applyBorder="1" applyProtection="1">
      <protection hidden="1"/>
    </xf>
    <xf numFmtId="10" fontId="0" fillId="4" borderId="244" xfId="0" applyNumberFormat="1" applyFill="1" applyBorder="1" applyProtection="1">
      <protection hidden="1"/>
    </xf>
    <xf numFmtId="10" fontId="0" fillId="4" borderId="105" xfId="4" applyNumberFormat="1" applyFont="1" applyFill="1" applyBorder="1" applyAlignment="1" applyProtection="1">
      <alignment horizontal="center"/>
      <protection hidden="1"/>
    </xf>
    <xf numFmtId="10" fontId="0" fillId="4" borderId="42" xfId="4" applyNumberFormat="1" applyFont="1" applyFill="1" applyBorder="1" applyAlignment="1" applyProtection="1">
      <alignment horizontal="center"/>
      <protection hidden="1"/>
    </xf>
    <xf numFmtId="9" fontId="0" fillId="4" borderId="112" xfId="4" applyFont="1" applyFill="1" applyBorder="1" applyAlignment="1" applyProtection="1">
      <alignment horizontal="center"/>
      <protection hidden="1"/>
    </xf>
    <xf numFmtId="173" fontId="33" fillId="31" borderId="47" xfId="0" applyFont="1" applyFill="1" applyBorder="1" applyAlignment="1">
      <alignment horizontal="center" vertical="center"/>
    </xf>
    <xf numFmtId="173" fontId="93" fillId="35" borderId="202" xfId="0" applyFont="1" applyFill="1" applyBorder="1" applyAlignment="1" applyProtection="1">
      <alignment horizontal="center" vertical="center" wrapText="1"/>
      <protection hidden="1"/>
    </xf>
    <xf numFmtId="173" fontId="33" fillId="27" borderId="128" xfId="0" applyFont="1" applyFill="1" applyBorder="1" applyAlignment="1" applyProtection="1">
      <alignment horizontal="left" vertical="center"/>
      <protection hidden="1"/>
    </xf>
    <xf numFmtId="173" fontId="15" fillId="27" borderId="128" xfId="0" applyFont="1" applyFill="1" applyBorder="1" applyAlignment="1" applyProtection="1">
      <alignment horizontal="left" vertical="center"/>
      <protection hidden="1"/>
    </xf>
    <xf numFmtId="173" fontId="15" fillId="48" borderId="128" xfId="0" applyFont="1" applyFill="1" applyBorder="1" applyAlignment="1" applyProtection="1">
      <alignment horizontal="left" vertical="center"/>
      <protection hidden="1"/>
    </xf>
    <xf numFmtId="173" fontId="33" fillId="48" borderId="128" xfId="0" applyFont="1" applyFill="1" applyBorder="1" applyAlignment="1" applyProtection="1">
      <alignment horizontal="left" vertical="center"/>
      <protection hidden="1"/>
    </xf>
    <xf numFmtId="173" fontId="15" fillId="25" borderId="128" xfId="0" applyFont="1" applyFill="1" applyBorder="1" applyAlignment="1" applyProtection="1">
      <alignment horizontal="left" vertical="center"/>
      <protection hidden="1"/>
    </xf>
    <xf numFmtId="173" fontId="15" fillId="30" borderId="128" xfId="0" applyFont="1" applyFill="1" applyBorder="1" applyAlignment="1" applyProtection="1">
      <alignment horizontal="left" vertical="center"/>
      <protection hidden="1"/>
    </xf>
    <xf numFmtId="173" fontId="15" fillId="19" borderId="128" xfId="0" applyFont="1" applyFill="1" applyBorder="1" applyAlignment="1" applyProtection="1">
      <alignment horizontal="left" vertical="center"/>
      <protection hidden="1"/>
    </xf>
    <xf numFmtId="173" fontId="15" fillId="19" borderId="129" xfId="0" applyFont="1" applyFill="1" applyBorder="1" applyAlignment="1" applyProtection="1">
      <alignment horizontal="left" vertical="center"/>
      <protection hidden="1"/>
    </xf>
    <xf numFmtId="173" fontId="33" fillId="24" borderId="128" xfId="0" applyFont="1" applyFill="1" applyBorder="1" applyAlignment="1" applyProtection="1">
      <alignment horizontal="left" vertical="center"/>
      <protection hidden="1"/>
    </xf>
    <xf numFmtId="173" fontId="15" fillId="24" borderId="128" xfId="0" applyFont="1" applyFill="1" applyBorder="1" applyAlignment="1" applyProtection="1">
      <alignment horizontal="left" vertical="center"/>
      <protection hidden="1"/>
    </xf>
    <xf numFmtId="173" fontId="104" fillId="31" borderId="129" xfId="3" applyFont="1" applyFill="1" applyBorder="1" applyAlignment="1"/>
    <xf numFmtId="173" fontId="106" fillId="31" borderId="127" xfId="3" applyFont="1" applyFill="1" applyBorder="1" applyAlignment="1"/>
    <xf numFmtId="173" fontId="104" fillId="31" borderId="128" xfId="3" applyFont="1" applyFill="1" applyBorder="1" applyAlignment="1"/>
    <xf numFmtId="173" fontId="105" fillId="31" borderId="128" xfId="3" applyFont="1" applyFill="1" applyBorder="1"/>
    <xf numFmtId="1" fontId="105" fillId="31" borderId="128" xfId="3" applyNumberFormat="1" applyFont="1" applyFill="1" applyBorder="1"/>
    <xf numFmtId="0" fontId="37" fillId="0" borderId="76" xfId="0" applyNumberFormat="1" applyFont="1" applyFill="1" applyBorder="1" applyAlignment="1" applyProtection="1">
      <alignment horizontal="center" vertical="center"/>
      <protection hidden="1"/>
    </xf>
    <xf numFmtId="173" fontId="93" fillId="0" borderId="0" xfId="0" applyFont="1" applyFill="1" applyBorder="1" applyAlignment="1" applyProtection="1">
      <alignment horizontal="center" vertical="center" wrapText="1"/>
      <protection hidden="1"/>
    </xf>
    <xf numFmtId="173" fontId="93" fillId="0" borderId="128" xfId="0" applyFont="1" applyFill="1" applyBorder="1" applyAlignment="1" applyProtection="1">
      <alignment horizontal="center" vertical="center" wrapText="1"/>
      <protection hidden="1"/>
    </xf>
    <xf numFmtId="0" fontId="33" fillId="0" borderId="76" xfId="0" applyNumberFormat="1" applyFont="1" applyFill="1" applyBorder="1" applyAlignment="1" applyProtection="1">
      <alignment horizontal="center" vertical="center"/>
      <protection hidden="1"/>
    </xf>
    <xf numFmtId="1" fontId="0" fillId="0" borderId="0" xfId="0" applyNumberFormat="1" applyFill="1" applyBorder="1" applyProtection="1">
      <protection hidden="1"/>
    </xf>
    <xf numFmtId="173" fontId="0" fillId="0" borderId="128" xfId="0" applyFill="1" applyBorder="1" applyAlignment="1" applyProtection="1">
      <alignment vertical="center"/>
      <protection hidden="1"/>
    </xf>
    <xf numFmtId="173" fontId="0" fillId="0" borderId="0" xfId="0" applyFill="1" applyBorder="1" applyAlignment="1" applyProtection="1">
      <alignment vertical="center"/>
      <protection hidden="1"/>
    </xf>
    <xf numFmtId="167" fontId="0" fillId="0" borderId="0" xfId="2" applyNumberFormat="1" applyFont="1" applyFill="1" applyBorder="1" applyProtection="1">
      <protection hidden="1"/>
    </xf>
    <xf numFmtId="173" fontId="33" fillId="19" borderId="19" xfId="0" applyFont="1" applyFill="1" applyBorder="1" applyAlignment="1" applyProtection="1">
      <alignment vertical="center"/>
      <protection hidden="1"/>
    </xf>
    <xf numFmtId="173" fontId="33" fillId="19" borderId="19" xfId="0" applyFont="1" applyFill="1" applyBorder="1" applyAlignment="1" applyProtection="1">
      <alignment horizontal="left" vertical="center"/>
      <protection hidden="1"/>
    </xf>
    <xf numFmtId="173" fontId="33" fillId="19" borderId="200" xfId="0" applyFont="1" applyFill="1" applyBorder="1" applyAlignment="1" applyProtection="1">
      <alignment horizontal="left" vertical="center"/>
      <protection hidden="1"/>
    </xf>
    <xf numFmtId="173" fontId="8" fillId="19" borderId="127" xfId="0" applyFont="1" applyFill="1" applyBorder="1" applyAlignment="1" applyProtection="1">
      <alignment vertical="center"/>
      <protection hidden="1"/>
    </xf>
    <xf numFmtId="173" fontId="8" fillId="19" borderId="129" xfId="0" applyFont="1" applyFill="1" applyBorder="1" applyAlignment="1" applyProtection="1">
      <alignment vertical="center"/>
      <protection hidden="1"/>
    </xf>
    <xf numFmtId="173" fontId="8" fillId="19" borderId="243" xfId="0" applyFont="1" applyFill="1" applyBorder="1" applyAlignment="1" applyProtection="1">
      <alignment vertical="center"/>
      <protection hidden="1"/>
    </xf>
    <xf numFmtId="173" fontId="33" fillId="19" borderId="128" xfId="0" applyFont="1" applyFill="1" applyBorder="1" applyAlignment="1" applyProtection="1">
      <alignment vertical="center"/>
      <protection hidden="1"/>
    </xf>
    <xf numFmtId="173" fontId="15" fillId="19" borderId="128" xfId="0" applyFont="1" applyFill="1" applyBorder="1" applyAlignment="1" applyProtection="1">
      <alignment vertical="center"/>
      <protection hidden="1"/>
    </xf>
    <xf numFmtId="1" fontId="37" fillId="0" borderId="235" xfId="0" applyNumberFormat="1" applyFont="1" applyFill="1" applyBorder="1" applyAlignment="1" applyProtection="1">
      <alignment horizontal="center" vertical="center"/>
      <protection hidden="1"/>
    </xf>
    <xf numFmtId="1" fontId="37" fillId="0" borderId="170" xfId="0" applyNumberFormat="1" applyFont="1" applyFill="1" applyBorder="1" applyAlignment="1" applyProtection="1">
      <alignment horizontal="center" vertical="center"/>
      <protection hidden="1"/>
    </xf>
    <xf numFmtId="1" fontId="37" fillId="0" borderId="141" xfId="0" applyNumberFormat="1" applyFont="1" applyFill="1" applyBorder="1" applyAlignment="1" applyProtection="1">
      <alignment horizontal="center" vertical="center"/>
      <protection hidden="1"/>
    </xf>
    <xf numFmtId="173" fontId="94" fillId="0" borderId="133" xfId="0" applyFont="1" applyBorder="1" applyAlignment="1" applyProtection="1">
      <alignment vertical="center"/>
      <protection hidden="1"/>
    </xf>
    <xf numFmtId="173" fontId="94" fillId="0" borderId="91" xfId="0" applyFont="1" applyBorder="1" applyAlignment="1" applyProtection="1">
      <alignment vertical="center"/>
      <protection hidden="1"/>
    </xf>
    <xf numFmtId="167" fontId="94" fillId="0" borderId="136" xfId="0" applyNumberFormat="1" applyFont="1" applyBorder="1" applyAlignment="1" applyProtection="1">
      <alignment vertical="center"/>
      <protection hidden="1"/>
    </xf>
    <xf numFmtId="173" fontId="94" fillId="0" borderId="232" xfId="0" applyFont="1" applyBorder="1" applyAlignment="1" applyProtection="1">
      <alignment vertical="center"/>
      <protection hidden="1"/>
    </xf>
    <xf numFmtId="173" fontId="94" fillId="0" borderId="170" xfId="0" applyFont="1" applyBorder="1" applyAlignment="1" applyProtection="1">
      <alignment vertical="center"/>
      <protection hidden="1"/>
    </xf>
    <xf numFmtId="167" fontId="94" fillId="0" borderId="229" xfId="0" applyNumberFormat="1" applyFont="1" applyBorder="1" applyAlignment="1" applyProtection="1">
      <alignment vertical="center"/>
      <protection hidden="1"/>
    </xf>
    <xf numFmtId="173" fontId="37" fillId="0" borderId="95" xfId="0" applyFont="1" applyBorder="1" applyAlignment="1" applyProtection="1">
      <alignment vertical="center"/>
      <protection hidden="1"/>
    </xf>
    <xf numFmtId="173" fontId="37" fillId="0" borderId="12" xfId="0" applyFont="1" applyBorder="1" applyAlignment="1" applyProtection="1">
      <alignment vertical="center"/>
      <protection hidden="1"/>
    </xf>
    <xf numFmtId="173" fontId="37" fillId="0" borderId="32" xfId="0" applyFont="1" applyBorder="1" applyAlignment="1" applyProtection="1">
      <alignment vertical="center"/>
      <protection hidden="1"/>
    </xf>
    <xf numFmtId="167" fontId="37" fillId="0" borderId="128" xfId="0" applyNumberFormat="1" applyFont="1" applyFill="1" applyBorder="1" applyAlignment="1" applyProtection="1">
      <alignment vertical="center"/>
      <protection hidden="1"/>
    </xf>
    <xf numFmtId="167" fontId="94" fillId="0" borderId="128" xfId="0" applyNumberFormat="1" applyFont="1" applyFill="1" applyBorder="1" applyAlignment="1" applyProtection="1">
      <alignment horizontal="center" vertical="center"/>
      <protection hidden="1"/>
    </xf>
    <xf numFmtId="173" fontId="37" fillId="0" borderId="128" xfId="0" applyFont="1" applyFill="1" applyBorder="1" applyAlignment="1" applyProtection="1">
      <alignment vertical="center"/>
      <protection hidden="1"/>
    </xf>
    <xf numFmtId="173" fontId="37" fillId="0" borderId="19" xfId="0" applyFont="1" applyFill="1" applyBorder="1" applyAlignment="1" applyProtection="1">
      <alignment vertical="center"/>
      <protection hidden="1"/>
    </xf>
    <xf numFmtId="173" fontId="33" fillId="24" borderId="128" xfId="0" applyFont="1" applyFill="1" applyBorder="1" applyAlignment="1" applyProtection="1">
      <alignment vertical="center"/>
      <protection hidden="1"/>
    </xf>
    <xf numFmtId="173" fontId="33" fillId="24" borderId="129" xfId="0" applyFont="1" applyFill="1" applyBorder="1" applyAlignment="1" applyProtection="1">
      <alignment horizontal="left" vertical="center"/>
      <protection hidden="1"/>
    </xf>
    <xf numFmtId="173" fontId="33" fillId="25" borderId="128" xfId="0" applyFont="1" applyFill="1" applyBorder="1" applyAlignment="1" applyProtection="1">
      <alignment vertical="center"/>
      <protection hidden="1"/>
    </xf>
    <xf numFmtId="173" fontId="15" fillId="24" borderId="128" xfId="0" applyFont="1" applyFill="1" applyBorder="1" applyAlignment="1" applyProtection="1">
      <alignment vertical="center"/>
      <protection hidden="1"/>
    </xf>
    <xf numFmtId="173" fontId="15" fillId="24" borderId="129" xfId="0" applyFont="1" applyFill="1" applyBorder="1" applyAlignment="1" applyProtection="1">
      <alignment horizontal="left" vertical="center"/>
      <protection hidden="1"/>
    </xf>
    <xf numFmtId="1" fontId="33" fillId="0" borderId="0" xfId="0" applyNumberFormat="1" applyFont="1" applyFill="1" applyBorder="1" applyAlignment="1" applyProtection="1">
      <alignment horizontal="center" vertical="center"/>
      <protection hidden="1"/>
    </xf>
    <xf numFmtId="173" fontId="33" fillId="0" borderId="128" xfId="0" applyFont="1" applyFill="1" applyBorder="1" applyAlignment="1" applyProtection="1">
      <alignment horizontal="right" vertical="center"/>
      <protection hidden="1"/>
    </xf>
    <xf numFmtId="1" fontId="33" fillId="0" borderId="128" xfId="0" applyNumberFormat="1" applyFont="1" applyFill="1" applyBorder="1" applyAlignment="1" applyProtection="1">
      <alignment horizontal="center" vertical="center"/>
      <protection hidden="1"/>
    </xf>
    <xf numFmtId="167" fontId="94" fillId="0" borderId="60" xfId="0" applyNumberFormat="1" applyFont="1" applyFill="1" applyBorder="1" applyAlignment="1" applyProtection="1">
      <alignment horizontal="center" vertical="center"/>
      <protection hidden="1"/>
    </xf>
    <xf numFmtId="173" fontId="89" fillId="0" borderId="60" xfId="0" applyFont="1" applyBorder="1" applyAlignment="1" applyProtection="1">
      <alignment vertical="center"/>
      <protection hidden="1"/>
    </xf>
    <xf numFmtId="173" fontId="37" fillId="0" borderId="128" xfId="0" applyFont="1" applyBorder="1" applyAlignment="1" applyProtection="1">
      <alignment vertical="center"/>
      <protection hidden="1"/>
    </xf>
    <xf numFmtId="173" fontId="89" fillId="0" borderId="128" xfId="0" applyFont="1" applyBorder="1" applyAlignment="1" applyProtection="1">
      <alignment vertical="center"/>
      <protection hidden="1"/>
    </xf>
    <xf numFmtId="173" fontId="89" fillId="0" borderId="135" xfId="0" applyFont="1" applyBorder="1" applyAlignment="1" applyProtection="1">
      <alignment vertical="center"/>
      <protection hidden="1"/>
    </xf>
    <xf numFmtId="173" fontId="33" fillId="25" borderId="19" xfId="0" applyFont="1" applyFill="1" applyBorder="1" applyAlignment="1" applyProtection="1">
      <alignment vertical="center"/>
      <protection hidden="1"/>
    </xf>
    <xf numFmtId="173" fontId="33" fillId="25" borderId="19" xfId="0" applyFont="1" applyFill="1" applyBorder="1" applyAlignment="1" applyProtection="1">
      <alignment horizontal="left" vertical="center"/>
      <protection hidden="1"/>
    </xf>
    <xf numFmtId="173" fontId="33" fillId="25" borderId="200" xfId="0" applyFont="1" applyFill="1" applyBorder="1" applyAlignment="1" applyProtection="1">
      <alignment horizontal="left" vertical="center"/>
      <protection hidden="1"/>
    </xf>
    <xf numFmtId="173" fontId="15" fillId="25" borderId="0" xfId="0" applyFont="1" applyFill="1" applyBorder="1" applyAlignment="1" applyProtection="1">
      <alignment vertical="center"/>
      <protection hidden="1"/>
    </xf>
    <xf numFmtId="173" fontId="15" fillId="25" borderId="128" xfId="0" applyFont="1" applyFill="1" applyBorder="1" applyAlignment="1" applyProtection="1">
      <alignment vertical="center"/>
      <protection hidden="1"/>
    </xf>
    <xf numFmtId="173" fontId="15" fillId="25" borderId="202" xfId="0" applyFont="1" applyFill="1" applyBorder="1" applyAlignment="1" applyProtection="1">
      <alignment horizontal="left" vertical="center"/>
      <protection hidden="1"/>
    </xf>
    <xf numFmtId="173" fontId="15" fillId="25" borderId="129" xfId="0" applyFont="1" applyFill="1" applyBorder="1" applyAlignment="1" applyProtection="1">
      <alignment horizontal="left" vertical="center"/>
      <protection hidden="1"/>
    </xf>
    <xf numFmtId="173" fontId="0" fillId="0" borderId="211" xfId="0" applyBorder="1" applyAlignment="1" applyProtection="1">
      <alignment vertical="center"/>
      <protection hidden="1"/>
    </xf>
    <xf numFmtId="173" fontId="0" fillId="0" borderId="228" xfId="0" applyBorder="1" applyAlignment="1" applyProtection="1">
      <alignment vertical="center"/>
      <protection hidden="1"/>
    </xf>
    <xf numFmtId="173" fontId="0" fillId="0" borderId="85" xfId="0" applyBorder="1" applyAlignment="1" applyProtection="1">
      <alignment vertical="center"/>
      <protection hidden="1"/>
    </xf>
    <xf numFmtId="173" fontId="37" fillId="0" borderId="228" xfId="0" applyFont="1" applyBorder="1" applyAlignment="1" applyProtection="1">
      <alignment vertical="center"/>
      <protection hidden="1"/>
    </xf>
    <xf numFmtId="173" fontId="37" fillId="0" borderId="85" xfId="0" applyFont="1" applyBorder="1" applyAlignment="1" applyProtection="1">
      <alignment vertical="center"/>
      <protection hidden="1"/>
    </xf>
    <xf numFmtId="173" fontId="37" fillId="0" borderId="206" xfId="0" applyFont="1" applyBorder="1" applyAlignment="1" applyProtection="1">
      <alignment vertical="center"/>
      <protection hidden="1"/>
    </xf>
    <xf numFmtId="0" fontId="89" fillId="0" borderId="85" xfId="0" applyNumberFormat="1" applyFont="1" applyFill="1" applyBorder="1" applyAlignment="1" applyProtection="1">
      <alignment horizontal="left" vertical="center"/>
      <protection hidden="1"/>
    </xf>
    <xf numFmtId="173" fontId="89" fillId="0" borderId="213" xfId="0" applyFont="1" applyBorder="1" applyAlignment="1" applyProtection="1">
      <alignment vertical="center"/>
      <protection hidden="1"/>
    </xf>
    <xf numFmtId="173" fontId="89" fillId="0" borderId="128" xfId="0" applyFont="1" applyFill="1" applyBorder="1" applyAlignment="1" applyProtection="1">
      <alignment vertical="center"/>
      <protection hidden="1"/>
    </xf>
    <xf numFmtId="173" fontId="33" fillId="30" borderId="19" xfId="0" applyFont="1" applyFill="1" applyBorder="1" applyAlignment="1" applyProtection="1">
      <alignment vertical="center"/>
      <protection hidden="1"/>
    </xf>
    <xf numFmtId="173" fontId="33" fillId="30" borderId="19" xfId="0" applyFont="1" applyFill="1" applyBorder="1" applyAlignment="1" applyProtection="1">
      <alignment horizontal="left" vertical="center"/>
      <protection hidden="1"/>
    </xf>
    <xf numFmtId="173" fontId="33" fillId="30" borderId="200" xfId="0" applyFont="1" applyFill="1" applyBorder="1" applyAlignment="1" applyProtection="1">
      <alignment horizontal="left" vertical="center"/>
      <protection hidden="1"/>
    </xf>
    <xf numFmtId="173" fontId="15" fillId="30" borderId="128" xfId="0" applyFont="1" applyFill="1" applyBorder="1" applyAlignment="1" applyProtection="1">
      <alignment vertical="center"/>
      <protection hidden="1"/>
    </xf>
    <xf numFmtId="173" fontId="15" fillId="30" borderId="129" xfId="0" applyFont="1" applyFill="1" applyBorder="1" applyAlignment="1" applyProtection="1">
      <alignment horizontal="left" vertical="center"/>
      <protection hidden="1"/>
    </xf>
    <xf numFmtId="167" fontId="37" fillId="0" borderId="60" xfId="0" applyNumberFormat="1" applyFont="1" applyBorder="1" applyAlignment="1" applyProtection="1">
      <alignment vertical="center"/>
      <protection hidden="1"/>
    </xf>
    <xf numFmtId="167" fontId="37" fillId="0" borderId="92" xfId="0" applyNumberFormat="1" applyFont="1" applyBorder="1" applyAlignment="1" applyProtection="1">
      <alignment vertical="center"/>
      <protection hidden="1"/>
    </xf>
    <xf numFmtId="173" fontId="89" fillId="0" borderId="206" xfId="0" applyFont="1" applyBorder="1" applyAlignment="1" applyProtection="1">
      <alignment vertical="center"/>
      <protection hidden="1"/>
    </xf>
    <xf numFmtId="173" fontId="37" fillId="0" borderId="14" xfId="0" applyFont="1" applyFill="1" applyBorder="1" applyAlignment="1" applyProtection="1">
      <alignment vertical="center"/>
      <protection hidden="1"/>
    </xf>
    <xf numFmtId="167" fontId="37" fillId="0" borderId="14" xfId="0" applyNumberFormat="1" applyFont="1" applyFill="1" applyBorder="1" applyAlignment="1" applyProtection="1">
      <alignment vertical="center"/>
      <protection hidden="1"/>
    </xf>
    <xf numFmtId="173" fontId="89" fillId="0" borderId="14" xfId="0" applyFont="1" applyBorder="1" applyAlignment="1" applyProtection="1">
      <alignment vertical="center"/>
      <protection hidden="1"/>
    </xf>
    <xf numFmtId="173" fontId="33" fillId="27" borderId="128" xfId="0" applyFont="1" applyFill="1" applyBorder="1" applyAlignment="1" applyProtection="1">
      <alignment vertical="center"/>
      <protection hidden="1"/>
    </xf>
    <xf numFmtId="173" fontId="33" fillId="27" borderId="129" xfId="0" applyFont="1" applyFill="1" applyBorder="1" applyAlignment="1" applyProtection="1">
      <alignment horizontal="left" vertical="center"/>
      <protection hidden="1"/>
    </xf>
    <xf numFmtId="173" fontId="15" fillId="27" borderId="128" xfId="0" applyFont="1" applyFill="1" applyBorder="1" applyAlignment="1" applyProtection="1">
      <alignment vertical="center"/>
      <protection hidden="1"/>
    </xf>
    <xf numFmtId="173" fontId="15" fillId="27" borderId="129" xfId="0" applyFont="1" applyFill="1" applyBorder="1" applyAlignment="1" applyProtection="1">
      <alignment horizontal="left" vertical="center"/>
      <protection hidden="1"/>
    </xf>
    <xf numFmtId="173" fontId="0" fillId="0" borderId="129" xfId="0" applyFill="1" applyBorder="1" applyAlignment="1" applyProtection="1">
      <alignment vertical="center"/>
      <protection hidden="1"/>
    </xf>
    <xf numFmtId="173" fontId="33" fillId="48" borderId="129" xfId="0" applyFont="1" applyFill="1" applyBorder="1" applyAlignment="1" applyProtection="1">
      <alignment horizontal="left" vertical="center"/>
      <protection hidden="1"/>
    </xf>
    <xf numFmtId="173" fontId="15" fillId="48" borderId="129" xfId="0" applyFont="1" applyFill="1" applyBorder="1" applyAlignment="1" applyProtection="1">
      <alignment horizontal="left" vertical="center"/>
      <protection hidden="1"/>
    </xf>
    <xf numFmtId="173" fontId="33" fillId="31" borderId="144" xfId="0" applyFont="1" applyFill="1" applyBorder="1" applyAlignment="1" applyProtection="1">
      <alignment horizontal="right" vertical="center"/>
      <protection hidden="1"/>
    </xf>
    <xf numFmtId="1" fontId="33" fillId="31" borderId="60" xfId="0" applyNumberFormat="1" applyFont="1" applyFill="1" applyBorder="1" applyAlignment="1" applyProtection="1">
      <alignment horizontal="center" vertical="center"/>
      <protection hidden="1"/>
    </xf>
    <xf numFmtId="1" fontId="33" fillId="31" borderId="92" xfId="0" applyNumberFormat="1" applyFont="1" applyFill="1" applyBorder="1" applyAlignment="1" applyProtection="1">
      <alignment horizontal="center" vertical="center"/>
      <protection hidden="1"/>
    </xf>
    <xf numFmtId="173" fontId="33" fillId="46" borderId="109" xfId="0" applyFont="1" applyFill="1" applyBorder="1" applyAlignment="1" applyProtection="1">
      <alignment horizontal="left" vertical="center"/>
      <protection hidden="1"/>
    </xf>
    <xf numFmtId="1" fontId="33" fillId="31" borderId="213" xfId="0" applyNumberFormat="1" applyFont="1" applyFill="1" applyBorder="1" applyAlignment="1" applyProtection="1">
      <alignment horizontal="center" vertical="center"/>
      <protection hidden="1"/>
    </xf>
    <xf numFmtId="173" fontId="33" fillId="46" borderId="129" xfId="0" applyFont="1" applyFill="1" applyBorder="1" applyAlignment="1" applyProtection="1">
      <alignment horizontal="left" vertical="center"/>
      <protection hidden="1"/>
    </xf>
    <xf numFmtId="173" fontId="15" fillId="46" borderId="129" xfId="0" applyFont="1" applyFill="1" applyBorder="1" applyAlignment="1" applyProtection="1">
      <alignment horizontal="left" vertical="center"/>
      <protection hidden="1"/>
    </xf>
    <xf numFmtId="1" fontId="33" fillId="31" borderId="209" xfId="0" applyNumberFormat="1" applyFont="1" applyFill="1" applyBorder="1" applyAlignment="1" applyProtection="1">
      <alignment horizontal="center" vertical="center"/>
      <protection hidden="1"/>
    </xf>
    <xf numFmtId="173" fontId="37" fillId="0" borderId="46" xfId="0" applyFont="1" applyBorder="1" applyAlignment="1" applyProtection="1">
      <alignment vertical="center"/>
      <protection hidden="1"/>
    </xf>
    <xf numFmtId="173" fontId="89" fillId="0" borderId="67" xfId="0" applyFont="1" applyBorder="1" applyAlignment="1" applyProtection="1">
      <alignment vertical="center"/>
      <protection hidden="1"/>
    </xf>
    <xf numFmtId="173" fontId="37" fillId="0" borderId="253" xfId="0" applyFont="1" applyBorder="1" applyAlignment="1" applyProtection="1">
      <alignment vertical="center"/>
      <protection hidden="1"/>
    </xf>
    <xf numFmtId="173" fontId="37" fillId="0" borderId="128" xfId="0" applyFont="1" applyFill="1" applyBorder="1" applyProtection="1">
      <protection hidden="1"/>
    </xf>
    <xf numFmtId="167" fontId="37" fillId="0" borderId="128" xfId="0" applyNumberFormat="1" applyFont="1" applyFill="1" applyBorder="1" applyProtection="1">
      <protection hidden="1"/>
    </xf>
    <xf numFmtId="173" fontId="0" fillId="0" borderId="128" xfId="0" applyFill="1" applyBorder="1" applyProtection="1">
      <protection hidden="1"/>
    </xf>
    <xf numFmtId="173" fontId="109" fillId="0" borderId="65" xfId="3" applyFont="1" applyBorder="1" applyAlignment="1">
      <alignment horizontal="center"/>
    </xf>
    <xf numFmtId="173" fontId="108" fillId="0" borderId="0" xfId="3" applyFont="1" applyBorder="1" applyAlignment="1">
      <alignment horizontal="right"/>
    </xf>
    <xf numFmtId="173" fontId="109" fillId="0" borderId="0" xfId="3" applyFont="1" applyBorder="1" applyAlignment="1">
      <alignment horizontal="center"/>
    </xf>
    <xf numFmtId="173" fontId="44" fillId="0" borderId="65" xfId="3" applyFont="1" applyBorder="1" applyAlignment="1">
      <alignment horizontal="left"/>
    </xf>
    <xf numFmtId="173" fontId="109" fillId="0" borderId="76" xfId="3" applyFont="1" applyBorder="1" applyAlignment="1">
      <alignment horizontal="center"/>
    </xf>
    <xf numFmtId="173" fontId="37" fillId="0" borderId="45" xfId="0" applyFont="1" applyBorder="1" applyAlignment="1">
      <alignment vertical="top"/>
    </xf>
    <xf numFmtId="1" fontId="15" fillId="0" borderId="52" xfId="0" applyNumberFormat="1" applyFont="1" applyBorder="1" applyAlignment="1">
      <alignment horizontal="right" vertical="top"/>
    </xf>
    <xf numFmtId="1" fontId="89" fillId="0" borderId="50" xfId="0" applyNumberFormat="1" applyFont="1" applyFill="1" applyBorder="1" applyAlignment="1" applyProtection="1">
      <alignment horizontal="center" vertical="center"/>
      <protection hidden="1"/>
    </xf>
    <xf numFmtId="173" fontId="0" fillId="0" borderId="19" xfId="0" applyBorder="1"/>
    <xf numFmtId="1" fontId="75" fillId="0" borderId="50" xfId="3" applyNumberFormat="1" applyFont="1" applyBorder="1" applyAlignment="1">
      <alignment horizontal="center"/>
    </xf>
    <xf numFmtId="173" fontId="108" fillId="0" borderId="95" xfId="3" applyFont="1" applyBorder="1" applyAlignment="1">
      <alignment horizontal="center"/>
    </xf>
    <xf numFmtId="1" fontId="44" fillId="0" borderId="42" xfId="3" applyNumberFormat="1" applyFont="1" applyBorder="1" applyAlignment="1">
      <alignment horizontal="center"/>
    </xf>
    <xf numFmtId="173" fontId="0" fillId="0" borderId="76" xfId="0" applyBorder="1"/>
    <xf numFmtId="1" fontId="75" fillId="0" borderId="135" xfId="3" applyNumberFormat="1" applyFont="1" applyBorder="1" applyAlignment="1">
      <alignment horizontal="center"/>
    </xf>
    <xf numFmtId="173" fontId="106" fillId="31" borderId="128" xfId="3" applyFont="1" applyFill="1" applyBorder="1"/>
    <xf numFmtId="1" fontId="109" fillId="0" borderId="105" xfId="3" applyNumberFormat="1" applyFont="1" applyBorder="1" applyAlignment="1">
      <alignment horizontal="center"/>
    </xf>
    <xf numFmtId="0" fontId="109" fillId="0" borderId="105" xfId="3" applyNumberFormat="1" applyFont="1" applyBorder="1" applyAlignment="1">
      <alignment horizontal="center"/>
    </xf>
    <xf numFmtId="0" fontId="108" fillId="0" borderId="42" xfId="3" applyNumberFormat="1" applyFont="1" applyBorder="1" applyAlignment="1">
      <alignment horizontal="center"/>
    </xf>
    <xf numFmtId="173" fontId="0" fillId="0" borderId="201" xfId="0" applyBorder="1"/>
    <xf numFmtId="173" fontId="108" fillId="0" borderId="109" xfId="3" applyFont="1" applyBorder="1" applyAlignment="1">
      <alignment horizontal="right"/>
    </xf>
    <xf numFmtId="9" fontId="44" fillId="0" borderId="32" xfId="7" applyFont="1" applyBorder="1" applyAlignment="1">
      <alignment horizontal="center"/>
    </xf>
    <xf numFmtId="9" fontId="108" fillId="0" borderId="12" xfId="7" applyFont="1" applyBorder="1" applyAlignment="1">
      <alignment horizontal="center"/>
    </xf>
    <xf numFmtId="1" fontId="44" fillId="0" borderId="255" xfId="7" applyNumberFormat="1" applyFont="1" applyBorder="1" applyAlignment="1">
      <alignment horizontal="center" vertical="center"/>
    </xf>
    <xf numFmtId="1" fontId="44" fillId="0" borderId="242" xfId="7" applyNumberFormat="1" applyFont="1" applyBorder="1" applyAlignment="1">
      <alignment horizontal="center" vertical="center"/>
    </xf>
    <xf numFmtId="1" fontId="109" fillId="0" borderId="88" xfId="3" applyNumberFormat="1" applyFont="1" applyBorder="1" applyAlignment="1">
      <alignment horizontal="center"/>
    </xf>
    <xf numFmtId="173" fontId="44" fillId="0" borderId="91" xfId="3" applyFont="1" applyBorder="1" applyAlignment="1"/>
    <xf numFmtId="173" fontId="44" fillId="0" borderId="64" xfId="3" applyFont="1" applyBorder="1" applyAlignment="1"/>
    <xf numFmtId="173" fontId="109" fillId="0" borderId="64" xfId="3" applyFont="1" applyBorder="1"/>
    <xf numFmtId="173" fontId="109" fillId="0" borderId="64" xfId="0" applyFont="1" applyBorder="1"/>
    <xf numFmtId="173" fontId="109" fillId="0" borderId="64" xfId="3" applyFont="1" applyBorder="1" applyAlignment="1">
      <alignment horizontal="left"/>
    </xf>
    <xf numFmtId="173" fontId="0" fillId="0" borderId="64" xfId="0" applyBorder="1"/>
    <xf numFmtId="173" fontId="44" fillId="0" borderId="64" xfId="3" applyFont="1" applyBorder="1" applyAlignment="1">
      <alignment horizontal="left"/>
    </xf>
    <xf numFmtId="173" fontId="0" fillId="0" borderId="65" xfId="0" applyBorder="1"/>
    <xf numFmtId="173" fontId="109" fillId="0" borderId="91" xfId="3" applyFont="1" applyBorder="1" applyAlignment="1">
      <alignment horizontal="left"/>
    </xf>
    <xf numFmtId="173" fontId="44" fillId="0" borderId="91" xfId="3" applyFont="1" applyBorder="1" applyAlignment="1">
      <alignment horizontal="left"/>
    </xf>
    <xf numFmtId="173" fontId="0" fillId="0" borderId="38" xfId="0" applyBorder="1"/>
    <xf numFmtId="1" fontId="108" fillId="0" borderId="133" xfId="3" applyNumberFormat="1" applyFont="1" applyBorder="1" applyAlignment="1">
      <alignment horizontal="left"/>
    </xf>
    <xf numFmtId="173" fontId="108" fillId="0" borderId="92" xfId="3" applyFont="1" applyBorder="1" applyAlignment="1"/>
    <xf numFmtId="0" fontId="109" fillId="0" borderId="91" xfId="3" applyNumberFormat="1" applyFont="1" applyBorder="1" applyAlignment="1">
      <alignment horizontal="left"/>
    </xf>
    <xf numFmtId="0" fontId="109" fillId="0" borderId="64" xfId="3" applyNumberFormat="1" applyFont="1" applyBorder="1" applyAlignment="1">
      <alignment horizontal="left"/>
    </xf>
    <xf numFmtId="0" fontId="109" fillId="0" borderId="91" xfId="3" applyNumberFormat="1" applyFont="1" applyBorder="1" applyAlignment="1"/>
    <xf numFmtId="0" fontId="109" fillId="0" borderId="64" xfId="3" applyNumberFormat="1" applyFont="1" applyBorder="1" applyAlignment="1"/>
    <xf numFmtId="0" fontId="75" fillId="0" borderId="135" xfId="3" applyNumberFormat="1" applyFont="1" applyBorder="1"/>
    <xf numFmtId="0" fontId="109" fillId="0" borderId="38" xfId="3" applyNumberFormat="1" applyFont="1" applyBorder="1" applyAlignment="1">
      <alignment horizontal="center"/>
    </xf>
    <xf numFmtId="0" fontId="109" fillId="0" borderId="106" xfId="3" applyNumberFormat="1" applyFont="1" applyBorder="1" applyAlignment="1">
      <alignment horizontal="left"/>
    </xf>
    <xf numFmtId="173" fontId="109" fillId="0" borderId="123" xfId="0" applyFont="1" applyBorder="1" applyAlignment="1">
      <alignment horizontal="center"/>
    </xf>
    <xf numFmtId="1" fontId="108" fillId="0" borderId="78" xfId="3" applyNumberFormat="1" applyFont="1" applyBorder="1" applyAlignment="1">
      <alignment horizontal="left"/>
    </xf>
    <xf numFmtId="173" fontId="44" fillId="0" borderId="170" xfId="3" applyFont="1" applyBorder="1" applyAlignment="1"/>
    <xf numFmtId="173" fontId="109" fillId="0" borderId="170" xfId="0" applyFont="1" applyBorder="1"/>
    <xf numFmtId="173" fontId="0" fillId="0" borderId="170" xfId="0" applyBorder="1"/>
    <xf numFmtId="173" fontId="109" fillId="0" borderId="170" xfId="3" applyFont="1" applyBorder="1" applyAlignment="1">
      <alignment horizontal="left"/>
    </xf>
    <xf numFmtId="173" fontId="44" fillId="0" borderId="141" xfId="3" applyFont="1" applyBorder="1" applyAlignment="1">
      <alignment horizontal="left"/>
    </xf>
    <xf numFmtId="1" fontId="108" fillId="0" borderId="232" xfId="3" applyNumberFormat="1" applyFont="1" applyBorder="1" applyAlignment="1">
      <alignment horizontal="left"/>
    </xf>
    <xf numFmtId="173" fontId="109" fillId="0" borderId="235" xfId="0" applyFont="1" applyBorder="1" applyAlignment="1">
      <alignment horizontal="center"/>
    </xf>
    <xf numFmtId="173" fontId="109" fillId="0" borderId="88" xfId="0" applyFont="1" applyBorder="1" applyAlignment="1"/>
    <xf numFmtId="0" fontId="109" fillId="0" borderId="170" xfId="3" applyNumberFormat="1" applyFont="1" applyBorder="1" applyAlignment="1">
      <alignment horizontal="left"/>
    </xf>
    <xf numFmtId="1" fontId="108" fillId="0" borderId="205" xfId="3" applyNumberFormat="1" applyFont="1" applyBorder="1" applyAlignment="1">
      <alignment horizontal="center"/>
    </xf>
    <xf numFmtId="0" fontId="109" fillId="0" borderId="229" xfId="3" applyNumberFormat="1" applyFont="1" applyBorder="1" applyAlignment="1">
      <alignment horizontal="center"/>
    </xf>
    <xf numFmtId="173" fontId="109" fillId="0" borderId="19" xfId="0" applyFont="1" applyBorder="1" applyAlignment="1"/>
    <xf numFmtId="173" fontId="0" fillId="0" borderId="19" xfId="0" applyBorder="1" applyAlignment="1">
      <alignment horizontal="center"/>
    </xf>
    <xf numFmtId="0" fontId="109" fillId="0" borderId="19" xfId="3" applyNumberFormat="1" applyFont="1" applyBorder="1" applyAlignment="1">
      <alignment horizontal="center"/>
    </xf>
    <xf numFmtId="173" fontId="33" fillId="31" borderId="204" xfId="0" applyFont="1" applyFill="1" applyBorder="1" applyAlignment="1" applyProtection="1">
      <alignment horizontal="center" vertical="center"/>
      <protection hidden="1"/>
    </xf>
    <xf numFmtId="173" fontId="15" fillId="31" borderId="204" xfId="0" applyFont="1" applyFill="1" applyBorder="1" applyAlignment="1">
      <alignment horizontal="center"/>
    </xf>
    <xf numFmtId="173" fontId="15" fillId="31" borderId="227" xfId="0" applyFont="1" applyFill="1" applyBorder="1" applyAlignment="1">
      <alignment horizontal="center"/>
    </xf>
    <xf numFmtId="173" fontId="37" fillId="0" borderId="254" xfId="0" applyFont="1" applyFill="1" applyBorder="1" applyAlignment="1" applyProtection="1">
      <alignment horizontal="left" vertical="center"/>
      <protection hidden="1"/>
    </xf>
    <xf numFmtId="1" fontId="37" fillId="0" borderId="50" xfId="0" applyNumberFormat="1" applyFont="1" applyFill="1" applyBorder="1" applyAlignment="1">
      <alignment horizontal="center" vertical="center"/>
    </xf>
    <xf numFmtId="173" fontId="37" fillId="0" borderId="212" xfId="0" applyFont="1" applyFill="1" applyBorder="1" applyAlignment="1" applyProtection="1">
      <alignment horizontal="left" vertical="center"/>
      <protection hidden="1"/>
    </xf>
    <xf numFmtId="9" fontId="37" fillId="0" borderId="135" xfId="4" applyFont="1" applyFill="1" applyBorder="1" applyAlignment="1" applyProtection="1">
      <alignment horizontal="center" vertical="center"/>
      <protection hidden="1"/>
    </xf>
    <xf numFmtId="9" fontId="37" fillId="0" borderId="213" xfId="4" applyFont="1" applyFill="1" applyBorder="1" applyAlignment="1" applyProtection="1">
      <alignment horizontal="center" vertical="center"/>
      <protection hidden="1"/>
    </xf>
    <xf numFmtId="173" fontId="0" fillId="31" borderId="0" xfId="0" applyFill="1" applyProtection="1">
      <protection hidden="1"/>
    </xf>
    <xf numFmtId="0" fontId="15" fillId="31" borderId="19" xfId="0" applyNumberFormat="1" applyFont="1" applyFill="1" applyBorder="1" applyAlignment="1" applyProtection="1">
      <alignment horizontal="center" vertical="center"/>
      <protection hidden="1"/>
    </xf>
    <xf numFmtId="0" fontId="15" fillId="31" borderId="200" xfId="0" applyNumberFormat="1" applyFont="1" applyFill="1" applyBorder="1" applyAlignment="1" applyProtection="1">
      <alignment horizontal="center" vertical="center"/>
      <protection hidden="1"/>
    </xf>
    <xf numFmtId="0" fontId="15" fillId="31" borderId="109" xfId="0" applyNumberFormat="1" applyFont="1" applyFill="1" applyBorder="1" applyAlignment="1" applyProtection="1">
      <alignment horizontal="center" vertical="center"/>
      <protection hidden="1"/>
    </xf>
    <xf numFmtId="0" fontId="15" fillId="31" borderId="96" xfId="0" applyNumberFormat="1" applyFont="1" applyFill="1" applyBorder="1" applyAlignment="1" applyProtection="1">
      <alignment horizontal="center" vertical="center"/>
      <protection hidden="1"/>
    </xf>
    <xf numFmtId="0" fontId="15" fillId="31" borderId="68" xfId="0" applyNumberFormat="1" applyFont="1" applyFill="1" applyBorder="1" applyAlignment="1" applyProtection="1">
      <alignment horizontal="center" vertical="center"/>
      <protection hidden="1"/>
    </xf>
    <xf numFmtId="0" fontId="15" fillId="31" borderId="202" xfId="0" applyNumberFormat="1" applyFont="1" applyFill="1" applyBorder="1" applyAlignment="1" applyProtection="1">
      <alignment horizontal="center" vertical="center"/>
      <protection hidden="1"/>
    </xf>
    <xf numFmtId="173" fontId="89" fillId="0" borderId="254" xfId="0" applyFont="1" applyFill="1" applyBorder="1" applyProtection="1">
      <protection hidden="1"/>
    </xf>
    <xf numFmtId="1" fontId="37" fillId="0" borderId="211" xfId="0" applyNumberFormat="1" applyFont="1" applyFill="1" applyBorder="1" applyAlignment="1">
      <alignment horizontal="center" vertical="center"/>
    </xf>
    <xf numFmtId="173" fontId="89" fillId="0" borderId="212" xfId="0" applyFont="1" applyFill="1" applyBorder="1" applyProtection="1">
      <protection hidden="1"/>
    </xf>
    <xf numFmtId="1" fontId="0" fillId="0" borderId="0" xfId="0" applyNumberFormat="1" applyBorder="1"/>
    <xf numFmtId="167" fontId="7" fillId="0" borderId="0" xfId="2" applyNumberFormat="1" applyBorder="1" applyAlignment="1"/>
    <xf numFmtId="0" fontId="8" fillId="0" borderId="127" xfId="17" applyFont="1" applyFill="1" applyBorder="1"/>
    <xf numFmtId="0" fontId="8" fillId="0" borderId="204" xfId="17" applyFont="1" applyFill="1" applyBorder="1" applyAlignment="1">
      <alignment horizontal="center"/>
    </xf>
    <xf numFmtId="0" fontId="7" fillId="0" borderId="0" xfId="17"/>
    <xf numFmtId="0" fontId="7" fillId="0" borderId="199" xfId="17" applyBorder="1"/>
    <xf numFmtId="167" fontId="0" fillId="0" borderId="95" xfId="2" applyNumberFormat="1" applyFont="1" applyBorder="1"/>
    <xf numFmtId="0" fontId="7" fillId="28" borderId="212" xfId="17" applyFont="1" applyFill="1" applyBorder="1"/>
    <xf numFmtId="164" fontId="0" fillId="28" borderId="135" xfId="2" applyNumberFormat="1" applyFont="1" applyFill="1" applyBorder="1"/>
    <xf numFmtId="0" fontId="8" fillId="0" borderId="127" xfId="17" applyFont="1" applyBorder="1"/>
    <xf numFmtId="0" fontId="7" fillId="0" borderId="128" xfId="17" applyBorder="1"/>
    <xf numFmtId="0" fontId="7" fillId="0" borderId="233" xfId="17" applyBorder="1"/>
    <xf numFmtId="0" fontId="7" fillId="0" borderId="172" xfId="17" applyBorder="1"/>
    <xf numFmtId="0" fontId="7" fillId="0" borderId="212" xfId="17" applyBorder="1"/>
    <xf numFmtId="167" fontId="0" fillId="0" borderId="135" xfId="2" applyNumberFormat="1" applyFont="1" applyBorder="1"/>
    <xf numFmtId="0" fontId="7" fillId="36" borderId="199" xfId="17" applyFont="1" applyFill="1" applyBorder="1"/>
    <xf numFmtId="0" fontId="7" fillId="36" borderId="50" xfId="17" applyFill="1" applyBorder="1"/>
    <xf numFmtId="167" fontId="0" fillId="36" borderId="42" xfId="2" applyNumberFormat="1" applyFont="1" applyFill="1" applyBorder="1"/>
    <xf numFmtId="0" fontId="7" fillId="36" borderId="201" xfId="17" applyFont="1" applyFill="1" applyBorder="1"/>
    <xf numFmtId="167" fontId="0" fillId="36" borderId="135" xfId="2" applyNumberFormat="1" applyFont="1" applyFill="1" applyBorder="1"/>
    <xf numFmtId="0" fontId="8" fillId="0" borderId="199" xfId="17" applyFont="1" applyBorder="1"/>
    <xf numFmtId="0" fontId="8" fillId="0" borderId="95" xfId="17" applyFont="1" applyBorder="1" applyAlignment="1">
      <alignment horizontal="center"/>
    </xf>
    <xf numFmtId="0" fontId="8" fillId="0" borderId="256" xfId="17" applyFont="1" applyBorder="1" applyAlignment="1">
      <alignment horizontal="center"/>
    </xf>
    <xf numFmtId="0" fontId="7" fillId="0" borderId="76" xfId="17" applyFont="1" applyBorder="1"/>
    <xf numFmtId="167" fontId="0" fillId="0" borderId="84" xfId="2" applyNumberFormat="1" applyFont="1" applyBorder="1"/>
    <xf numFmtId="0" fontId="7" fillId="28" borderId="205" xfId="17" applyFont="1" applyFill="1" applyBorder="1"/>
    <xf numFmtId="167" fontId="0" fillId="36" borderId="38" xfId="2" applyNumberFormat="1" applyFont="1" applyFill="1" applyBorder="1"/>
    <xf numFmtId="167" fontId="0" fillId="36" borderId="229" xfId="2" applyNumberFormat="1" applyFont="1" applyFill="1" applyBorder="1"/>
    <xf numFmtId="0" fontId="7" fillId="0" borderId="0" xfId="17" applyBorder="1"/>
    <xf numFmtId="9" fontId="0" fillId="0" borderId="0" xfId="7" applyFont="1"/>
    <xf numFmtId="167" fontId="15" fillId="34" borderId="264" xfId="0" applyNumberFormat="1" applyFont="1" applyFill="1" applyBorder="1" applyProtection="1">
      <protection hidden="1"/>
    </xf>
    <xf numFmtId="167" fontId="7" fillId="0" borderId="0" xfId="17" applyNumberFormat="1"/>
    <xf numFmtId="173" fontId="108" fillId="0" borderId="0" xfId="3" applyFont="1" applyBorder="1" applyAlignment="1">
      <alignment horizontal="center"/>
    </xf>
    <xf numFmtId="173" fontId="109" fillId="0" borderId="120" xfId="3" applyFont="1" applyBorder="1" applyAlignment="1">
      <alignment horizontal="center"/>
    </xf>
    <xf numFmtId="173" fontId="93" fillId="0" borderId="0" xfId="0" applyFont="1" applyFill="1" applyBorder="1" applyAlignment="1" applyProtection="1">
      <alignment horizontal="center" vertical="center"/>
      <protection hidden="1"/>
    </xf>
    <xf numFmtId="1" fontId="109" fillId="0" borderId="64" xfId="3" applyNumberFormat="1" applyFont="1" applyBorder="1" applyAlignment="1">
      <alignment horizontal="center"/>
    </xf>
    <xf numFmtId="173" fontId="108" fillId="0" borderId="78" xfId="3" applyFont="1" applyBorder="1" applyAlignment="1">
      <alignment horizontal="center" vertical="center" wrapText="1"/>
    </xf>
    <xf numFmtId="1" fontId="108" fillId="0" borderId="230" xfId="3" applyNumberFormat="1" applyFont="1" applyBorder="1" applyAlignment="1">
      <alignment horizontal="center"/>
    </xf>
    <xf numFmtId="173" fontId="109" fillId="0" borderId="78" xfId="0" applyFont="1" applyBorder="1" applyAlignment="1"/>
    <xf numFmtId="0" fontId="109" fillId="0" borderId="64" xfId="3" applyNumberFormat="1" applyFont="1" applyBorder="1" applyAlignment="1">
      <alignment horizontal="center"/>
    </xf>
    <xf numFmtId="1" fontId="108" fillId="0" borderId="65" xfId="3" applyNumberFormat="1" applyFont="1" applyBorder="1" applyAlignment="1">
      <alignment horizontal="center"/>
    </xf>
    <xf numFmtId="1" fontId="44" fillId="0" borderId="123" xfId="3" applyNumberFormat="1" applyFont="1" applyBorder="1" applyAlignment="1">
      <alignment horizontal="center"/>
    </xf>
    <xf numFmtId="173" fontId="109" fillId="0" borderId="64" xfId="0" applyFont="1" applyBorder="1" applyAlignment="1"/>
    <xf numFmtId="173" fontId="93" fillId="0" borderId="19" xfId="0" applyFont="1" applyFill="1" applyBorder="1" applyAlignment="1" applyProtection="1">
      <alignment horizontal="center" vertical="center" wrapText="1"/>
      <protection hidden="1"/>
    </xf>
    <xf numFmtId="173" fontId="104" fillId="0" borderId="75" xfId="3" applyFont="1" applyFill="1" applyBorder="1" applyAlignment="1"/>
    <xf numFmtId="173" fontId="109" fillId="0" borderId="200" xfId="3" applyFont="1" applyBorder="1" applyAlignment="1">
      <alignment horizontal="center"/>
    </xf>
    <xf numFmtId="173" fontId="109" fillId="0" borderId="74" xfId="3" applyFont="1" applyBorder="1" applyAlignment="1">
      <alignment horizontal="center"/>
    </xf>
    <xf numFmtId="1" fontId="109" fillId="0" borderId="85" xfId="3" applyNumberFormat="1" applyFont="1" applyBorder="1" applyAlignment="1">
      <alignment horizontal="center"/>
    </xf>
    <xf numFmtId="1" fontId="44" fillId="0" borderId="85" xfId="3" applyNumberFormat="1" applyFont="1" applyBorder="1" applyAlignment="1">
      <alignment horizontal="center"/>
    </xf>
    <xf numFmtId="1" fontId="108" fillId="0" borderId="228" xfId="3" applyNumberFormat="1" applyFont="1" applyBorder="1" applyAlignment="1">
      <alignment horizontal="center"/>
    </xf>
    <xf numFmtId="9" fontId="108" fillId="0" borderId="228" xfId="7" applyFont="1" applyBorder="1" applyAlignment="1">
      <alignment horizontal="center"/>
    </xf>
    <xf numFmtId="1" fontId="109" fillId="0" borderId="228" xfId="3" applyNumberFormat="1" applyFont="1" applyBorder="1" applyAlignment="1">
      <alignment horizontal="center"/>
    </xf>
    <xf numFmtId="1" fontId="109" fillId="0" borderId="206" xfId="3" applyNumberFormat="1" applyFont="1" applyBorder="1" applyAlignment="1">
      <alignment horizontal="center"/>
    </xf>
    <xf numFmtId="0" fontId="108" fillId="0" borderId="85" xfId="3" applyNumberFormat="1" applyFont="1" applyBorder="1" applyAlignment="1">
      <alignment horizontal="center"/>
    </xf>
    <xf numFmtId="9" fontId="108" fillId="0" borderId="84" xfId="7" applyFont="1" applyBorder="1" applyAlignment="1">
      <alignment horizontal="center"/>
    </xf>
    <xf numFmtId="1" fontId="44" fillId="0" borderId="266" xfId="7" applyNumberFormat="1" applyFont="1" applyBorder="1" applyAlignment="1">
      <alignment horizontal="center" vertical="center"/>
    </xf>
    <xf numFmtId="9" fontId="44" fillId="0" borderId="267" xfId="7" applyFont="1" applyBorder="1" applyAlignment="1">
      <alignment horizontal="center"/>
    </xf>
    <xf numFmtId="173" fontId="109" fillId="0" borderId="75" xfId="3" applyFont="1" applyFill="1" applyBorder="1" applyAlignment="1">
      <alignment horizontal="center"/>
    </xf>
    <xf numFmtId="173" fontId="108" fillId="0" borderId="75" xfId="3" applyFont="1" applyFill="1" applyBorder="1" applyAlignment="1">
      <alignment horizontal="center" vertical="center"/>
    </xf>
    <xf numFmtId="1" fontId="109" fillId="0" borderId="75" xfId="3" applyNumberFormat="1" applyFont="1" applyFill="1" applyBorder="1" applyAlignment="1">
      <alignment horizontal="center"/>
    </xf>
    <xf numFmtId="1" fontId="44" fillId="0" borderId="75" xfId="3" applyNumberFormat="1" applyFont="1" applyFill="1" applyBorder="1" applyAlignment="1">
      <alignment horizontal="center"/>
    </xf>
    <xf numFmtId="1" fontId="108" fillId="0" borderId="75" xfId="3" applyNumberFormat="1" applyFont="1" applyFill="1" applyBorder="1" applyAlignment="1">
      <alignment horizontal="center"/>
    </xf>
    <xf numFmtId="9" fontId="108" fillId="0" borderId="75" xfId="7" applyFont="1" applyFill="1" applyBorder="1" applyAlignment="1">
      <alignment horizontal="center"/>
    </xf>
    <xf numFmtId="0" fontId="108" fillId="0" borderId="75" xfId="3" applyNumberFormat="1" applyFont="1" applyFill="1" applyBorder="1" applyAlignment="1">
      <alignment horizontal="center"/>
    </xf>
    <xf numFmtId="1" fontId="44" fillId="0" borderId="75" xfId="7" applyNumberFormat="1" applyFont="1" applyFill="1" applyBorder="1" applyAlignment="1">
      <alignment horizontal="center" vertical="center"/>
    </xf>
    <xf numFmtId="9" fontId="44" fillId="0" borderId="75" xfId="7" applyFont="1" applyFill="1" applyBorder="1" applyAlignment="1">
      <alignment horizontal="center"/>
    </xf>
    <xf numFmtId="173" fontId="15" fillId="0" borderId="0" xfId="0" applyFont="1" applyFill="1" applyBorder="1" applyAlignment="1" applyProtection="1">
      <alignment vertical="center" wrapText="1"/>
      <protection hidden="1"/>
    </xf>
    <xf numFmtId="173" fontId="7" fillId="0" borderId="0" xfId="0" applyFont="1" applyFill="1" applyProtection="1">
      <protection hidden="1"/>
    </xf>
    <xf numFmtId="173" fontId="15" fillId="0" borderId="128" xfId="0" applyFont="1" applyFill="1" applyBorder="1" applyAlignment="1" applyProtection="1">
      <alignment horizontal="center" vertical="center" wrapText="1"/>
      <protection hidden="1"/>
    </xf>
    <xf numFmtId="0" fontId="15" fillId="0" borderId="109" xfId="0" applyNumberFormat="1" applyFont="1" applyFill="1" applyBorder="1" applyAlignment="1" applyProtection="1">
      <alignment horizontal="center" vertical="center"/>
      <protection hidden="1"/>
    </xf>
    <xf numFmtId="0" fontId="15" fillId="0" borderId="252" xfId="0" applyNumberFormat="1" applyFont="1" applyFill="1" applyBorder="1" applyAlignment="1" applyProtection="1">
      <alignment horizontal="center" vertical="center"/>
      <protection hidden="1"/>
    </xf>
    <xf numFmtId="173" fontId="15" fillId="0" borderId="109" xfId="0" applyFont="1" applyFill="1" applyBorder="1" applyAlignment="1" applyProtection="1">
      <alignment horizontal="left" vertical="center"/>
      <protection hidden="1"/>
    </xf>
    <xf numFmtId="0" fontId="37" fillId="0" borderId="109" xfId="0" applyNumberFormat="1" applyFont="1" applyFill="1" applyBorder="1" applyAlignment="1" applyProtection="1">
      <alignment horizontal="center" vertical="center"/>
      <protection hidden="1"/>
    </xf>
    <xf numFmtId="167" fontId="37" fillId="0" borderId="0" xfId="0" applyNumberFormat="1" applyFont="1" applyFill="1" applyBorder="1" applyProtection="1">
      <protection hidden="1"/>
    </xf>
    <xf numFmtId="167" fontId="15" fillId="0" borderId="0" xfId="0" applyNumberFormat="1" applyFont="1" applyFill="1" applyBorder="1" applyProtection="1">
      <protection hidden="1"/>
    </xf>
    <xf numFmtId="0" fontId="37" fillId="0" borderId="220" xfId="0" applyNumberFormat="1" applyFont="1" applyFill="1" applyBorder="1" applyAlignment="1" applyProtection="1">
      <alignment horizontal="center" vertical="center"/>
      <protection hidden="1"/>
    </xf>
    <xf numFmtId="0" fontId="7" fillId="0" borderId="0" xfId="17" applyFill="1" applyBorder="1"/>
    <xf numFmtId="167" fontId="24" fillId="0" borderId="42" xfId="2" applyNumberFormat="1" applyFont="1" applyFill="1" applyBorder="1" applyAlignment="1">
      <alignment horizontal="right" vertical="center"/>
    </xf>
    <xf numFmtId="167" fontId="24" fillId="0" borderId="42" xfId="2" applyNumberFormat="1" applyFont="1" applyFill="1" applyBorder="1" applyAlignment="1">
      <alignment horizontal="center" vertical="center"/>
    </xf>
    <xf numFmtId="15" fontId="24" fillId="0" borderId="42" xfId="0" applyNumberFormat="1" applyFont="1" applyFill="1" applyBorder="1" applyAlignment="1">
      <alignment horizontal="center" vertical="center"/>
    </xf>
    <xf numFmtId="0" fontId="24" fillId="0" borderId="42" xfId="0" applyNumberFormat="1" applyFont="1" applyFill="1" applyBorder="1" applyAlignment="1">
      <alignment horizontal="center" vertical="center"/>
    </xf>
    <xf numFmtId="167" fontId="24" fillId="0" borderId="42" xfId="2" applyNumberFormat="1" applyFont="1" applyFill="1" applyBorder="1" applyAlignment="1">
      <alignment vertical="center"/>
    </xf>
    <xf numFmtId="173" fontId="0" fillId="0" borderId="74" xfId="0" applyBorder="1" applyProtection="1">
      <protection hidden="1"/>
    </xf>
    <xf numFmtId="173" fontId="24" fillId="0" borderId="42" xfId="0" applyFont="1" applyFill="1" applyBorder="1" applyAlignment="1">
      <alignment horizontal="center" vertical="center"/>
    </xf>
    <xf numFmtId="173" fontId="24" fillId="0" borderId="50" xfId="0" applyFont="1" applyFill="1" applyBorder="1" applyAlignment="1">
      <alignment horizontal="center" vertical="center"/>
    </xf>
    <xf numFmtId="173" fontId="24" fillId="0" borderId="60" xfId="0" applyFont="1" applyFill="1" applyBorder="1" applyAlignment="1">
      <alignment horizontal="center" vertical="center"/>
    </xf>
    <xf numFmtId="173" fontId="24" fillId="0" borderId="12" xfId="0" applyFont="1" applyFill="1" applyBorder="1" applyAlignment="1">
      <alignment horizontal="center" vertical="center"/>
    </xf>
    <xf numFmtId="164" fontId="24" fillId="0" borderId="42" xfId="0" applyNumberFormat="1" applyFont="1" applyFill="1" applyBorder="1" applyAlignment="1">
      <alignment horizontal="center" vertical="center"/>
    </xf>
    <xf numFmtId="173" fontId="24" fillId="0" borderId="172" xfId="0" applyFont="1" applyFill="1" applyBorder="1" applyAlignment="1">
      <alignment vertical="center"/>
    </xf>
    <xf numFmtId="173" fontId="24" fillId="0" borderId="85" xfId="0" applyFont="1" applyFill="1" applyBorder="1" applyAlignment="1">
      <alignment horizontal="center" vertical="center"/>
    </xf>
    <xf numFmtId="173" fontId="24" fillId="0" borderId="143" xfId="0" applyFont="1" applyFill="1" applyBorder="1" applyAlignment="1">
      <alignment vertical="center"/>
    </xf>
    <xf numFmtId="15" fontId="24" fillId="0" borderId="60" xfId="0" applyNumberFormat="1" applyFont="1" applyFill="1" applyBorder="1" applyAlignment="1">
      <alignment horizontal="center" vertical="center"/>
    </xf>
    <xf numFmtId="0" fontId="24" fillId="0" borderId="60" xfId="0" applyNumberFormat="1" applyFont="1" applyFill="1" applyBorder="1" applyAlignment="1">
      <alignment horizontal="center" vertical="center"/>
    </xf>
    <xf numFmtId="167" fontId="24" fillId="0" borderId="60" xfId="2" applyNumberFormat="1" applyFont="1" applyFill="1" applyBorder="1" applyAlignment="1">
      <alignment vertical="center"/>
    </xf>
    <xf numFmtId="167" fontId="24" fillId="0" borderId="60" xfId="2" applyNumberFormat="1" applyFont="1" applyFill="1" applyBorder="1" applyAlignment="1">
      <alignment horizontal="right" vertical="center"/>
    </xf>
    <xf numFmtId="167" fontId="24" fillId="0" borderId="60" xfId="2" applyNumberFormat="1" applyFont="1" applyFill="1" applyBorder="1" applyAlignment="1">
      <alignment horizontal="center" vertical="center"/>
    </xf>
    <xf numFmtId="164" fontId="24" fillId="0" borderId="60" xfId="0" applyNumberFormat="1" applyFont="1" applyFill="1" applyBorder="1" applyAlignment="1">
      <alignment horizontal="center" vertical="center"/>
    </xf>
    <xf numFmtId="173" fontId="24" fillId="0" borderId="206" xfId="0" applyFont="1" applyFill="1" applyBorder="1" applyAlignment="1">
      <alignment horizontal="center" vertical="center"/>
    </xf>
    <xf numFmtId="173" fontId="12" fillId="0" borderId="0" xfId="0" applyFont="1" applyFill="1" applyBorder="1" applyAlignment="1">
      <alignment horizontal="center" vertical="center"/>
    </xf>
    <xf numFmtId="173" fontId="12" fillId="0" borderId="0" xfId="0" applyFont="1" applyFill="1" applyBorder="1" applyAlignment="1">
      <alignment vertical="center"/>
    </xf>
    <xf numFmtId="173" fontId="0" fillId="0" borderId="0" xfId="0" applyFill="1" applyBorder="1" applyAlignment="1">
      <alignment vertical="center"/>
    </xf>
    <xf numFmtId="173" fontId="0" fillId="0" borderId="0" xfId="0" applyFill="1" applyAlignment="1">
      <alignment vertical="center"/>
    </xf>
    <xf numFmtId="173" fontId="0" fillId="5" borderId="0" xfId="0" applyFill="1" applyAlignment="1">
      <alignment vertical="center"/>
    </xf>
    <xf numFmtId="173" fontId="0" fillId="2" borderId="0" xfId="0" applyFill="1" applyAlignment="1">
      <alignment horizontal="center" vertical="center"/>
    </xf>
    <xf numFmtId="173" fontId="0" fillId="6" borderId="0" xfId="0" applyFill="1" applyAlignment="1">
      <alignment horizontal="center" vertical="center"/>
    </xf>
    <xf numFmtId="173" fontId="0" fillId="3" borderId="0" xfId="0" applyFill="1" applyAlignment="1">
      <alignment horizontal="center" vertical="center"/>
    </xf>
    <xf numFmtId="173" fontId="0" fillId="4" borderId="0" xfId="0" applyFill="1" applyAlignment="1">
      <alignment horizontal="center" vertical="center"/>
    </xf>
    <xf numFmtId="173" fontId="0" fillId="7" borderId="0" xfId="0" applyFill="1" applyAlignment="1">
      <alignment horizontal="center" vertical="center"/>
    </xf>
    <xf numFmtId="173" fontId="0" fillId="8" borderId="0" xfId="0" applyFill="1" applyAlignment="1">
      <alignment horizontal="center" vertical="center"/>
    </xf>
    <xf numFmtId="173" fontId="0" fillId="0" borderId="0" xfId="0" applyFill="1" applyAlignment="1">
      <alignment horizontal="center" vertical="center"/>
    </xf>
    <xf numFmtId="173" fontId="0" fillId="5" borderId="0" xfId="0" applyFill="1" applyAlignment="1">
      <alignment horizontal="center" vertical="center"/>
    </xf>
    <xf numFmtId="9" fontId="89" fillId="0" borderId="50" xfId="7" applyFont="1" applyFill="1" applyBorder="1" applyAlignment="1" applyProtection="1">
      <alignment horizontal="center" vertical="center"/>
      <protection hidden="1"/>
    </xf>
    <xf numFmtId="1" fontId="15" fillId="0" borderId="227" xfId="2" applyNumberFormat="1" applyFont="1" applyFill="1" applyBorder="1" applyAlignment="1" applyProtection="1">
      <alignment horizontal="center" vertical="center"/>
      <protection hidden="1"/>
    </xf>
    <xf numFmtId="9" fontId="89" fillId="0" borderId="211" xfId="7" applyFont="1" applyFill="1" applyBorder="1" applyAlignment="1" applyProtection="1">
      <alignment horizontal="center" vertical="center"/>
      <protection hidden="1"/>
    </xf>
    <xf numFmtId="1" fontId="89" fillId="0" borderId="85" xfId="2" applyNumberFormat="1" applyFont="1" applyFill="1" applyBorder="1" applyAlignment="1" applyProtection="1">
      <alignment horizontal="center" vertical="center"/>
      <protection hidden="1"/>
    </xf>
    <xf numFmtId="1" fontId="89" fillId="0" borderId="213" xfId="2" applyNumberFormat="1" applyFont="1" applyFill="1" applyBorder="1" applyAlignment="1" applyProtection="1">
      <alignment horizontal="center" vertical="center"/>
      <protection hidden="1"/>
    </xf>
    <xf numFmtId="1" fontId="44" fillId="0" borderId="105" xfId="3" applyNumberFormat="1" applyFont="1" applyBorder="1" applyAlignment="1">
      <alignment horizontal="center"/>
    </xf>
    <xf numFmtId="1" fontId="44" fillId="0" borderId="228" xfId="3" applyNumberFormat="1" applyFont="1" applyBorder="1" applyAlignment="1">
      <alignment horizontal="center"/>
    </xf>
    <xf numFmtId="1" fontId="108" fillId="0" borderId="42" xfId="3" applyNumberFormat="1" applyFont="1" applyBorder="1" applyAlignment="1">
      <alignment horizontal="center"/>
    </xf>
    <xf numFmtId="0" fontId="33" fillId="31" borderId="19" xfId="0" applyNumberFormat="1" applyFont="1" applyFill="1" applyBorder="1" applyAlignment="1" applyProtection="1">
      <alignment horizontal="center" vertical="center"/>
      <protection hidden="1"/>
    </xf>
    <xf numFmtId="0" fontId="37" fillId="0" borderId="217" xfId="0" applyNumberFormat="1" applyFont="1" applyFill="1" applyBorder="1" applyAlignment="1" applyProtection="1">
      <alignment horizontal="center" vertical="center"/>
      <protection hidden="1"/>
    </xf>
    <xf numFmtId="0" fontId="15" fillId="0" borderId="268" xfId="0" applyNumberFormat="1" applyFont="1" applyFill="1" applyBorder="1" applyAlignment="1" applyProtection="1">
      <alignment horizontal="center" vertical="center"/>
      <protection hidden="1"/>
    </xf>
    <xf numFmtId="0" fontId="15" fillId="0" borderId="269" xfId="0" applyNumberFormat="1" applyFont="1" applyFill="1" applyBorder="1" applyAlignment="1" applyProtection="1">
      <alignment horizontal="center" vertical="center"/>
      <protection hidden="1"/>
    </xf>
    <xf numFmtId="0" fontId="33" fillId="31" borderId="270" xfId="0" applyNumberFormat="1" applyFont="1" applyFill="1" applyBorder="1" applyAlignment="1" applyProtection="1">
      <alignment horizontal="center" vertical="center"/>
      <protection hidden="1"/>
    </xf>
    <xf numFmtId="173" fontId="30" fillId="31" borderId="23" xfId="0" applyFont="1" applyFill="1" applyBorder="1" applyAlignment="1">
      <alignment vertical="center"/>
    </xf>
    <xf numFmtId="167" fontId="89" fillId="31" borderId="9" xfId="2" applyNumberFormat="1" applyFont="1" applyFill="1" applyBorder="1" applyAlignment="1">
      <alignment horizontal="right"/>
    </xf>
    <xf numFmtId="9" fontId="30" fillId="31" borderId="35" xfId="7" applyFont="1" applyFill="1" applyBorder="1" applyAlignment="1">
      <alignment horizontal="center"/>
    </xf>
    <xf numFmtId="173" fontId="30" fillId="0" borderId="0" xfId="0" applyFont="1" applyAlignment="1">
      <alignment horizontal="center"/>
    </xf>
    <xf numFmtId="173" fontId="30" fillId="31" borderId="23" xfId="0" applyFont="1" applyFill="1" applyBorder="1" applyAlignment="1">
      <alignment horizontal="left" vertical="center"/>
    </xf>
    <xf numFmtId="174" fontId="89" fillId="31" borderId="9" xfId="0" applyNumberFormat="1" applyFont="1" applyFill="1" applyBorder="1" applyAlignment="1">
      <alignment horizontal="right"/>
    </xf>
    <xf numFmtId="173" fontId="89" fillId="24" borderId="48" xfId="0" applyFont="1" applyFill="1" applyBorder="1"/>
    <xf numFmtId="173" fontId="89" fillId="0" borderId="0" xfId="0" applyFont="1" applyFill="1"/>
    <xf numFmtId="173" fontId="89" fillId="0" borderId="56" xfId="0" applyFont="1" applyFill="1" applyBorder="1"/>
    <xf numFmtId="167" fontId="89" fillId="0" borderId="91" xfId="2" applyNumberFormat="1" applyFont="1" applyFill="1" applyBorder="1" applyAlignment="1">
      <alignment horizontal="right"/>
    </xf>
    <xf numFmtId="9" fontId="89" fillId="0" borderId="44" xfId="7" applyFont="1" applyFill="1" applyBorder="1"/>
    <xf numFmtId="173" fontId="89" fillId="0" borderId="126" xfId="0" applyFont="1" applyFill="1" applyBorder="1"/>
    <xf numFmtId="167" fontId="89" fillId="0" borderId="136" xfId="2" applyNumberFormat="1" applyFont="1" applyFill="1" applyBorder="1" applyAlignment="1">
      <alignment horizontal="right"/>
    </xf>
    <xf numFmtId="9" fontId="89" fillId="0" borderId="137" xfId="7" applyFont="1" applyFill="1" applyBorder="1"/>
    <xf numFmtId="167" fontId="89" fillId="0" borderId="91" xfId="0" applyNumberFormat="1" applyFont="1" applyFill="1" applyBorder="1" applyAlignment="1">
      <alignment horizontal="center"/>
    </xf>
    <xf numFmtId="167" fontId="89" fillId="0" borderId="136" xfId="0" applyNumberFormat="1" applyFont="1" applyFill="1" applyBorder="1" applyAlignment="1">
      <alignment horizontal="center"/>
    </xf>
    <xf numFmtId="167" fontId="89" fillId="0" borderId="91" xfId="2" applyNumberFormat="1" applyFont="1" applyFill="1" applyBorder="1" applyAlignment="1">
      <alignment horizontal="center"/>
    </xf>
    <xf numFmtId="173" fontId="89" fillId="0" borderId="52" xfId="0" applyFont="1" applyFill="1" applyBorder="1"/>
    <xf numFmtId="167" fontId="89" fillId="0" borderId="138" xfId="0" applyNumberFormat="1" applyFont="1" applyFill="1" applyBorder="1" applyAlignment="1">
      <alignment horizontal="center"/>
    </xf>
    <xf numFmtId="9" fontId="89" fillId="0" borderId="45" xfId="7" applyFont="1" applyFill="1" applyBorder="1"/>
    <xf numFmtId="167" fontId="89" fillId="0" borderId="138" xfId="2" applyNumberFormat="1" applyFont="1" applyFill="1" applyBorder="1" applyAlignment="1">
      <alignment horizontal="right"/>
    </xf>
    <xf numFmtId="173" fontId="89" fillId="24" borderId="54" xfId="0" applyFont="1" applyFill="1" applyBorder="1"/>
    <xf numFmtId="49" fontId="15" fillId="0" borderId="58" xfId="0" applyNumberFormat="1" applyFont="1" applyBorder="1" applyAlignment="1">
      <alignment horizontal="right" vertical="top"/>
    </xf>
    <xf numFmtId="167" fontId="89" fillId="24" borderId="72" xfId="2" applyNumberFormat="1" applyFont="1" applyFill="1" applyBorder="1" applyAlignment="1">
      <alignment horizontal="right"/>
    </xf>
    <xf numFmtId="9" fontId="89" fillId="24" borderId="43" xfId="7" applyFont="1" applyFill="1" applyBorder="1"/>
    <xf numFmtId="167" fontId="89" fillId="24" borderId="133" xfId="2" applyNumberFormat="1" applyFont="1" applyFill="1" applyBorder="1" applyAlignment="1">
      <alignment horizontal="right"/>
    </xf>
    <xf numFmtId="9" fontId="89" fillId="24" borderId="51" xfId="7" applyFont="1" applyFill="1" applyBorder="1"/>
    <xf numFmtId="167" fontId="89" fillId="24" borderId="133" xfId="0" applyNumberFormat="1" applyFont="1" applyFill="1" applyBorder="1" applyAlignment="1">
      <alignment horizontal="center"/>
    </xf>
    <xf numFmtId="0" fontId="8" fillId="0" borderId="96" xfId="17" applyFont="1" applyBorder="1" applyAlignment="1">
      <alignment horizontal="center"/>
    </xf>
    <xf numFmtId="0" fontId="8" fillId="0" borderId="32" xfId="17" applyFont="1" applyFill="1" applyBorder="1" applyAlignment="1">
      <alignment horizontal="center"/>
    </xf>
    <xf numFmtId="167" fontId="0" fillId="0" borderId="211" xfId="2" applyNumberFormat="1" applyFont="1" applyBorder="1"/>
    <xf numFmtId="164" fontId="0" fillId="28" borderId="213" xfId="2" applyNumberFormat="1" applyFont="1" applyFill="1" applyBorder="1"/>
    <xf numFmtId="0" fontId="7" fillId="0" borderId="129" xfId="17" applyBorder="1"/>
    <xf numFmtId="167" fontId="0" fillId="0" borderId="213" xfId="2" applyNumberFormat="1" applyFont="1" applyBorder="1"/>
    <xf numFmtId="0" fontId="7" fillId="36" borderId="211" xfId="17" applyFill="1" applyBorder="1"/>
    <xf numFmtId="167" fontId="0" fillId="36" borderId="85" xfId="2" applyNumberFormat="1" applyFont="1" applyFill="1" applyBorder="1"/>
    <xf numFmtId="167" fontId="0" fillId="36" borderId="213" xfId="2" applyNumberFormat="1" applyFont="1" applyFill="1" applyBorder="1"/>
    <xf numFmtId="0" fontId="7" fillId="36" borderId="172" xfId="17" applyFont="1" applyFill="1" applyBorder="1"/>
    <xf numFmtId="0" fontId="12" fillId="0" borderId="271" xfId="17" applyFont="1" applyBorder="1" applyAlignment="1">
      <alignment vertical="center"/>
    </xf>
    <xf numFmtId="0" fontId="15" fillId="0" borderId="271" xfId="17" applyFont="1" applyBorder="1" applyAlignment="1"/>
    <xf numFmtId="0" fontId="12" fillId="0" borderId="271" xfId="17" applyFont="1" applyBorder="1" applyAlignment="1"/>
    <xf numFmtId="172" fontId="97" fillId="0" borderId="0" xfId="1" applyNumberFormat="1" applyFont="1" applyProtection="1">
      <protection hidden="1"/>
    </xf>
    <xf numFmtId="172" fontId="0" fillId="0" borderId="0" xfId="1" applyNumberFormat="1" applyFont="1" applyProtection="1">
      <protection hidden="1"/>
    </xf>
    <xf numFmtId="166" fontId="0" fillId="0" borderId="0" xfId="0" applyNumberFormat="1" applyProtection="1">
      <protection hidden="1"/>
    </xf>
    <xf numFmtId="167" fontId="7" fillId="0" borderId="0" xfId="2" applyNumberFormat="1"/>
    <xf numFmtId="167" fontId="37" fillId="34" borderId="263" xfId="2" applyNumberFormat="1" applyFont="1" applyFill="1" applyBorder="1" applyAlignment="1" applyProtection="1">
      <alignment horizontal="center"/>
      <protection hidden="1"/>
    </xf>
    <xf numFmtId="167" fontId="37" fillId="34" borderId="265" xfId="2" applyNumberFormat="1" applyFont="1" applyFill="1" applyBorder="1" applyAlignment="1" applyProtection="1">
      <alignment horizontal="center"/>
      <protection hidden="1"/>
    </xf>
    <xf numFmtId="173" fontId="93" fillId="0" borderId="109" xfId="0" applyFont="1" applyFill="1" applyBorder="1" applyAlignment="1" applyProtection="1">
      <alignment horizontal="center" vertical="center" wrapText="1"/>
      <protection hidden="1"/>
    </xf>
    <xf numFmtId="1" fontId="37" fillId="34" borderId="75" xfId="0" applyNumberFormat="1" applyFont="1" applyFill="1" applyBorder="1" applyAlignment="1" applyProtection="1">
      <alignment horizontal="center"/>
      <protection hidden="1"/>
    </xf>
    <xf numFmtId="0" fontId="33" fillId="31" borderId="243" xfId="0" applyNumberFormat="1" applyFont="1" applyFill="1" applyBorder="1" applyAlignment="1" applyProtection="1">
      <alignment horizontal="center" vertical="center"/>
      <protection hidden="1"/>
    </xf>
    <xf numFmtId="173" fontId="18" fillId="0" borderId="19" xfId="0" applyFont="1" applyFill="1" applyBorder="1" applyAlignment="1" applyProtection="1">
      <alignment vertical="center"/>
      <protection hidden="1"/>
    </xf>
    <xf numFmtId="173" fontId="18" fillId="0" borderId="200" xfId="0" applyFont="1" applyFill="1" applyBorder="1" applyAlignment="1" applyProtection="1">
      <alignment vertical="center"/>
      <protection hidden="1"/>
    </xf>
    <xf numFmtId="49" fontId="15" fillId="0" borderId="104" xfId="0" applyNumberFormat="1" applyFont="1" applyFill="1" applyBorder="1" applyAlignment="1">
      <alignment horizontal="right" vertical="top"/>
    </xf>
    <xf numFmtId="0" fontId="92" fillId="0" borderId="140" xfId="0" applyNumberFormat="1" applyFont="1" applyFill="1" applyBorder="1" applyAlignment="1">
      <alignment horizontal="left" vertical="top" wrapText="1"/>
    </xf>
    <xf numFmtId="9" fontId="8" fillId="0" borderId="0" xfId="17" applyNumberFormat="1" applyFont="1" applyFill="1" applyBorder="1" applyAlignment="1">
      <alignment horizontal="center" vertical="center"/>
    </xf>
    <xf numFmtId="9" fontId="23" fillId="0" borderId="0" xfId="7" applyFont="1" applyFill="1" applyBorder="1" applyAlignment="1">
      <alignment horizontal="center" vertical="center"/>
    </xf>
    <xf numFmtId="0" fontId="8" fillId="0" borderId="0" xfId="17" applyFont="1" applyFill="1" applyBorder="1" applyAlignment="1">
      <alignment horizontal="right"/>
    </xf>
    <xf numFmtId="167" fontId="8" fillId="0" borderId="0" xfId="17" applyNumberFormat="1" applyFont="1" applyFill="1" applyBorder="1" applyAlignment="1">
      <alignment horizontal="center"/>
    </xf>
    <xf numFmtId="0" fontId="7" fillId="0" borderId="0" xfId="17" applyFont="1" applyFill="1" applyBorder="1"/>
    <xf numFmtId="164" fontId="8" fillId="0" borderId="0" xfId="17" applyNumberFormat="1" applyFont="1" applyFill="1" applyBorder="1" applyAlignment="1">
      <alignment horizontal="center"/>
    </xf>
    <xf numFmtId="9" fontId="8" fillId="0" borderId="0" xfId="7" applyFont="1" applyFill="1" applyBorder="1" applyAlignment="1">
      <alignment horizontal="center" vertical="center"/>
    </xf>
    <xf numFmtId="0" fontId="8" fillId="0" borderId="0" xfId="17" applyFont="1" applyFill="1" applyBorder="1"/>
    <xf numFmtId="173" fontId="0" fillId="28" borderId="274" xfId="0" applyFill="1" applyBorder="1"/>
    <xf numFmtId="173" fontId="15" fillId="0" borderId="33" xfId="0" applyFont="1" applyFill="1" applyBorder="1"/>
    <xf numFmtId="173" fontId="15" fillId="0" borderId="104" xfId="0" applyFont="1" applyFill="1" applyBorder="1"/>
    <xf numFmtId="173" fontId="0" fillId="0" borderId="105" xfId="0" applyBorder="1"/>
    <xf numFmtId="173" fontId="0" fillId="0" borderId="106" xfId="0" applyBorder="1"/>
    <xf numFmtId="173" fontId="7" fillId="0" borderId="233" xfId="0" applyFont="1" applyBorder="1" applyAlignment="1">
      <alignment horizontal="center"/>
    </xf>
    <xf numFmtId="173" fontId="0" fillId="0" borderId="228" xfId="0" applyBorder="1" applyAlignment="1">
      <alignment horizontal="center"/>
    </xf>
    <xf numFmtId="173" fontId="0" fillId="0" borderId="275" xfId="0" applyBorder="1" applyAlignment="1">
      <alignment horizontal="center"/>
    </xf>
    <xf numFmtId="173" fontId="0" fillId="0" borderId="276" xfId="0" applyBorder="1" applyAlignment="1">
      <alignment horizontal="center"/>
    </xf>
    <xf numFmtId="1" fontId="0" fillId="0" borderId="94" xfId="0" applyNumberFormat="1" applyBorder="1" applyAlignment="1">
      <alignment horizontal="center"/>
    </xf>
    <xf numFmtId="1" fontId="0" fillId="0" borderId="138" xfId="0" applyNumberFormat="1" applyBorder="1" applyAlignment="1">
      <alignment horizontal="center"/>
    </xf>
    <xf numFmtId="1" fontId="0" fillId="0" borderId="172" xfId="0" applyNumberFormat="1" applyBorder="1" applyAlignment="1">
      <alignment horizontal="center"/>
    </xf>
    <xf numFmtId="1" fontId="0" fillId="0" borderId="91" xfId="0" applyNumberFormat="1" applyBorder="1" applyAlignment="1">
      <alignment horizontal="center"/>
    </xf>
    <xf numFmtId="0" fontId="12" fillId="0" borderId="0" xfId="17" applyFont="1" applyBorder="1" applyAlignment="1"/>
    <xf numFmtId="0" fontId="111" fillId="0" borderId="0" xfId="17" applyFont="1" applyBorder="1" applyAlignment="1">
      <alignment vertical="center"/>
    </xf>
    <xf numFmtId="173" fontId="8" fillId="0" borderId="0" xfId="0" applyFont="1" applyFill="1" applyBorder="1" applyAlignment="1">
      <alignment horizontal="center" vertical="center"/>
    </xf>
    <xf numFmtId="173" fontId="0" fillId="0" borderId="0" xfId="0" applyFill="1" applyBorder="1" applyAlignment="1">
      <alignment horizontal="center" vertical="center"/>
    </xf>
    <xf numFmtId="173" fontId="0" fillId="0" borderId="0" xfId="0" applyFill="1" applyBorder="1" applyAlignment="1">
      <alignment vertical="center"/>
    </xf>
    <xf numFmtId="173" fontId="89" fillId="0" borderId="88" xfId="0" applyFont="1" applyBorder="1" applyAlignment="1" applyProtection="1">
      <alignment vertical="center"/>
      <protection hidden="1"/>
    </xf>
    <xf numFmtId="173" fontId="24" fillId="0" borderId="57" xfId="0" applyFont="1" applyFill="1" applyBorder="1" applyAlignment="1">
      <alignment horizontal="center" vertical="center"/>
    </xf>
    <xf numFmtId="173" fontId="24" fillId="0" borderId="59" xfId="0" applyFont="1" applyFill="1" applyBorder="1" applyAlignment="1">
      <alignment horizontal="center" vertical="center"/>
    </xf>
    <xf numFmtId="173" fontId="24" fillId="0" borderId="105" xfId="0" applyFont="1" applyFill="1" applyBorder="1" applyAlignment="1">
      <alignment horizontal="center" vertical="center"/>
    </xf>
    <xf numFmtId="173" fontId="24" fillId="0" borderId="254" xfId="0" applyFont="1" applyFill="1" applyBorder="1" applyAlignment="1">
      <alignment vertical="center"/>
    </xf>
    <xf numFmtId="173" fontId="24" fillId="0" borderId="49" xfId="0" applyFont="1" applyFill="1" applyBorder="1" applyAlignment="1">
      <alignment horizontal="center" vertical="center"/>
    </xf>
    <xf numFmtId="15" fontId="24" fillId="0" borderId="49" xfId="0" applyNumberFormat="1" applyFont="1" applyFill="1" applyBorder="1" applyAlignment="1">
      <alignment horizontal="center" vertical="center"/>
    </xf>
    <xf numFmtId="0" fontId="24" fillId="0" borderId="50" xfId="0" applyNumberFormat="1" applyFont="1" applyFill="1" applyBorder="1" applyAlignment="1">
      <alignment horizontal="center" vertical="center"/>
    </xf>
    <xf numFmtId="167" fontId="24" fillId="0" borderId="50" xfId="2" applyNumberFormat="1" applyFont="1" applyFill="1" applyBorder="1" applyAlignment="1">
      <alignment horizontal="right" vertical="center"/>
    </xf>
    <xf numFmtId="167" fontId="24" fillId="0" borderId="50" xfId="2" applyNumberFormat="1" applyFont="1" applyFill="1" applyBorder="1" applyAlignment="1">
      <alignment horizontal="center" vertical="center"/>
    </xf>
    <xf numFmtId="10" fontId="24" fillId="0" borderId="50" xfId="0" applyNumberFormat="1" applyFont="1" applyFill="1" applyBorder="1" applyAlignment="1">
      <alignment horizontal="center" vertical="center"/>
    </xf>
    <xf numFmtId="10" fontId="24" fillId="0" borderId="211" xfId="0" applyNumberFormat="1" applyFont="1" applyFill="1" applyBorder="1" applyAlignment="1">
      <alignment horizontal="center" vertical="center"/>
    </xf>
    <xf numFmtId="10" fontId="0" fillId="0" borderId="0" xfId="0" applyNumberFormat="1" applyFill="1" applyBorder="1" applyAlignment="1">
      <alignment vertical="center"/>
    </xf>
    <xf numFmtId="10" fontId="0" fillId="0" borderId="0" xfId="0" applyNumberFormat="1" applyFill="1" applyBorder="1" applyAlignment="1">
      <alignment horizontal="center" vertical="center"/>
    </xf>
    <xf numFmtId="164" fontId="0" fillId="0" borderId="0" xfId="0" applyNumberFormat="1" applyFill="1" applyAlignment="1">
      <alignment vertical="center"/>
    </xf>
    <xf numFmtId="15" fontId="24" fillId="0" borderId="57" xfId="0" applyNumberFormat="1" applyFont="1" applyFill="1" applyBorder="1" applyAlignment="1">
      <alignment horizontal="center" vertical="center"/>
    </xf>
    <xf numFmtId="10" fontId="24" fillId="0" borderId="42" xfId="0" applyNumberFormat="1" applyFont="1" applyFill="1" applyBorder="1" applyAlignment="1">
      <alignment horizontal="center" vertical="center"/>
    </xf>
    <xf numFmtId="10" fontId="24" fillId="0" borderId="85" xfId="0" applyNumberFormat="1" applyFont="1" applyFill="1" applyBorder="1" applyAlignment="1">
      <alignment horizontal="center" vertical="center"/>
    </xf>
    <xf numFmtId="0" fontId="24" fillId="0" borderId="64" xfId="0" applyNumberFormat="1" applyFont="1" applyFill="1" applyBorder="1" applyAlignment="1">
      <alignment horizontal="center" vertical="center"/>
    </xf>
    <xf numFmtId="9" fontId="0" fillId="0" borderId="0" xfId="0" applyNumberFormat="1" applyFill="1" applyBorder="1" applyAlignment="1">
      <alignment vertical="center"/>
    </xf>
    <xf numFmtId="10" fontId="24" fillId="0" borderId="170" xfId="0" applyNumberFormat="1" applyFont="1" applyFill="1" applyBorder="1" applyAlignment="1">
      <alignment horizontal="center" vertical="center"/>
    </xf>
    <xf numFmtId="164" fontId="0" fillId="0" borderId="0" xfId="0" applyNumberFormat="1" applyFill="1" applyBorder="1" applyAlignment="1">
      <alignment vertical="center"/>
    </xf>
    <xf numFmtId="173" fontId="0" fillId="0" borderId="0" xfId="0" applyBorder="1" applyAlignment="1">
      <alignment vertical="center"/>
    </xf>
    <xf numFmtId="173" fontId="24" fillId="0" borderId="88" xfId="0" applyFont="1" applyFill="1" applyBorder="1" applyAlignment="1">
      <alignment vertical="center"/>
    </xf>
    <xf numFmtId="173" fontId="24" fillId="0" borderId="64" xfId="0" applyFont="1" applyFill="1" applyBorder="1" applyAlignment="1">
      <alignment horizontal="center" vertical="center"/>
    </xf>
    <xf numFmtId="173" fontId="24" fillId="0" borderId="170" xfId="0" applyFont="1" applyFill="1" applyBorder="1" applyAlignment="1">
      <alignment horizontal="center" vertical="center"/>
    </xf>
    <xf numFmtId="167" fontId="24" fillId="0" borderId="91" xfId="2" applyNumberFormat="1" applyFont="1" applyFill="1" applyBorder="1" applyAlignment="1">
      <alignment horizontal="right" vertical="center"/>
    </xf>
    <xf numFmtId="167" fontId="24" fillId="0" borderId="91" xfId="2" applyNumberFormat="1" applyFont="1" applyFill="1" applyBorder="1" applyAlignment="1">
      <alignment horizontal="center" vertical="center"/>
    </xf>
    <xf numFmtId="10" fontId="0" fillId="0" borderId="0" xfId="0" applyNumberFormat="1" applyBorder="1" applyAlignment="1">
      <alignment vertical="center"/>
    </xf>
    <xf numFmtId="173" fontId="24" fillId="0" borderId="233" xfId="0" applyFont="1" applyFill="1" applyBorder="1" applyAlignment="1">
      <alignment vertical="center"/>
    </xf>
    <xf numFmtId="173" fontId="24" fillId="0" borderId="124" xfId="0" applyFont="1" applyFill="1" applyBorder="1" applyAlignment="1">
      <alignment horizontal="center" vertical="center"/>
    </xf>
    <xf numFmtId="15" fontId="24" fillId="0" borderId="105" xfId="0" applyNumberFormat="1" applyFont="1" applyFill="1" applyBorder="1" applyAlignment="1">
      <alignment horizontal="center" vertical="center"/>
    </xf>
    <xf numFmtId="0" fontId="24" fillId="0" borderId="105" xfId="0" applyNumberFormat="1" applyFont="1" applyFill="1" applyBorder="1" applyAlignment="1">
      <alignment horizontal="center" vertical="center"/>
    </xf>
    <xf numFmtId="167" fontId="24" fillId="0" borderId="105" xfId="2" applyNumberFormat="1" applyFont="1" applyFill="1" applyBorder="1" applyAlignment="1">
      <alignment vertical="center"/>
    </xf>
    <xf numFmtId="167" fontId="24" fillId="0" borderId="105" xfId="2" applyNumberFormat="1" applyFont="1" applyFill="1" applyBorder="1" applyAlignment="1">
      <alignment horizontal="right" vertical="center"/>
    </xf>
    <xf numFmtId="167" fontId="24" fillId="0" borderId="105" xfId="2" applyNumberFormat="1" applyFont="1" applyFill="1" applyBorder="1" applyAlignment="1">
      <alignment horizontal="center" vertical="center"/>
    </xf>
    <xf numFmtId="164" fontId="24" fillId="0" borderId="105" xfId="0" applyNumberFormat="1" applyFont="1" applyFill="1" applyBorder="1" applyAlignment="1">
      <alignment horizontal="center" vertical="center"/>
    </xf>
    <xf numFmtId="173" fontId="24" fillId="0" borderId="228" xfId="0" applyFont="1" applyFill="1" applyBorder="1" applyAlignment="1">
      <alignment horizontal="center" vertical="center"/>
    </xf>
    <xf numFmtId="44" fontId="24" fillId="0" borderId="42" xfId="2" applyNumberFormat="1" applyFont="1" applyFill="1" applyBorder="1" applyAlignment="1">
      <alignment horizontal="right" vertical="center"/>
    </xf>
    <xf numFmtId="10" fontId="0" fillId="0" borderId="0" xfId="0" applyNumberFormat="1" applyFill="1" applyAlignment="1">
      <alignment vertical="center"/>
    </xf>
    <xf numFmtId="10" fontId="0" fillId="0" borderId="0" xfId="0" applyNumberFormat="1" applyAlignment="1">
      <alignment vertical="center"/>
    </xf>
    <xf numFmtId="173" fontId="24" fillId="0" borderId="120" xfId="0" applyFont="1" applyFill="1" applyBorder="1" applyAlignment="1">
      <alignment vertical="center"/>
    </xf>
    <xf numFmtId="173" fontId="24" fillId="0" borderId="46" xfId="0" applyFont="1" applyFill="1" applyBorder="1" applyAlignment="1">
      <alignment horizontal="center" vertical="center"/>
    </xf>
    <xf numFmtId="15" fontId="24" fillId="0" borderId="12"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167" fontId="24" fillId="0" borderId="12" xfId="2" applyNumberFormat="1" applyFont="1" applyFill="1" applyBorder="1" applyAlignment="1">
      <alignment vertical="center"/>
    </xf>
    <xf numFmtId="167" fontId="24" fillId="0" borderId="12" xfId="2" applyNumberFormat="1" applyFont="1" applyFill="1" applyBorder="1" applyAlignment="1">
      <alignment horizontal="right" vertical="center"/>
    </xf>
    <xf numFmtId="167" fontId="24" fillId="0" borderId="12" xfId="2" applyNumberFormat="1" applyFont="1" applyFill="1" applyBorder="1" applyAlignment="1">
      <alignment horizontal="center" vertical="center"/>
    </xf>
    <xf numFmtId="164" fontId="24" fillId="0" borderId="12" xfId="0" applyNumberFormat="1" applyFont="1" applyFill="1" applyBorder="1" applyAlignment="1">
      <alignment horizontal="center" vertical="center"/>
    </xf>
    <xf numFmtId="173" fontId="24" fillId="0" borderId="84" xfId="0" applyFont="1" applyFill="1" applyBorder="1" applyAlignment="1">
      <alignment horizontal="center" vertical="center"/>
    </xf>
    <xf numFmtId="167" fontId="24" fillId="0" borderId="85" xfId="2" applyNumberFormat="1" applyFont="1" applyFill="1" applyBorder="1" applyAlignment="1">
      <alignment horizontal="center" vertical="center"/>
    </xf>
    <xf numFmtId="173" fontId="0" fillId="0" borderId="172" xfId="0" applyBorder="1" applyAlignment="1">
      <alignment vertical="center"/>
    </xf>
    <xf numFmtId="173" fontId="0" fillId="0" borderId="42" xfId="0" applyBorder="1" applyAlignment="1">
      <alignment horizontal="center" vertical="center"/>
    </xf>
    <xf numFmtId="167" fontId="0" fillId="0" borderId="42" xfId="2" applyNumberFormat="1" applyFont="1" applyBorder="1" applyAlignment="1">
      <alignment horizontal="center" vertical="center"/>
    </xf>
    <xf numFmtId="173" fontId="0" fillId="0" borderId="85" xfId="0" applyBorder="1" applyAlignment="1">
      <alignment horizontal="center" vertical="center"/>
    </xf>
    <xf numFmtId="173" fontId="0" fillId="0" borderId="212" xfId="0" applyBorder="1" applyAlignment="1">
      <alignment vertical="center"/>
    </xf>
    <xf numFmtId="173" fontId="0" fillId="0" borderId="135" xfId="0" applyBorder="1" applyAlignment="1">
      <alignment horizontal="center" vertical="center"/>
    </xf>
    <xf numFmtId="167" fontId="0" fillId="0" borderId="135" xfId="2" applyNumberFormat="1" applyFont="1" applyBorder="1" applyAlignment="1">
      <alignment horizontal="center" vertical="center"/>
    </xf>
    <xf numFmtId="173" fontId="0" fillId="0" borderId="213" xfId="0" applyBorder="1" applyAlignment="1">
      <alignment horizontal="center" vertical="center"/>
    </xf>
    <xf numFmtId="173" fontId="89" fillId="0" borderId="233" xfId="0" applyFont="1" applyFill="1" applyBorder="1" applyAlignment="1" applyProtection="1">
      <alignment vertical="center"/>
      <protection hidden="1"/>
    </xf>
    <xf numFmtId="167" fontId="89" fillId="0" borderId="228" xfId="0" applyNumberFormat="1" applyFont="1" applyFill="1" applyBorder="1" applyAlignment="1" applyProtection="1">
      <alignment horizontal="right" vertical="center"/>
      <protection hidden="1"/>
    </xf>
    <xf numFmtId="172" fontId="89" fillId="34" borderId="211" xfId="16" applyNumberFormat="1" applyFont="1" applyFill="1" applyBorder="1" applyAlignment="1" applyProtection="1">
      <alignment horizontal="right" vertical="center"/>
      <protection hidden="1"/>
    </xf>
    <xf numFmtId="173" fontId="89" fillId="0" borderId="172" xfId="0" applyFont="1" applyFill="1" applyBorder="1" applyAlignment="1" applyProtection="1">
      <alignment vertical="center"/>
      <protection hidden="1"/>
    </xf>
    <xf numFmtId="167" fontId="89" fillId="0" borderId="85" xfId="0" applyNumberFormat="1" applyFont="1" applyFill="1" applyBorder="1" applyAlignment="1" applyProtection="1">
      <alignment horizontal="right" vertical="center"/>
      <protection hidden="1"/>
    </xf>
    <xf numFmtId="167" fontId="89" fillId="34" borderId="85" xfId="2" applyNumberFormat="1" applyFont="1" applyFill="1" applyBorder="1" applyAlignment="1" applyProtection="1">
      <alignment horizontal="right" vertical="center"/>
      <protection hidden="1"/>
    </xf>
    <xf numFmtId="173" fontId="15" fillId="0" borderId="143" xfId="0" applyFont="1" applyFill="1" applyBorder="1" applyAlignment="1" applyProtection="1">
      <alignment vertical="center"/>
      <protection hidden="1"/>
    </xf>
    <xf numFmtId="167" fontId="89" fillId="0" borderId="206" xfId="0" applyNumberFormat="1" applyFont="1" applyFill="1" applyBorder="1" applyAlignment="1" applyProtection="1">
      <alignment horizontal="right" vertical="center"/>
      <protection hidden="1"/>
    </xf>
    <xf numFmtId="167" fontId="89" fillId="34" borderId="213" xfId="2" applyNumberFormat="1" applyFont="1" applyFill="1" applyBorder="1" applyAlignment="1" applyProtection="1">
      <alignment horizontal="right" vertical="center"/>
      <protection hidden="1"/>
    </xf>
    <xf numFmtId="173" fontId="89" fillId="0" borderId="233" xfId="0" applyFont="1" applyBorder="1" applyAlignment="1" applyProtection="1">
      <alignment vertical="center"/>
      <protection hidden="1"/>
    </xf>
    <xf numFmtId="167" fontId="89" fillId="0" borderId="228" xfId="2" applyNumberFormat="1" applyFont="1" applyBorder="1" applyAlignment="1" applyProtection="1">
      <alignment horizontal="center" vertical="center"/>
      <protection hidden="1"/>
    </xf>
    <xf numFmtId="172" fontId="89" fillId="0" borderId="228" xfId="16" applyNumberFormat="1" applyFont="1" applyFill="1" applyBorder="1" applyAlignment="1" applyProtection="1">
      <alignment horizontal="right" vertical="center"/>
      <protection hidden="1"/>
    </xf>
    <xf numFmtId="173" fontId="89" fillId="0" borderId="172" xfId="0" applyFont="1" applyBorder="1" applyAlignment="1" applyProtection="1">
      <alignment vertical="center"/>
      <protection hidden="1"/>
    </xf>
    <xf numFmtId="167" fontId="89" fillId="0" borderId="85" xfId="2" applyNumberFormat="1" applyFont="1" applyBorder="1" applyAlignment="1" applyProtection="1">
      <alignment horizontal="center" vertical="center"/>
      <protection hidden="1"/>
    </xf>
    <xf numFmtId="172" fontId="89" fillId="0" borderId="85" xfId="16" applyNumberFormat="1" applyFont="1" applyBorder="1" applyAlignment="1" applyProtection="1">
      <alignment horizontal="center" vertical="center"/>
      <protection hidden="1"/>
    </xf>
    <xf numFmtId="173" fontId="89" fillId="0" borderId="212" xfId="0" applyFont="1" applyBorder="1" applyAlignment="1" applyProtection="1">
      <alignment vertical="center"/>
      <protection hidden="1"/>
    </xf>
    <xf numFmtId="167" fontId="89" fillId="0" borderId="213" xfId="2" applyNumberFormat="1" applyFont="1" applyBorder="1" applyAlignment="1" applyProtection="1">
      <alignment horizontal="center" vertical="center"/>
      <protection hidden="1"/>
    </xf>
    <xf numFmtId="167" fontId="89" fillId="0" borderId="213" xfId="2" applyNumberFormat="1" applyFont="1" applyFill="1" applyBorder="1" applyAlignment="1" applyProtection="1">
      <alignment horizontal="center" vertical="center"/>
      <protection hidden="1"/>
    </xf>
    <xf numFmtId="173" fontId="0" fillId="0" borderId="19" xfId="0" applyFill="1" applyBorder="1" applyAlignment="1" applyProtection="1">
      <alignment vertical="center"/>
      <protection hidden="1"/>
    </xf>
    <xf numFmtId="173" fontId="0" fillId="0" borderId="74" xfId="0" applyFill="1" applyBorder="1" applyAlignment="1" applyProtection="1">
      <alignment horizontal="center" vertical="center"/>
      <protection hidden="1"/>
    </xf>
    <xf numFmtId="167" fontId="89" fillId="34" borderId="211" xfId="2" applyNumberFormat="1" applyFont="1" applyFill="1" applyBorder="1" applyAlignment="1" applyProtection="1">
      <alignment horizontal="right" vertical="center"/>
      <protection hidden="1"/>
    </xf>
    <xf numFmtId="173" fontId="103" fillId="0" borderId="0" xfId="0" applyFont="1" applyFill="1" applyBorder="1" applyAlignment="1" applyProtection="1">
      <alignment vertical="center"/>
      <protection hidden="1"/>
    </xf>
    <xf numFmtId="173" fontId="103" fillId="0" borderId="74" xfId="0" applyFont="1" applyFill="1" applyBorder="1" applyAlignment="1" applyProtection="1">
      <alignment horizontal="center" vertical="center"/>
      <protection hidden="1"/>
    </xf>
    <xf numFmtId="173" fontId="8" fillId="0" borderId="0" xfId="0" applyFont="1" applyFill="1" applyBorder="1" applyAlignment="1">
      <alignment vertical="center"/>
    </xf>
    <xf numFmtId="173" fontId="89" fillId="0" borderId="58" xfId="0" applyFont="1" applyFill="1" applyBorder="1"/>
    <xf numFmtId="167" fontId="89" fillId="0" borderId="92" xfId="0" applyNumberFormat="1" applyFont="1" applyFill="1" applyBorder="1" applyAlignment="1">
      <alignment horizontal="center"/>
    </xf>
    <xf numFmtId="9" fontId="89" fillId="0" borderId="134" xfId="7" applyFont="1" applyFill="1" applyBorder="1"/>
    <xf numFmtId="167" fontId="89" fillId="0" borderId="92" xfId="2" applyNumberFormat="1" applyFont="1" applyFill="1" applyBorder="1" applyAlignment="1">
      <alignment horizontal="right"/>
    </xf>
    <xf numFmtId="9" fontId="7" fillId="0" borderId="0" xfId="7" applyFont="1"/>
    <xf numFmtId="167" fontId="7" fillId="0" borderId="0" xfId="0" applyNumberFormat="1" applyFont="1" applyFill="1"/>
    <xf numFmtId="173" fontId="7" fillId="0" borderId="0" xfId="0" applyFont="1" applyFill="1" applyBorder="1" applyAlignment="1">
      <alignment horizontal="right"/>
    </xf>
    <xf numFmtId="167" fontId="7" fillId="0" borderId="0" xfId="0" applyNumberFormat="1" applyFont="1"/>
    <xf numFmtId="173" fontId="7" fillId="0" borderId="0" xfId="0" applyFont="1" applyAlignment="1">
      <alignment horizontal="left"/>
    </xf>
    <xf numFmtId="173" fontId="7" fillId="0" borderId="0" xfId="0" applyFont="1" applyAlignment="1">
      <alignment horizontal="right"/>
    </xf>
    <xf numFmtId="0" fontId="37" fillId="0" borderId="74" xfId="0" applyNumberFormat="1" applyFont="1" applyFill="1" applyBorder="1" applyAlignment="1" applyProtection="1">
      <alignment horizontal="center" vertical="center"/>
      <protection hidden="1"/>
    </xf>
    <xf numFmtId="1" fontId="37" fillId="34" borderId="278" xfId="0" applyNumberFormat="1" applyFont="1" applyFill="1" applyBorder="1" applyAlignment="1" applyProtection="1">
      <alignment horizontal="center"/>
      <protection hidden="1"/>
    </xf>
    <xf numFmtId="0" fontId="37" fillId="0" borderId="245" xfId="0" applyNumberFormat="1" applyFont="1" applyFill="1" applyBorder="1" applyAlignment="1" applyProtection="1">
      <alignment horizontal="center" vertical="center"/>
      <protection hidden="1"/>
    </xf>
    <xf numFmtId="0" fontId="15" fillId="0" borderId="277" xfId="0" applyNumberFormat="1" applyFont="1" applyFill="1" applyBorder="1" applyAlignment="1" applyProtection="1">
      <alignment horizontal="center" vertical="center"/>
      <protection hidden="1"/>
    </xf>
    <xf numFmtId="1" fontId="37" fillId="34" borderId="217" xfId="0" applyNumberFormat="1" applyFont="1" applyFill="1" applyBorder="1" applyAlignment="1" applyProtection="1">
      <alignment horizontal="center"/>
      <protection hidden="1"/>
    </xf>
    <xf numFmtId="167" fontId="37" fillId="34" borderId="280" xfId="0" applyNumberFormat="1" applyFont="1" applyFill="1" applyBorder="1" applyProtection="1">
      <protection hidden="1"/>
    </xf>
    <xf numFmtId="167" fontId="37" fillId="34" borderId="281" xfId="0" applyNumberFormat="1" applyFont="1" applyFill="1" applyBorder="1" applyProtection="1">
      <protection hidden="1"/>
    </xf>
    <xf numFmtId="167" fontId="37" fillId="0" borderId="241" xfId="0" applyNumberFormat="1" applyFont="1" applyFill="1" applyBorder="1" applyProtection="1">
      <protection hidden="1"/>
    </xf>
    <xf numFmtId="0" fontId="33" fillId="31" borderId="279" xfId="0" applyNumberFormat="1" applyFont="1" applyFill="1" applyBorder="1" applyAlignment="1" applyProtection="1">
      <alignment horizontal="center" vertical="center"/>
      <protection hidden="1"/>
    </xf>
    <xf numFmtId="1" fontId="37" fillId="0" borderId="282" xfId="0" applyNumberFormat="1" applyFont="1" applyBorder="1" applyAlignment="1" applyProtection="1">
      <alignment horizontal="center"/>
      <protection hidden="1"/>
    </xf>
    <xf numFmtId="167" fontId="37" fillId="0" borderId="263" xfId="0" applyNumberFormat="1" applyFont="1" applyBorder="1" applyProtection="1">
      <protection hidden="1"/>
    </xf>
    <xf numFmtId="167" fontId="37" fillId="0" borderId="265" xfId="0" applyNumberFormat="1" applyFont="1" applyBorder="1" applyProtection="1">
      <protection hidden="1"/>
    </xf>
    <xf numFmtId="167" fontId="15" fillId="0" borderId="264" xfId="0" applyNumberFormat="1" applyFont="1" applyFill="1" applyBorder="1" applyProtection="1">
      <protection hidden="1"/>
    </xf>
    <xf numFmtId="167" fontId="15" fillId="34" borderId="226" xfId="0" applyNumberFormat="1" applyFont="1" applyFill="1" applyBorder="1" applyProtection="1">
      <protection hidden="1"/>
    </xf>
    <xf numFmtId="167" fontId="15" fillId="34" borderId="241" xfId="0" applyNumberFormat="1" applyFont="1" applyFill="1" applyBorder="1" applyProtection="1">
      <protection hidden="1"/>
    </xf>
    <xf numFmtId="167" fontId="15" fillId="34" borderId="280" xfId="0" applyNumberFormat="1" applyFont="1" applyFill="1" applyBorder="1" applyProtection="1">
      <protection hidden="1"/>
    </xf>
    <xf numFmtId="173" fontId="15" fillId="0" borderId="0" xfId="0" applyFont="1" applyFill="1" applyBorder="1" applyAlignment="1" applyProtection="1">
      <alignment horizontal="left" vertical="center"/>
      <protection hidden="1"/>
    </xf>
    <xf numFmtId="173" fontId="8" fillId="0" borderId="0" xfId="0" applyFont="1" applyFill="1" applyProtection="1">
      <protection hidden="1"/>
    </xf>
    <xf numFmtId="164" fontId="21" fillId="0" borderId="0" xfId="0" applyNumberFormat="1" applyFont="1" applyFill="1" applyBorder="1" applyProtection="1">
      <protection hidden="1"/>
    </xf>
    <xf numFmtId="173" fontId="21" fillId="0" borderId="0" xfId="0" applyFont="1" applyFill="1" applyBorder="1" applyProtection="1">
      <protection hidden="1"/>
    </xf>
    <xf numFmtId="164" fontId="21" fillId="0" borderId="0" xfId="0" applyNumberFormat="1" applyFont="1" applyFill="1" applyBorder="1" applyAlignment="1" applyProtection="1">
      <alignment vertical="center"/>
      <protection hidden="1"/>
    </xf>
    <xf numFmtId="173" fontId="21" fillId="0" borderId="0" xfId="0" applyFont="1" applyFill="1" applyBorder="1" applyAlignment="1" applyProtection="1">
      <alignment vertical="center"/>
      <protection hidden="1"/>
    </xf>
    <xf numFmtId="167" fontId="0" fillId="0" borderId="96" xfId="2" applyNumberFormat="1" applyFont="1" applyBorder="1"/>
    <xf numFmtId="164" fontId="0" fillId="28" borderId="136" xfId="2" applyNumberFormat="1" applyFont="1" applyFill="1" applyBorder="1"/>
    <xf numFmtId="167" fontId="0" fillId="0" borderId="136" xfId="2" applyNumberFormat="1" applyFont="1" applyBorder="1"/>
    <xf numFmtId="0" fontId="7" fillId="36" borderId="133" xfId="17" applyFill="1" applyBorder="1"/>
    <xf numFmtId="167" fontId="0" fillId="36" borderId="91" xfId="2" applyNumberFormat="1" applyFont="1" applyFill="1" applyBorder="1"/>
    <xf numFmtId="167" fontId="0" fillId="36" borderId="136" xfId="2" applyNumberFormat="1" applyFont="1" applyFill="1" applyBorder="1"/>
    <xf numFmtId="0" fontId="8" fillId="0" borderId="0" xfId="17" applyFont="1" applyFill="1"/>
    <xf numFmtId="1" fontId="109" fillId="0" borderId="91" xfId="3" applyNumberFormat="1" applyFont="1" applyBorder="1" applyAlignment="1">
      <alignment horizontal="center"/>
    </xf>
    <xf numFmtId="1" fontId="7" fillId="0" borderId="105" xfId="17" applyNumberFormat="1" applyBorder="1"/>
    <xf numFmtId="1" fontId="7" fillId="0" borderId="106" xfId="17" applyNumberFormat="1" applyBorder="1"/>
    <xf numFmtId="1" fontId="7" fillId="0" borderId="211" xfId="17" applyNumberFormat="1" applyBorder="1"/>
    <xf numFmtId="173" fontId="0" fillId="0" borderId="9" xfId="0" applyBorder="1" applyAlignment="1"/>
    <xf numFmtId="1" fontId="8" fillId="0" borderId="0" xfId="17" applyNumberFormat="1" applyFont="1" applyFill="1" applyBorder="1" applyAlignment="1">
      <alignment horizontal="center"/>
    </xf>
    <xf numFmtId="173" fontId="0" fillId="0" borderId="0" xfId="0" applyAlignment="1"/>
    <xf numFmtId="173" fontId="7" fillId="0" borderId="0" xfId="0" applyFont="1" applyFill="1" applyAlignment="1" applyProtection="1">
      <alignment horizontal="right"/>
      <protection hidden="1"/>
    </xf>
    <xf numFmtId="167" fontId="0" fillId="0" borderId="0" xfId="2" applyNumberFormat="1" applyFont="1" applyFill="1" applyProtection="1">
      <protection hidden="1"/>
    </xf>
    <xf numFmtId="168" fontId="0" fillId="0" borderId="200" xfId="0" applyNumberFormat="1" applyFill="1" applyBorder="1" applyAlignment="1" applyProtection="1">
      <alignment horizontal="center" vertical="center"/>
      <protection hidden="1"/>
    </xf>
    <xf numFmtId="1" fontId="0" fillId="0" borderId="0" xfId="0" applyNumberFormat="1" applyAlignment="1">
      <alignment horizontal="center" vertical="center"/>
    </xf>
    <xf numFmtId="164" fontId="0" fillId="0" borderId="0" xfId="0" applyNumberFormat="1" applyAlignment="1">
      <alignment horizontal="right" vertical="center"/>
    </xf>
    <xf numFmtId="173" fontId="0" fillId="0" borderId="0" xfId="0" applyAlignment="1">
      <alignment horizontal="right" vertical="center"/>
    </xf>
    <xf numFmtId="173" fontId="106" fillId="31" borderId="23" xfId="0" applyFont="1" applyFill="1" applyBorder="1"/>
    <xf numFmtId="173" fontId="0" fillId="31" borderId="9" xfId="0" applyFill="1" applyBorder="1"/>
    <xf numFmtId="173" fontId="0" fillId="31" borderId="17" xfId="0" applyFill="1" applyBorder="1"/>
    <xf numFmtId="173" fontId="8" fillId="0" borderId="283" xfId="0" applyFont="1" applyBorder="1"/>
    <xf numFmtId="173" fontId="8" fillId="0" borderId="128" xfId="0" applyFont="1" applyBorder="1"/>
    <xf numFmtId="173" fontId="8" fillId="0" borderId="243" xfId="0" applyFont="1" applyBorder="1" applyAlignment="1">
      <alignment horizontal="center"/>
    </xf>
    <xf numFmtId="173" fontId="7" fillId="0" borderId="56" xfId="0" applyFont="1" applyFill="1" applyBorder="1"/>
    <xf numFmtId="1" fontId="0" fillId="0" borderId="171" xfId="0" applyNumberFormat="1" applyBorder="1" applyAlignment="1">
      <alignment horizontal="center" vertical="center"/>
    </xf>
    <xf numFmtId="173" fontId="8" fillId="0" borderId="56" xfId="0" applyFont="1" applyFill="1" applyBorder="1"/>
    <xf numFmtId="173" fontId="8" fillId="0" borderId="64" xfId="0" applyFont="1" applyBorder="1"/>
    <xf numFmtId="1" fontId="8" fillId="0" borderId="171" xfId="0" applyNumberFormat="1" applyFont="1" applyBorder="1" applyAlignment="1">
      <alignment horizontal="center" vertical="center"/>
    </xf>
    <xf numFmtId="2" fontId="0" fillId="0" borderId="64" xfId="0" applyNumberFormat="1" applyBorder="1"/>
    <xf numFmtId="173" fontId="8" fillId="0" borderId="52" xfId="0" applyFont="1" applyFill="1" applyBorder="1"/>
    <xf numFmtId="173" fontId="8" fillId="0" borderId="53" xfId="0" applyFont="1" applyBorder="1"/>
    <xf numFmtId="1" fontId="8" fillId="0" borderId="285" xfId="0" applyNumberFormat="1" applyFont="1" applyBorder="1" applyAlignment="1">
      <alignment horizontal="center" vertical="center"/>
    </xf>
    <xf numFmtId="164" fontId="0" fillId="0" borderId="286" xfId="0" applyNumberFormat="1" applyBorder="1" applyAlignment="1">
      <alignment horizontal="center" vertical="center"/>
    </xf>
    <xf numFmtId="164" fontId="8" fillId="0" borderId="286" xfId="0" applyNumberFormat="1" applyFont="1" applyBorder="1" applyAlignment="1">
      <alignment horizontal="center" vertical="center"/>
    </xf>
    <xf numFmtId="164" fontId="8" fillId="0" borderId="287" xfId="0" applyNumberFormat="1" applyFont="1" applyBorder="1" applyAlignment="1">
      <alignment horizontal="center" vertical="center"/>
    </xf>
    <xf numFmtId="173" fontId="8" fillId="0" borderId="139" xfId="0" applyFont="1" applyBorder="1"/>
    <xf numFmtId="173" fontId="8" fillId="0" borderId="123" xfId="0" applyFont="1" applyBorder="1"/>
    <xf numFmtId="1" fontId="8" fillId="0" borderId="288" xfId="0" applyNumberFormat="1" applyFont="1" applyBorder="1" applyAlignment="1">
      <alignment horizontal="center" vertical="center"/>
    </xf>
    <xf numFmtId="164" fontId="8" fillId="0" borderId="289" xfId="0" applyNumberFormat="1" applyFont="1" applyBorder="1" applyAlignment="1">
      <alignment horizontal="center" vertical="center"/>
    </xf>
    <xf numFmtId="173" fontId="8" fillId="0" borderId="128" xfId="0" applyFont="1" applyBorder="1" applyAlignment="1">
      <alignment horizontal="center"/>
    </xf>
    <xf numFmtId="173" fontId="8" fillId="0" borderId="290" xfId="0" applyFont="1" applyBorder="1" applyAlignment="1">
      <alignment horizontal="center"/>
    </xf>
    <xf numFmtId="9" fontId="0" fillId="0" borderId="171" xfId="4" applyFont="1" applyBorder="1" applyAlignment="1">
      <alignment horizontal="center"/>
    </xf>
    <xf numFmtId="9" fontId="0" fillId="0" borderId="285" xfId="4" applyFont="1" applyBorder="1" applyAlignment="1">
      <alignment horizontal="center"/>
    </xf>
    <xf numFmtId="9" fontId="8" fillId="0" borderId="171" xfId="4" applyFont="1" applyBorder="1" applyAlignment="1">
      <alignment horizontal="center"/>
    </xf>
    <xf numFmtId="9" fontId="8" fillId="0" borderId="284" xfId="4" applyFont="1" applyBorder="1" applyAlignment="1">
      <alignment horizontal="center"/>
    </xf>
    <xf numFmtId="167" fontId="37" fillId="0" borderId="226" xfId="0" applyNumberFormat="1" applyFont="1" applyFill="1" applyBorder="1" applyProtection="1">
      <protection hidden="1"/>
    </xf>
    <xf numFmtId="175" fontId="0" fillId="0" borderId="0" xfId="0" applyNumberFormat="1" applyProtection="1">
      <protection hidden="1"/>
    </xf>
    <xf numFmtId="2" fontId="0" fillId="0" borderId="0" xfId="0" applyNumberFormat="1" applyProtection="1">
      <protection hidden="1"/>
    </xf>
    <xf numFmtId="0" fontId="8" fillId="0" borderId="0" xfId="17" applyFont="1" applyFill="1" applyBorder="1" applyAlignment="1">
      <alignment horizontal="center"/>
    </xf>
    <xf numFmtId="167" fontId="101" fillId="0" borderId="93" xfId="15" applyNumberFormat="1" applyBorder="1" applyAlignment="1">
      <alignment horizontal="right" vertical="center"/>
    </xf>
    <xf numFmtId="167" fontId="0" fillId="0" borderId="125" xfId="2" applyNumberFormat="1" applyFont="1" applyBorder="1" applyAlignment="1">
      <alignment horizontal="right" vertical="center"/>
    </xf>
    <xf numFmtId="167" fontId="101" fillId="0" borderId="55" xfId="15" applyNumberFormat="1" applyBorder="1" applyAlignment="1">
      <alignment horizontal="right" vertical="center"/>
    </xf>
    <xf numFmtId="167" fontId="0" fillId="0" borderId="63" xfId="2" applyNumberFormat="1" applyFont="1" applyBorder="1" applyAlignment="1">
      <alignment horizontal="right" vertical="center"/>
    </xf>
    <xf numFmtId="167" fontId="0" fillId="0" borderId="61" xfId="2" applyNumberFormat="1" applyFont="1" applyBorder="1" applyAlignment="1">
      <alignment horizontal="right" vertical="center"/>
    </xf>
    <xf numFmtId="1" fontId="0" fillId="0" borderId="172" xfId="0" applyNumberFormat="1" applyBorder="1" applyAlignment="1">
      <alignment horizontal="right" vertical="center"/>
    </xf>
    <xf numFmtId="1" fontId="0" fillId="0" borderId="85" xfId="0" applyNumberFormat="1" applyBorder="1" applyAlignment="1">
      <alignment horizontal="right" vertical="center"/>
    </xf>
    <xf numFmtId="1" fontId="0" fillId="0" borderId="57" xfId="0" applyNumberFormat="1" applyBorder="1" applyAlignment="1">
      <alignment horizontal="right" vertical="center"/>
    </xf>
    <xf numFmtId="1" fontId="0" fillId="0" borderId="91" xfId="0" applyNumberFormat="1" applyBorder="1" applyAlignment="1">
      <alignment horizontal="right" vertical="center"/>
    </xf>
    <xf numFmtId="1" fontId="0" fillId="0" borderId="44" xfId="0" applyNumberFormat="1" applyBorder="1" applyAlignment="1">
      <alignment horizontal="right" vertical="center"/>
    </xf>
    <xf numFmtId="167" fontId="0" fillId="0" borderId="172" xfId="2" applyNumberFormat="1" applyFont="1" applyBorder="1" applyAlignment="1">
      <alignment horizontal="right" vertical="center"/>
    </xf>
    <xf numFmtId="167" fontId="0" fillId="0" borderId="85" xfId="2" applyNumberFormat="1" applyFont="1" applyBorder="1" applyAlignment="1">
      <alignment horizontal="right" vertical="center"/>
    </xf>
    <xf numFmtId="167" fontId="0" fillId="0" borderId="57" xfId="2" applyNumberFormat="1" applyFont="1" applyBorder="1" applyAlignment="1">
      <alignment horizontal="right" vertical="center"/>
    </xf>
    <xf numFmtId="167" fontId="0" fillId="0" borderId="91" xfId="2" applyNumberFormat="1" applyFont="1" applyBorder="1" applyAlignment="1">
      <alignment horizontal="right" vertical="center"/>
    </xf>
    <xf numFmtId="167" fontId="0" fillId="0" borderId="44" xfId="2" applyNumberFormat="1" applyFont="1" applyBorder="1" applyAlignment="1">
      <alignment horizontal="right" vertical="center"/>
    </xf>
    <xf numFmtId="167" fontId="0" fillId="0" borderId="94" xfId="2" applyNumberFormat="1" applyFont="1" applyBorder="1" applyAlignment="1">
      <alignment horizontal="right" vertical="center"/>
    </xf>
    <xf numFmtId="167" fontId="0" fillId="0" borderId="83" xfId="2" applyNumberFormat="1" applyFont="1" applyFill="1" applyBorder="1" applyAlignment="1">
      <alignment horizontal="right" vertical="center"/>
    </xf>
    <xf numFmtId="167" fontId="0" fillId="0" borderId="47" xfId="2" applyNumberFormat="1" applyFont="1" applyBorder="1" applyAlignment="1">
      <alignment horizontal="right" vertical="center"/>
    </xf>
    <xf numFmtId="167" fontId="0" fillId="0" borderId="138" xfId="2" applyNumberFormat="1" applyFont="1" applyBorder="1" applyAlignment="1">
      <alignment horizontal="right" vertical="center"/>
    </xf>
    <xf numFmtId="167" fontId="0" fillId="0" borderId="83" xfId="2" applyNumberFormat="1" applyFont="1" applyBorder="1" applyAlignment="1">
      <alignment horizontal="right" vertical="center"/>
    </xf>
    <xf numFmtId="167" fontId="0" fillId="0" borderId="45" xfId="2" applyNumberFormat="1" applyFont="1" applyBorder="1" applyAlignment="1">
      <alignment horizontal="right" vertical="center"/>
    </xf>
    <xf numFmtId="173" fontId="0" fillId="28" borderId="90" xfId="0" applyFill="1" applyBorder="1" applyAlignment="1">
      <alignment horizontal="right" vertical="center"/>
    </xf>
    <xf numFmtId="173" fontId="0" fillId="28" borderId="274" xfId="0" applyFill="1" applyBorder="1" applyAlignment="1">
      <alignment horizontal="right" vertical="center"/>
    </xf>
    <xf numFmtId="173" fontId="0" fillId="28" borderId="14" xfId="0" applyFill="1" applyBorder="1" applyAlignment="1">
      <alignment horizontal="right" vertical="center"/>
    </xf>
    <xf numFmtId="173" fontId="0" fillId="28" borderId="15" xfId="0" applyFill="1" applyBorder="1" applyAlignment="1">
      <alignment horizontal="right" vertical="center"/>
    </xf>
    <xf numFmtId="167" fontId="0" fillId="0" borderId="93" xfId="2" applyNumberFormat="1" applyFont="1" applyBorder="1" applyAlignment="1">
      <alignment horizontal="right" vertical="center"/>
    </xf>
    <xf numFmtId="167" fontId="0" fillId="0" borderId="99" xfId="2" applyNumberFormat="1" applyFont="1" applyFill="1" applyBorder="1" applyAlignment="1">
      <alignment horizontal="right" vertical="center"/>
    </xf>
    <xf numFmtId="167" fontId="0" fillId="0" borderId="55" xfId="2" applyNumberFormat="1" applyFont="1" applyBorder="1" applyAlignment="1">
      <alignment horizontal="right" vertical="center"/>
    </xf>
    <xf numFmtId="167" fontId="0" fillId="0" borderId="72" xfId="2" applyNumberFormat="1" applyFont="1" applyBorder="1" applyAlignment="1">
      <alignment horizontal="right" vertical="center"/>
    </xf>
    <xf numFmtId="167" fontId="0" fillId="0" borderId="99" xfId="2" applyNumberFormat="1" applyFont="1" applyBorder="1" applyAlignment="1">
      <alignment horizontal="right" vertical="center"/>
    </xf>
    <xf numFmtId="167" fontId="0" fillId="0" borderId="43" xfId="2" applyNumberFormat="1" applyFont="1" applyBorder="1" applyAlignment="1">
      <alignment horizontal="right" vertical="center"/>
    </xf>
    <xf numFmtId="1" fontId="0" fillId="0" borderId="94" xfId="0" applyNumberFormat="1" applyBorder="1" applyAlignment="1">
      <alignment horizontal="right" vertical="center"/>
    </xf>
    <xf numFmtId="1" fontId="0" fillId="0" borderId="83" xfId="0" applyNumberFormat="1" applyBorder="1" applyAlignment="1">
      <alignment horizontal="right" vertical="center"/>
    </xf>
    <xf numFmtId="1" fontId="0" fillId="0" borderId="47" xfId="0" applyNumberFormat="1" applyBorder="1" applyAlignment="1">
      <alignment horizontal="right" vertical="center"/>
    </xf>
    <xf numFmtId="1" fontId="0" fillId="0" borderId="138" xfId="0" applyNumberFormat="1" applyBorder="1" applyAlignment="1">
      <alignment horizontal="right" vertical="center"/>
    </xf>
    <xf numFmtId="1" fontId="0" fillId="0" borderId="45" xfId="0" applyNumberFormat="1" applyBorder="1" applyAlignment="1">
      <alignment horizontal="right" vertical="center"/>
    </xf>
    <xf numFmtId="167" fontId="7" fillId="0" borderId="99" xfId="2" applyNumberFormat="1" applyFont="1" applyBorder="1" applyAlignment="1">
      <alignment horizontal="right" vertical="center"/>
    </xf>
    <xf numFmtId="173" fontId="0" fillId="0" borderId="233" xfId="0" applyBorder="1" applyAlignment="1">
      <alignment horizontal="right" vertical="center"/>
    </xf>
    <xf numFmtId="173" fontId="0" fillId="0" borderId="228" xfId="0" applyBorder="1" applyAlignment="1">
      <alignment horizontal="right" vertical="center"/>
    </xf>
    <xf numFmtId="173" fontId="7" fillId="0" borderId="233" xfId="0" applyFont="1" applyBorder="1" applyAlignment="1">
      <alignment horizontal="right" vertical="center"/>
    </xf>
    <xf numFmtId="9" fontId="0" fillId="0" borderId="228" xfId="4" applyFont="1" applyBorder="1" applyAlignment="1">
      <alignment horizontal="right" vertical="center"/>
    </xf>
    <xf numFmtId="9" fontId="0" fillId="0" borderId="233" xfId="4" applyFont="1" applyBorder="1" applyAlignment="1">
      <alignment horizontal="right" vertical="center"/>
    </xf>
    <xf numFmtId="9" fontId="0" fillId="0" borderId="140" xfId="4" applyFont="1" applyBorder="1" applyAlignment="1">
      <alignment horizontal="right" vertical="center"/>
    </xf>
    <xf numFmtId="173" fontId="0" fillId="0" borderId="275" xfId="0" applyBorder="1" applyAlignment="1">
      <alignment horizontal="right" vertical="center"/>
    </xf>
    <xf numFmtId="173" fontId="0" fillId="0" borderId="276" xfId="0" applyBorder="1" applyAlignment="1">
      <alignment horizontal="right" vertical="center"/>
    </xf>
    <xf numFmtId="173" fontId="7" fillId="0" borderId="275" xfId="0" applyFont="1" applyBorder="1" applyAlignment="1">
      <alignment horizontal="right" vertical="center"/>
    </xf>
    <xf numFmtId="9" fontId="0" fillId="0" borderId="276" xfId="4" applyFont="1" applyBorder="1" applyAlignment="1">
      <alignment horizontal="right" vertical="center"/>
    </xf>
    <xf numFmtId="9" fontId="0" fillId="0" borderId="275" xfId="4" applyFont="1" applyBorder="1" applyAlignment="1">
      <alignment horizontal="right" vertical="center"/>
    </xf>
    <xf numFmtId="9" fontId="0" fillId="0" borderId="22" xfId="4" applyFont="1" applyBorder="1" applyAlignment="1">
      <alignment horizontal="right" vertical="center"/>
    </xf>
    <xf numFmtId="167" fontId="0" fillId="17" borderId="110" xfId="2" applyNumberFormat="1" applyFont="1" applyFill="1" applyBorder="1"/>
    <xf numFmtId="167" fontId="0" fillId="17" borderId="95" xfId="2" applyNumberFormat="1" applyFont="1" applyFill="1" applyBorder="1"/>
    <xf numFmtId="167" fontId="7" fillId="17" borderId="135" xfId="2" applyNumberFormat="1" applyFont="1" applyFill="1" applyBorder="1"/>
    <xf numFmtId="164" fontId="7" fillId="17" borderId="135" xfId="17" applyNumberFormat="1" applyFill="1" applyBorder="1"/>
    <xf numFmtId="1" fontId="7" fillId="17" borderId="0" xfId="17" applyNumberFormat="1" applyFill="1"/>
    <xf numFmtId="0" fontId="7" fillId="17" borderId="0" xfId="17" applyFill="1"/>
    <xf numFmtId="0" fontId="7" fillId="17" borderId="128" xfId="17" applyFill="1" applyBorder="1"/>
    <xf numFmtId="1" fontId="7" fillId="17" borderId="105" xfId="17" applyNumberFormat="1" applyFill="1" applyBorder="1"/>
    <xf numFmtId="167" fontId="0" fillId="17" borderId="42" xfId="2" applyNumberFormat="1" applyFont="1" applyFill="1" applyBorder="1"/>
    <xf numFmtId="167" fontId="0" fillId="17" borderId="135" xfId="2" applyNumberFormat="1" applyFont="1" applyFill="1" applyBorder="1"/>
    <xf numFmtId="1" fontId="7" fillId="17" borderId="50" xfId="17" applyNumberFormat="1" applyFill="1" applyBorder="1"/>
    <xf numFmtId="0" fontId="8" fillId="17" borderId="95" xfId="17" applyFont="1" applyFill="1" applyBorder="1" applyAlignment="1">
      <alignment horizontal="center"/>
    </xf>
    <xf numFmtId="167" fontId="0" fillId="17" borderId="12" xfId="2" applyNumberFormat="1" applyFont="1" applyFill="1" applyBorder="1"/>
    <xf numFmtId="167" fontId="0" fillId="17" borderId="38" xfId="2" applyNumberFormat="1" applyFont="1" applyFill="1" applyBorder="1"/>
    <xf numFmtId="9" fontId="8" fillId="0" borderId="0" xfId="4" applyFont="1" applyFill="1" applyBorder="1" applyAlignment="1">
      <alignment horizontal="center"/>
    </xf>
    <xf numFmtId="10" fontId="0" fillId="0" borderId="0" xfId="0" applyNumberFormat="1" applyFill="1" applyBorder="1" applyAlignment="1">
      <alignment vertical="center"/>
    </xf>
    <xf numFmtId="173" fontId="0" fillId="0" borderId="0" xfId="0" applyFill="1" applyBorder="1" applyAlignment="1">
      <alignment horizontal="center" vertical="center"/>
    </xf>
    <xf numFmtId="173" fontId="0" fillId="0" borderId="0" xfId="0" applyFill="1" applyBorder="1" applyAlignment="1">
      <alignment vertical="center"/>
    </xf>
    <xf numFmtId="173" fontId="18" fillId="14" borderId="199" xfId="0" applyFont="1" applyFill="1" applyBorder="1" applyAlignment="1">
      <alignment horizontal="center" vertical="center"/>
    </xf>
    <xf numFmtId="173" fontId="18" fillId="14" borderId="19" xfId="0" applyFont="1" applyFill="1" applyBorder="1" applyAlignment="1">
      <alignment horizontal="center" vertical="center"/>
    </xf>
    <xf numFmtId="173" fontId="18" fillId="14" borderId="200" xfId="0" applyFont="1" applyFill="1" applyBorder="1" applyAlignment="1">
      <alignment horizontal="center" vertical="center"/>
    </xf>
    <xf numFmtId="173" fontId="18" fillId="14" borderId="76" xfId="0" applyFont="1" applyFill="1" applyBorder="1" applyAlignment="1">
      <alignment horizontal="center" vertical="center"/>
    </xf>
    <xf numFmtId="173" fontId="18" fillId="14" borderId="0" xfId="0" applyFont="1" applyFill="1" applyBorder="1" applyAlignment="1">
      <alignment horizontal="center" vertical="center"/>
    </xf>
    <xf numFmtId="173" fontId="18" fillId="14" borderId="74" xfId="0" applyFont="1" applyFill="1" applyBorder="1" applyAlignment="1">
      <alignment horizontal="center" vertical="center"/>
    </xf>
    <xf numFmtId="173" fontId="18" fillId="14" borderId="249" xfId="0" applyFont="1" applyFill="1" applyBorder="1" applyAlignment="1">
      <alignment horizontal="center" vertical="top"/>
    </xf>
    <xf numFmtId="173" fontId="18" fillId="14" borderId="18" xfId="0" applyFont="1" applyFill="1" applyBorder="1" applyAlignment="1">
      <alignment horizontal="center" vertical="top"/>
    </xf>
    <xf numFmtId="173" fontId="18" fillId="14" borderId="250" xfId="0" applyFont="1" applyFill="1" applyBorder="1" applyAlignment="1">
      <alignment horizontal="center" vertical="top"/>
    </xf>
    <xf numFmtId="173" fontId="23" fillId="8" borderId="208" xfId="0" applyFont="1" applyFill="1" applyBorder="1" applyAlignment="1">
      <alignment horizontal="center" vertical="center"/>
    </xf>
    <xf numFmtId="173" fontId="23" fillId="8" borderId="120" xfId="0" applyFont="1" applyFill="1" applyBorder="1" applyAlignment="1">
      <alignment horizontal="center" vertical="center"/>
    </xf>
    <xf numFmtId="173" fontId="23" fillId="8" borderId="236" xfId="0" applyFont="1" applyFill="1" applyBorder="1" applyAlignment="1">
      <alignment horizontal="center" vertical="center"/>
    </xf>
    <xf numFmtId="173" fontId="23" fillId="8" borderId="6" xfId="0" applyFont="1" applyFill="1" applyBorder="1" applyAlignment="1">
      <alignment horizontal="center" vertical="center" wrapText="1"/>
    </xf>
    <xf numFmtId="173" fontId="23" fillId="8" borderId="12" xfId="0" applyFont="1" applyFill="1" applyBorder="1" applyAlignment="1">
      <alignment horizontal="center" vertical="center" wrapText="1"/>
    </xf>
    <xf numFmtId="173" fontId="23" fillId="8" borderId="32" xfId="0" applyFont="1" applyFill="1" applyBorder="1" applyAlignment="1">
      <alignment horizontal="center" vertical="center" wrapText="1"/>
    </xf>
    <xf numFmtId="173" fontId="23" fillId="8" borderId="6" xfId="0" applyFont="1" applyFill="1" applyBorder="1" applyAlignment="1">
      <alignment horizontal="center" vertical="center"/>
    </xf>
    <xf numFmtId="173" fontId="23" fillId="8" borderId="12" xfId="0" applyFont="1" applyFill="1" applyBorder="1" applyAlignment="1">
      <alignment horizontal="center" vertical="center"/>
    </xf>
    <xf numFmtId="173" fontId="23" fillId="8" borderId="32" xfId="0" applyFont="1" applyFill="1" applyBorder="1" applyAlignment="1">
      <alignment horizontal="center" vertical="center"/>
    </xf>
    <xf numFmtId="167" fontId="23" fillId="8" borderId="6" xfId="2" applyNumberFormat="1" applyFont="1" applyFill="1" applyBorder="1" applyAlignment="1">
      <alignment horizontal="center" vertical="center" wrapText="1"/>
    </xf>
    <xf numFmtId="167" fontId="23" fillId="8" borderId="12" xfId="2" applyNumberFormat="1" applyFont="1" applyFill="1" applyBorder="1" applyAlignment="1">
      <alignment horizontal="center" vertical="center" wrapText="1"/>
    </xf>
    <xf numFmtId="167" fontId="23" fillId="8" borderId="32" xfId="2" applyNumberFormat="1" applyFont="1" applyFill="1" applyBorder="1" applyAlignment="1">
      <alignment horizontal="center" vertical="center" wrapText="1"/>
    </xf>
    <xf numFmtId="173" fontId="23" fillId="8" borderId="209" xfId="0" applyFont="1" applyFill="1" applyBorder="1" applyAlignment="1">
      <alignment horizontal="center" vertical="center"/>
    </xf>
    <xf numFmtId="173" fontId="23" fillId="8" borderId="84" xfId="0" applyFont="1" applyFill="1" applyBorder="1" applyAlignment="1">
      <alignment horizontal="center" vertical="center"/>
    </xf>
    <xf numFmtId="173" fontId="23" fillId="8" borderId="267" xfId="0" applyFont="1" applyFill="1" applyBorder="1" applyAlignment="1">
      <alignment horizontal="center" vertical="center"/>
    </xf>
    <xf numFmtId="10" fontId="0" fillId="0" borderId="0" xfId="0" applyNumberFormat="1" applyFill="1" applyBorder="1" applyAlignment="1">
      <alignment vertical="center"/>
    </xf>
    <xf numFmtId="173" fontId="8" fillId="0" borderId="0" xfId="0" applyFont="1" applyFill="1" applyBorder="1" applyAlignment="1">
      <alignment horizontal="center" vertical="center"/>
    </xf>
    <xf numFmtId="173" fontId="0" fillId="0" borderId="0" xfId="0" applyFill="1" applyBorder="1" applyAlignment="1">
      <alignment horizontal="center" vertical="center"/>
    </xf>
    <xf numFmtId="173" fontId="0" fillId="0" borderId="0" xfId="0" applyFill="1" applyBorder="1" applyAlignment="1">
      <alignment vertical="center"/>
    </xf>
    <xf numFmtId="10" fontId="8" fillId="0" borderId="0" xfId="0" applyNumberFormat="1" applyFont="1" applyFill="1" applyBorder="1" applyAlignment="1">
      <alignment horizontal="center" vertical="center"/>
    </xf>
    <xf numFmtId="173" fontId="18" fillId="14" borderId="249" xfId="0" applyFont="1" applyFill="1" applyBorder="1" applyAlignment="1">
      <alignment horizontal="center" vertical="center"/>
    </xf>
    <xf numFmtId="173" fontId="18" fillId="14" borderId="18" xfId="0" applyFont="1" applyFill="1" applyBorder="1" applyAlignment="1">
      <alignment horizontal="center" vertical="center"/>
    </xf>
    <xf numFmtId="173" fontId="18" fillId="14" borderId="250" xfId="0" applyFont="1" applyFill="1" applyBorder="1" applyAlignment="1">
      <alignment horizontal="center" vertical="center"/>
    </xf>
    <xf numFmtId="173" fontId="89" fillId="0" borderId="231" xfId="0" applyFont="1" applyBorder="1" applyAlignment="1" applyProtection="1">
      <alignment horizontal="left" vertical="center"/>
      <protection hidden="1"/>
    </xf>
    <xf numFmtId="173" fontId="89" fillId="0" borderId="78" xfId="0" applyFont="1" applyBorder="1" applyAlignment="1" applyProtection="1">
      <alignment horizontal="left" vertical="center"/>
      <protection hidden="1"/>
    </xf>
    <xf numFmtId="173" fontId="89" fillId="0" borderId="205" xfId="0" applyFont="1" applyBorder="1" applyAlignment="1" applyProtection="1">
      <alignment horizontal="left" vertical="center"/>
      <protection hidden="1"/>
    </xf>
    <xf numFmtId="173" fontId="89" fillId="0" borderId="38" xfId="0" applyFont="1" applyBorder="1" applyAlignment="1" applyProtection="1">
      <alignment horizontal="left" vertical="center"/>
      <protection hidden="1"/>
    </xf>
    <xf numFmtId="173" fontId="89" fillId="0" borderId="64" xfId="0" applyFont="1" applyBorder="1" applyAlignment="1" applyProtection="1">
      <alignment vertical="center"/>
      <protection hidden="1"/>
    </xf>
    <xf numFmtId="173" fontId="89" fillId="0" borderId="78" xfId="0" applyFont="1" applyFill="1" applyBorder="1" applyAlignment="1" applyProtection="1">
      <alignment vertical="center"/>
      <protection hidden="1"/>
    </xf>
    <xf numFmtId="173" fontId="89" fillId="0" borderId="64" xfId="0" applyFont="1" applyBorder="1" applyAlignment="1" applyProtection="1">
      <alignment horizontal="left" vertical="center"/>
      <protection hidden="1"/>
    </xf>
    <xf numFmtId="173" fontId="15" fillId="31" borderId="127" xfId="0" applyFont="1" applyFill="1" applyBorder="1" applyAlignment="1" applyProtection="1">
      <alignment horizontal="left" vertical="center"/>
      <protection hidden="1"/>
    </xf>
    <xf numFmtId="173" fontId="15" fillId="31" borderId="128" xfId="0" applyFont="1" applyFill="1" applyBorder="1" applyAlignment="1" applyProtection="1">
      <alignment horizontal="left" vertical="center"/>
      <protection hidden="1"/>
    </xf>
    <xf numFmtId="173" fontId="15" fillId="31" borderId="129" xfId="0" applyFont="1" applyFill="1" applyBorder="1" applyAlignment="1" applyProtection="1">
      <alignment horizontal="left" vertical="center"/>
      <protection hidden="1"/>
    </xf>
    <xf numFmtId="173" fontId="89" fillId="0" borderId="88" xfId="0" applyFont="1" applyBorder="1" applyAlignment="1" applyProtection="1">
      <alignment horizontal="left" vertical="center"/>
      <protection hidden="1"/>
    </xf>
    <xf numFmtId="173" fontId="89" fillId="0" borderId="88" xfId="0" applyFont="1" applyBorder="1" applyAlignment="1" applyProtection="1">
      <alignment vertical="center"/>
      <protection hidden="1"/>
    </xf>
    <xf numFmtId="173" fontId="89" fillId="0" borderId="205" xfId="0" applyFont="1" applyBorder="1" applyAlignment="1" applyProtection="1">
      <alignment vertical="center"/>
      <protection hidden="1"/>
    </xf>
    <xf numFmtId="173" fontId="89" fillId="0" borderId="38" xfId="0" applyFont="1" applyBorder="1" applyAlignment="1" applyProtection="1">
      <alignment vertical="center"/>
      <protection hidden="1"/>
    </xf>
    <xf numFmtId="173" fontId="93" fillId="14" borderId="199" xfId="0" applyFont="1" applyFill="1" applyBorder="1" applyAlignment="1" applyProtection="1">
      <alignment horizontal="center"/>
      <protection hidden="1"/>
    </xf>
    <xf numFmtId="173" fontId="93" fillId="14" borderId="19" xfId="0" applyFont="1" applyFill="1" applyBorder="1" applyAlignment="1" applyProtection="1">
      <alignment horizontal="center"/>
      <protection hidden="1"/>
    </xf>
    <xf numFmtId="173" fontId="93" fillId="14" borderId="200" xfId="0" applyFont="1" applyFill="1" applyBorder="1" applyAlignment="1" applyProtection="1">
      <alignment horizontal="center"/>
      <protection hidden="1"/>
    </xf>
    <xf numFmtId="173" fontId="93" fillId="35" borderId="76" xfId="0" applyFont="1" applyFill="1" applyBorder="1" applyAlignment="1" applyProtection="1">
      <alignment horizontal="center" vertical="center"/>
      <protection hidden="1"/>
    </xf>
    <xf numFmtId="173" fontId="93" fillId="35" borderId="0" xfId="0" applyFont="1" applyFill="1" applyBorder="1" applyAlignment="1" applyProtection="1">
      <alignment horizontal="center" vertical="center"/>
      <protection hidden="1"/>
    </xf>
    <xf numFmtId="173" fontId="93" fillId="35" borderId="74" xfId="0" applyFont="1" applyFill="1" applyBorder="1" applyAlignment="1" applyProtection="1">
      <alignment horizontal="center" vertical="center"/>
      <protection hidden="1"/>
    </xf>
    <xf numFmtId="173" fontId="89" fillId="0" borderId="123" xfId="0" applyFont="1" applyFill="1" applyBorder="1" applyAlignment="1" applyProtection="1">
      <alignment vertical="center"/>
      <protection hidden="1"/>
    </xf>
    <xf numFmtId="173" fontId="89" fillId="0" borderId="64" xfId="0" applyFont="1" applyFill="1" applyBorder="1" applyAlignment="1" applyProtection="1">
      <alignment vertical="center"/>
      <protection hidden="1"/>
    </xf>
    <xf numFmtId="173" fontId="95" fillId="35" borderId="76" xfId="0" applyFont="1" applyFill="1" applyBorder="1" applyAlignment="1" applyProtection="1">
      <alignment horizontal="center" vertical="center"/>
      <protection hidden="1"/>
    </xf>
    <xf numFmtId="173" fontId="95" fillId="35" borderId="0" xfId="0" applyFont="1" applyFill="1" applyBorder="1" applyAlignment="1" applyProtection="1">
      <alignment horizontal="center" vertical="center"/>
      <protection hidden="1"/>
    </xf>
    <xf numFmtId="173" fontId="95" fillId="35" borderId="74" xfId="0" applyFont="1" applyFill="1" applyBorder="1" applyAlignment="1" applyProtection="1">
      <alignment horizontal="center" vertical="center"/>
      <protection hidden="1"/>
    </xf>
    <xf numFmtId="173" fontId="33" fillId="31" borderId="237" xfId="0" applyFont="1" applyFill="1" applyBorder="1" applyAlignment="1" applyProtection="1">
      <alignment horizontal="center" vertical="center"/>
      <protection hidden="1"/>
    </xf>
    <xf numFmtId="173" fontId="33" fillId="31" borderId="236" xfId="0" applyFont="1" applyFill="1" applyBorder="1" applyAlignment="1" applyProtection="1">
      <alignment horizontal="center" vertical="center"/>
      <protection hidden="1"/>
    </xf>
    <xf numFmtId="173" fontId="15" fillId="31" borderId="95" xfId="0" applyFont="1" applyFill="1" applyBorder="1" applyAlignment="1" applyProtection="1">
      <alignment horizontal="center" vertical="center"/>
      <protection hidden="1"/>
    </xf>
    <xf numFmtId="173" fontId="15" fillId="31" borderId="32" xfId="0" applyFont="1" applyFill="1" applyBorder="1" applyAlignment="1" applyProtection="1">
      <alignment horizontal="center" vertical="center"/>
      <protection hidden="1"/>
    </xf>
    <xf numFmtId="173" fontId="15" fillId="31" borderId="95" xfId="0" applyFont="1" applyFill="1" applyBorder="1" applyAlignment="1" applyProtection="1">
      <alignment horizontal="center" vertical="center" wrapText="1"/>
      <protection hidden="1"/>
    </xf>
    <xf numFmtId="167" fontId="15" fillId="31" borderId="256" xfId="2" applyNumberFormat="1" applyFont="1" applyFill="1" applyBorder="1" applyAlignment="1" applyProtection="1">
      <alignment horizontal="center" vertical="center"/>
      <protection hidden="1"/>
    </xf>
    <xf numFmtId="167" fontId="15" fillId="31" borderId="267" xfId="2" applyNumberFormat="1" applyFont="1" applyFill="1" applyBorder="1" applyAlignment="1" applyProtection="1">
      <alignment horizontal="center" vertical="center"/>
      <protection hidden="1"/>
    </xf>
    <xf numFmtId="173" fontId="30" fillId="0" borderId="127" xfId="0" applyFont="1" applyBorder="1" applyAlignment="1" applyProtection="1">
      <alignment horizontal="left" vertical="center"/>
      <protection hidden="1"/>
    </xf>
    <xf numFmtId="173" fontId="30" fillId="0" borderId="129" xfId="0" applyFont="1" applyBorder="1" applyAlignment="1" applyProtection="1">
      <alignment horizontal="left" vertical="center"/>
      <protection hidden="1"/>
    </xf>
    <xf numFmtId="173" fontId="89" fillId="0" borderId="88" xfId="0" applyFont="1" applyFill="1" applyBorder="1" applyAlignment="1" applyProtection="1">
      <alignment horizontal="left" vertical="center"/>
      <protection hidden="1"/>
    </xf>
    <xf numFmtId="173" fontId="89" fillId="0" borderId="64" xfId="0" applyFont="1" applyFill="1" applyBorder="1" applyAlignment="1" applyProtection="1">
      <alignment horizontal="left" vertical="center"/>
      <protection hidden="1"/>
    </xf>
    <xf numFmtId="173" fontId="89" fillId="0" borderId="88" xfId="0" applyFont="1" applyFill="1" applyBorder="1" applyAlignment="1" applyProtection="1">
      <alignment vertical="center"/>
      <protection hidden="1"/>
    </xf>
    <xf numFmtId="173" fontId="89" fillId="0" borderId="205" xfId="0" applyFont="1" applyFill="1" applyBorder="1" applyAlignment="1" applyProtection="1">
      <alignment vertical="center"/>
      <protection hidden="1"/>
    </xf>
    <xf numFmtId="173" fontId="89" fillId="0" borderId="38" xfId="0" applyFont="1" applyFill="1" applyBorder="1" applyAlignment="1" applyProtection="1">
      <alignment vertical="center"/>
      <protection hidden="1"/>
    </xf>
    <xf numFmtId="173" fontId="18" fillId="14" borderId="199" xfId="0" applyFont="1" applyFill="1" applyBorder="1" applyAlignment="1" applyProtection="1">
      <alignment horizontal="center" vertical="center"/>
      <protection hidden="1"/>
    </xf>
    <xf numFmtId="173" fontId="18" fillId="14" borderId="19" xfId="0" applyFont="1" applyFill="1" applyBorder="1" applyAlignment="1" applyProtection="1">
      <alignment horizontal="center" vertical="center"/>
      <protection hidden="1"/>
    </xf>
    <xf numFmtId="173" fontId="18" fillId="14" borderId="200" xfId="0" applyFont="1" applyFill="1" applyBorder="1" applyAlignment="1" applyProtection="1">
      <alignment horizontal="center" vertical="center"/>
      <protection hidden="1"/>
    </xf>
    <xf numFmtId="173" fontId="93" fillId="35" borderId="201" xfId="0" applyFont="1" applyFill="1" applyBorder="1" applyAlignment="1" applyProtection="1">
      <alignment horizontal="center" vertical="center"/>
      <protection hidden="1"/>
    </xf>
    <xf numFmtId="173" fontId="93" fillId="35" borderId="109" xfId="0" applyFont="1" applyFill="1" applyBorder="1" applyAlignment="1" applyProtection="1">
      <alignment horizontal="center" vertical="center"/>
      <protection hidden="1"/>
    </xf>
    <xf numFmtId="173" fontId="93" fillId="35" borderId="202" xfId="0" applyFont="1" applyFill="1" applyBorder="1" applyAlignment="1" applyProtection="1">
      <alignment horizontal="center" vertical="center"/>
      <protection hidden="1"/>
    </xf>
    <xf numFmtId="173" fontId="8" fillId="0" borderId="0" xfId="0" applyFont="1" applyAlignment="1">
      <alignment horizontal="center"/>
    </xf>
    <xf numFmtId="173" fontId="44" fillId="0" borderId="91" xfId="3" applyFont="1" applyBorder="1" applyAlignment="1">
      <alignment horizontal="left"/>
    </xf>
    <xf numFmtId="173" fontId="44" fillId="0" borderId="64" xfId="3" applyFont="1" applyBorder="1" applyAlignment="1">
      <alignment horizontal="left"/>
    </xf>
    <xf numFmtId="173" fontId="44" fillId="0" borderId="170" xfId="3" applyFont="1" applyBorder="1" applyAlignment="1">
      <alignment horizontal="left"/>
    </xf>
    <xf numFmtId="173" fontId="108" fillId="0" borderId="133" xfId="3" applyFont="1" applyBorder="1" applyAlignment="1">
      <alignment horizontal="left" vertical="center"/>
    </xf>
    <xf numFmtId="173" fontId="108" fillId="0" borderId="78" xfId="3" applyFont="1" applyBorder="1" applyAlignment="1">
      <alignment horizontal="left" vertical="center"/>
    </xf>
    <xf numFmtId="173" fontId="108" fillId="0" borderId="232" xfId="3" applyFont="1" applyBorder="1" applyAlignment="1">
      <alignment horizontal="left" vertical="center"/>
    </xf>
    <xf numFmtId="173" fontId="93" fillId="35" borderId="201" xfId="0" applyFont="1" applyFill="1" applyBorder="1" applyAlignment="1" applyProtection="1">
      <alignment horizontal="center" vertical="center" wrapText="1"/>
      <protection hidden="1"/>
    </xf>
    <xf numFmtId="173" fontId="93" fillId="35" borderId="109" xfId="0" applyFont="1" applyFill="1" applyBorder="1" applyAlignment="1" applyProtection="1">
      <alignment horizontal="center" vertical="center" wrapText="1"/>
      <protection hidden="1"/>
    </xf>
    <xf numFmtId="173" fontId="93" fillId="35" borderId="202" xfId="0" applyFont="1" applyFill="1" applyBorder="1" applyAlignment="1" applyProtection="1">
      <alignment horizontal="center" vertical="center" wrapText="1"/>
      <protection hidden="1"/>
    </xf>
    <xf numFmtId="173" fontId="108" fillId="0" borderId="199" xfId="3" applyFont="1" applyBorder="1" applyAlignment="1">
      <alignment horizontal="center" vertical="center"/>
    </xf>
    <xf numFmtId="173" fontId="108" fillId="0" borderId="19" xfId="3" applyFont="1" applyBorder="1" applyAlignment="1">
      <alignment horizontal="center" vertical="center"/>
    </xf>
    <xf numFmtId="173" fontId="108" fillId="0" borderId="76" xfId="3" applyFont="1" applyBorder="1" applyAlignment="1">
      <alignment horizontal="center"/>
    </xf>
    <xf numFmtId="173" fontId="108" fillId="0" borderId="0" xfId="3" applyFont="1" applyBorder="1" applyAlignment="1">
      <alignment horizontal="center"/>
    </xf>
    <xf numFmtId="173" fontId="108" fillId="0" borderId="76" xfId="3" applyFont="1" applyBorder="1" applyAlignment="1">
      <alignment horizontal="right"/>
    </xf>
    <xf numFmtId="173" fontId="108" fillId="0" borderId="46" xfId="3" applyFont="1" applyBorder="1" applyAlignment="1">
      <alignment horizontal="right"/>
    </xf>
    <xf numFmtId="173" fontId="108" fillId="0" borderId="135" xfId="3" applyFont="1" applyBorder="1" applyAlignment="1">
      <alignment horizontal="left"/>
    </xf>
    <xf numFmtId="173" fontId="108" fillId="0" borderId="213" xfId="3" applyFont="1" applyBorder="1" applyAlignment="1">
      <alignment horizontal="left"/>
    </xf>
    <xf numFmtId="173" fontId="108" fillId="0" borderId="95" xfId="3" applyFont="1" applyBorder="1" applyAlignment="1">
      <alignment horizontal="center" vertical="center"/>
    </xf>
    <xf numFmtId="173" fontId="108" fillId="0" borderId="105" xfId="3" applyFont="1" applyBorder="1" applyAlignment="1">
      <alignment horizontal="center" vertical="center"/>
    </xf>
    <xf numFmtId="173" fontId="108" fillId="0" borderId="256" xfId="3" applyFont="1" applyBorder="1" applyAlignment="1">
      <alignment horizontal="center" vertical="center"/>
    </xf>
    <xf numFmtId="173" fontId="108" fillId="0" borderId="228" xfId="3" applyFont="1" applyBorder="1" applyAlignment="1">
      <alignment horizontal="center" vertical="center"/>
    </xf>
    <xf numFmtId="173" fontId="108" fillId="0" borderId="76" xfId="3" applyFont="1" applyBorder="1" applyAlignment="1">
      <alignment horizontal="center" vertical="center"/>
    </xf>
    <xf numFmtId="173" fontId="108" fillId="0" borderId="0" xfId="3" applyFont="1" applyBorder="1" applyAlignment="1">
      <alignment horizontal="center" vertical="center"/>
    </xf>
    <xf numFmtId="0" fontId="109" fillId="0" borderId="64" xfId="3" applyNumberFormat="1" applyFont="1" applyBorder="1" applyAlignment="1">
      <alignment horizontal="left"/>
    </xf>
    <xf numFmtId="173" fontId="108" fillId="0" borderId="133" xfId="3" applyFont="1" applyBorder="1" applyAlignment="1">
      <alignment horizontal="left"/>
    </xf>
    <xf numFmtId="173" fontId="108" fillId="0" borderId="78" xfId="3" applyFont="1" applyBorder="1" applyAlignment="1">
      <alignment horizontal="left"/>
    </xf>
    <xf numFmtId="173" fontId="108" fillId="0" borderId="232" xfId="3" applyFont="1" applyBorder="1" applyAlignment="1">
      <alignment horizontal="left"/>
    </xf>
    <xf numFmtId="173" fontId="109" fillId="0" borderId="120" xfId="3" applyFont="1" applyBorder="1" applyAlignment="1">
      <alignment horizontal="center"/>
    </xf>
    <xf numFmtId="173" fontId="91" fillId="35" borderId="0" xfId="0" applyFont="1" applyFill="1" applyAlignment="1">
      <alignment horizontal="center" vertical="center"/>
    </xf>
    <xf numFmtId="1" fontId="37" fillId="0" borderId="19" xfId="0" applyNumberFormat="1" applyFont="1" applyFill="1" applyBorder="1" applyAlignment="1" applyProtection="1">
      <alignment horizontal="center" vertical="center" wrapText="1"/>
      <protection hidden="1"/>
    </xf>
    <xf numFmtId="1" fontId="37" fillId="0" borderId="200" xfId="0" applyNumberFormat="1" applyFont="1" applyFill="1" applyBorder="1" applyAlignment="1" applyProtection="1">
      <alignment horizontal="center" vertical="center" wrapText="1"/>
      <protection hidden="1"/>
    </xf>
    <xf numFmtId="1" fontId="37" fillId="0" borderId="0" xfId="0" applyNumberFormat="1" applyFont="1" applyFill="1" applyBorder="1" applyAlignment="1" applyProtection="1">
      <alignment horizontal="center" vertical="center" wrapText="1"/>
      <protection hidden="1"/>
    </xf>
    <xf numFmtId="1" fontId="37" fillId="0" borderId="74" xfId="0" applyNumberFormat="1" applyFont="1" applyFill="1" applyBorder="1" applyAlignment="1" applyProtection="1">
      <alignment horizontal="center" vertical="center" wrapText="1"/>
      <protection hidden="1"/>
    </xf>
    <xf numFmtId="1" fontId="37" fillId="0" borderId="109" xfId="0" applyNumberFormat="1" applyFont="1" applyFill="1" applyBorder="1" applyAlignment="1" applyProtection="1">
      <alignment horizontal="center" vertical="center" wrapText="1"/>
      <protection hidden="1"/>
    </xf>
    <xf numFmtId="1" fontId="37" fillId="0" borderId="202" xfId="0" applyNumberFormat="1" applyFont="1" applyFill="1" applyBorder="1" applyAlignment="1" applyProtection="1">
      <alignment horizontal="center" vertical="center" wrapText="1"/>
      <protection hidden="1"/>
    </xf>
    <xf numFmtId="9" fontId="89" fillId="0" borderId="135" xfId="4" applyFont="1" applyFill="1" applyBorder="1" applyAlignment="1" applyProtection="1">
      <alignment horizontal="center"/>
      <protection hidden="1"/>
    </xf>
    <xf numFmtId="9" fontId="89" fillId="0" borderId="42" xfId="4" applyFont="1" applyFill="1" applyBorder="1" applyAlignment="1" applyProtection="1">
      <alignment horizontal="center"/>
      <protection hidden="1"/>
    </xf>
    <xf numFmtId="173" fontId="15" fillId="31" borderId="127" xfId="0" applyFont="1" applyFill="1" applyBorder="1" applyAlignment="1" applyProtection="1">
      <alignment horizontal="center" vertical="center" wrapText="1"/>
      <protection hidden="1"/>
    </xf>
    <xf numFmtId="173" fontId="15" fillId="31" borderId="128" xfId="0" applyFont="1" applyFill="1" applyBorder="1" applyAlignment="1" applyProtection="1">
      <alignment horizontal="center" vertical="center" wrapText="1"/>
      <protection hidden="1"/>
    </xf>
    <xf numFmtId="173" fontId="15" fillId="31" borderId="129" xfId="0" applyFont="1" applyFill="1" applyBorder="1" applyAlignment="1" applyProtection="1">
      <alignment horizontal="center" vertical="center" wrapText="1"/>
      <protection hidden="1"/>
    </xf>
    <xf numFmtId="1" fontId="89" fillId="0" borderId="42" xfId="0" applyNumberFormat="1" applyFont="1" applyFill="1" applyBorder="1" applyAlignment="1" applyProtection="1">
      <alignment horizontal="center"/>
      <protection hidden="1"/>
    </xf>
    <xf numFmtId="173" fontId="33" fillId="31" borderId="199" xfId="0" applyFont="1" applyFill="1" applyBorder="1" applyAlignment="1" applyProtection="1">
      <alignment horizontal="left" vertical="center"/>
      <protection hidden="1"/>
    </xf>
    <xf numFmtId="173" fontId="33" fillId="31" borderId="201" xfId="0" applyFont="1" applyFill="1" applyBorder="1" applyAlignment="1" applyProtection="1">
      <alignment horizontal="left" vertical="center"/>
      <protection hidden="1"/>
    </xf>
    <xf numFmtId="173" fontId="8" fillId="31" borderId="95" xfId="0" applyFont="1" applyFill="1" applyBorder="1" applyAlignment="1" applyProtection="1">
      <alignment horizontal="center" vertical="center" wrapText="1"/>
      <protection hidden="1"/>
    </xf>
    <xf numFmtId="173" fontId="8" fillId="31" borderId="95" xfId="0" applyFont="1" applyFill="1" applyBorder="1" applyAlignment="1" applyProtection="1">
      <alignment horizontal="center" vertical="center"/>
      <protection hidden="1"/>
    </xf>
    <xf numFmtId="173" fontId="8" fillId="31" borderId="32" xfId="0" applyFont="1" applyFill="1" applyBorder="1" applyAlignment="1" applyProtection="1">
      <alignment horizontal="center" vertical="center"/>
      <protection hidden="1"/>
    </xf>
    <xf numFmtId="0" fontId="8" fillId="31" borderId="95" xfId="0" applyNumberFormat="1" applyFont="1" applyFill="1" applyBorder="1" applyAlignment="1" applyProtection="1">
      <alignment horizontal="center" vertical="center" wrapText="1"/>
      <protection hidden="1"/>
    </xf>
    <xf numFmtId="0" fontId="8" fillId="31" borderId="95" xfId="0" applyNumberFormat="1" applyFont="1" applyFill="1" applyBorder="1" applyAlignment="1" applyProtection="1">
      <alignment horizontal="center" vertical="center"/>
      <protection hidden="1"/>
    </xf>
    <xf numFmtId="0" fontId="8" fillId="31" borderId="32" xfId="0" applyNumberFormat="1" applyFont="1" applyFill="1" applyBorder="1" applyAlignment="1" applyProtection="1">
      <alignment horizontal="center" vertical="center"/>
      <protection hidden="1"/>
    </xf>
    <xf numFmtId="0" fontId="8" fillId="31" borderId="32" xfId="0" applyNumberFormat="1" applyFont="1" applyFill="1" applyBorder="1" applyAlignment="1" applyProtection="1">
      <alignment horizontal="center" vertical="center" wrapText="1"/>
      <protection hidden="1"/>
    </xf>
    <xf numFmtId="1" fontId="89" fillId="0" borderId="50" xfId="0" applyNumberFormat="1" applyFont="1" applyFill="1" applyBorder="1" applyAlignment="1" applyProtection="1">
      <alignment horizontal="center"/>
      <protection hidden="1"/>
    </xf>
    <xf numFmtId="9" fontId="89" fillId="0" borderId="50" xfId="4" applyFont="1" applyFill="1" applyBorder="1" applyAlignment="1" applyProtection="1">
      <alignment horizontal="center"/>
      <protection hidden="1"/>
    </xf>
    <xf numFmtId="1" fontId="89" fillId="0" borderId="135" xfId="0" applyNumberFormat="1" applyFont="1" applyFill="1" applyBorder="1" applyAlignment="1" applyProtection="1">
      <alignment horizontal="center"/>
      <protection hidden="1"/>
    </xf>
    <xf numFmtId="0" fontId="12" fillId="0" borderId="0" xfId="17" applyFont="1" applyBorder="1" applyAlignment="1">
      <alignment horizontal="center" vertical="center"/>
    </xf>
    <xf numFmtId="0" fontId="111" fillId="0" borderId="0" xfId="17" applyFont="1" applyBorder="1" applyAlignment="1">
      <alignment horizontal="center" vertical="center"/>
    </xf>
    <xf numFmtId="0" fontId="12" fillId="0" borderId="257" xfId="17" applyFont="1" applyBorder="1" applyAlignment="1">
      <alignment horizontal="center" vertical="center"/>
    </xf>
    <xf numFmtId="0" fontId="12" fillId="0" borderId="258" xfId="17" applyFont="1" applyBorder="1" applyAlignment="1">
      <alignment horizontal="center" vertical="center"/>
    </xf>
    <xf numFmtId="0" fontId="12" fillId="0" borderId="259" xfId="17" applyFont="1" applyBorder="1" applyAlignment="1">
      <alignment horizontal="center" vertical="center"/>
    </xf>
    <xf numFmtId="0" fontId="15" fillId="0" borderId="260" xfId="17" applyFont="1" applyBorder="1" applyAlignment="1">
      <alignment horizontal="center" vertical="center"/>
    </xf>
    <xf numFmtId="0" fontId="15" fillId="0" borderId="261" xfId="17" applyFont="1" applyBorder="1" applyAlignment="1">
      <alignment horizontal="center" vertical="center"/>
    </xf>
    <xf numFmtId="0" fontId="15" fillId="0" borderId="262" xfId="17" applyFont="1" applyBorder="1" applyAlignment="1">
      <alignment horizontal="center" vertical="center"/>
    </xf>
    <xf numFmtId="0" fontId="15" fillId="0" borderId="0" xfId="17" applyFont="1" applyFill="1" applyBorder="1" applyAlignment="1">
      <alignment horizontal="center"/>
    </xf>
    <xf numFmtId="173" fontId="33" fillId="25" borderId="127" xfId="0" applyFont="1" applyFill="1" applyBorder="1" applyAlignment="1" applyProtection="1">
      <alignment horizontal="left" vertical="center"/>
      <protection hidden="1"/>
    </xf>
    <xf numFmtId="173" fontId="33" fillId="25" borderId="128" xfId="0" applyFont="1" applyFill="1" applyBorder="1" applyAlignment="1" applyProtection="1">
      <alignment horizontal="left" vertical="center"/>
      <protection hidden="1"/>
    </xf>
    <xf numFmtId="173" fontId="15" fillId="25" borderId="127" xfId="0" applyFont="1" applyFill="1" applyBorder="1" applyAlignment="1" applyProtection="1">
      <alignment horizontal="left" vertical="center"/>
      <protection hidden="1"/>
    </xf>
    <xf numFmtId="173" fontId="15" fillId="25" borderId="128" xfId="0" applyFont="1" applyFill="1" applyBorder="1" applyAlignment="1" applyProtection="1">
      <alignment horizontal="left" vertical="center"/>
      <protection hidden="1"/>
    </xf>
    <xf numFmtId="173" fontId="33" fillId="19" borderId="127" xfId="0" applyFont="1" applyFill="1" applyBorder="1" applyAlignment="1" applyProtection="1">
      <alignment horizontal="left" vertical="center"/>
      <protection hidden="1"/>
    </xf>
    <xf numFmtId="173" fontId="33" fillId="19" borderId="128" xfId="0" applyFont="1" applyFill="1" applyBorder="1" applyAlignment="1" applyProtection="1">
      <alignment horizontal="left" vertical="center"/>
      <protection hidden="1"/>
    </xf>
    <xf numFmtId="173" fontId="15" fillId="19" borderId="127" xfId="0" applyFont="1" applyFill="1" applyBorder="1" applyAlignment="1" applyProtection="1">
      <alignment horizontal="left" vertical="center"/>
      <protection hidden="1"/>
    </xf>
    <xf numFmtId="173" fontId="15" fillId="19" borderId="128" xfId="0" applyFont="1" applyFill="1" applyBorder="1" applyAlignment="1" applyProtection="1">
      <alignment horizontal="left" vertical="center"/>
      <protection hidden="1"/>
    </xf>
    <xf numFmtId="173" fontId="33" fillId="24" borderId="127" xfId="0" applyFont="1" applyFill="1" applyBorder="1" applyAlignment="1" applyProtection="1">
      <alignment horizontal="left" vertical="center"/>
      <protection hidden="1"/>
    </xf>
    <xf numFmtId="173" fontId="33" fillId="24" borderId="128" xfId="0" applyFont="1" applyFill="1" applyBorder="1" applyAlignment="1" applyProtection="1">
      <alignment horizontal="left" vertical="center"/>
      <protection hidden="1"/>
    </xf>
    <xf numFmtId="173" fontId="15" fillId="24" borderId="127" xfId="0" applyFont="1" applyFill="1" applyBorder="1" applyAlignment="1" applyProtection="1">
      <alignment horizontal="left" vertical="center"/>
      <protection hidden="1"/>
    </xf>
    <xf numFmtId="173" fontId="15" fillId="24" borderId="128" xfId="0" applyFont="1" applyFill="1" applyBorder="1" applyAlignment="1" applyProtection="1">
      <alignment horizontal="left" vertical="center"/>
      <protection hidden="1"/>
    </xf>
    <xf numFmtId="173" fontId="18" fillId="14" borderId="76" xfId="0" applyFont="1" applyFill="1" applyBorder="1" applyAlignment="1" applyProtection="1">
      <alignment horizontal="center" vertical="center"/>
      <protection hidden="1"/>
    </xf>
    <xf numFmtId="173" fontId="18" fillId="14" borderId="0" xfId="0" applyFont="1" applyFill="1" applyBorder="1" applyAlignment="1" applyProtection="1">
      <alignment horizontal="center" vertical="center"/>
      <protection hidden="1"/>
    </xf>
    <xf numFmtId="173" fontId="18" fillId="14" borderId="210" xfId="0" applyFont="1" applyFill="1" applyBorder="1" applyAlignment="1" applyProtection="1">
      <alignment horizontal="center" vertical="center"/>
      <protection hidden="1"/>
    </xf>
    <xf numFmtId="173" fontId="18" fillId="14" borderId="9" xfId="0" applyFont="1" applyFill="1" applyBorder="1" applyAlignment="1" applyProtection="1">
      <alignment horizontal="center" vertical="center"/>
      <protection hidden="1"/>
    </xf>
    <xf numFmtId="173" fontId="93" fillId="35" borderId="249" xfId="0" applyFont="1" applyFill="1" applyBorder="1" applyAlignment="1" applyProtection="1">
      <alignment horizontal="center" vertical="center" wrapText="1"/>
      <protection hidden="1"/>
    </xf>
    <xf numFmtId="173" fontId="93" fillId="35" borderId="18" xfId="0" applyFont="1" applyFill="1" applyBorder="1" applyAlignment="1" applyProtection="1">
      <alignment horizontal="center" vertical="center" wrapText="1"/>
      <protection hidden="1"/>
    </xf>
    <xf numFmtId="173" fontId="33" fillId="30" borderId="127" xfId="0" applyFont="1" applyFill="1" applyBorder="1" applyAlignment="1" applyProtection="1">
      <alignment horizontal="left" vertical="center"/>
      <protection hidden="1"/>
    </xf>
    <xf numFmtId="173" fontId="33" fillId="30" borderId="128" xfId="0" applyFont="1" applyFill="1" applyBorder="1" applyAlignment="1" applyProtection="1">
      <alignment horizontal="left" vertical="center"/>
      <protection hidden="1"/>
    </xf>
    <xf numFmtId="173" fontId="15" fillId="30" borderId="127" xfId="0" applyFont="1" applyFill="1" applyBorder="1" applyAlignment="1" applyProtection="1">
      <alignment horizontal="left" vertical="center"/>
      <protection hidden="1"/>
    </xf>
    <xf numFmtId="173" fontId="15" fillId="30" borderId="128" xfId="0" applyFont="1" applyFill="1" applyBorder="1" applyAlignment="1" applyProtection="1">
      <alignment horizontal="left" vertical="center"/>
      <protection hidden="1"/>
    </xf>
    <xf numFmtId="173" fontId="33" fillId="27" borderId="127" xfId="0" applyFont="1" applyFill="1" applyBorder="1" applyAlignment="1" applyProtection="1">
      <alignment horizontal="left" vertical="center"/>
      <protection hidden="1"/>
    </xf>
    <xf numFmtId="173" fontId="33" fillId="27" borderId="128" xfId="0" applyFont="1" applyFill="1" applyBorder="1" applyAlignment="1" applyProtection="1">
      <alignment horizontal="left" vertical="center"/>
      <protection hidden="1"/>
    </xf>
    <xf numFmtId="173" fontId="15" fillId="27" borderId="127" xfId="0" applyFont="1" applyFill="1" applyBorder="1" applyAlignment="1" applyProtection="1">
      <alignment horizontal="left" vertical="center"/>
      <protection hidden="1"/>
    </xf>
    <xf numFmtId="173" fontId="15" fillId="27" borderId="128" xfId="0" applyFont="1" applyFill="1" applyBorder="1" applyAlignment="1" applyProtection="1">
      <alignment horizontal="left" vertical="center"/>
      <protection hidden="1"/>
    </xf>
    <xf numFmtId="173" fontId="15" fillId="48" borderId="127" xfId="0" applyFont="1" applyFill="1" applyBorder="1" applyAlignment="1" applyProtection="1">
      <alignment horizontal="left" vertical="center"/>
      <protection hidden="1"/>
    </xf>
    <xf numFmtId="173" fontId="15" fillId="48" borderId="128" xfId="0" applyFont="1" applyFill="1" applyBorder="1" applyAlignment="1" applyProtection="1">
      <alignment horizontal="left" vertical="center"/>
      <protection hidden="1"/>
    </xf>
    <xf numFmtId="173" fontId="33" fillId="48" borderId="127" xfId="0" applyFont="1" applyFill="1" applyBorder="1" applyAlignment="1" applyProtection="1">
      <alignment horizontal="left" vertical="center"/>
      <protection hidden="1"/>
    </xf>
    <xf numFmtId="173" fontId="33" fillId="48" borderId="128" xfId="0" applyFont="1" applyFill="1" applyBorder="1" applyAlignment="1" applyProtection="1">
      <alignment horizontal="left" vertical="center"/>
      <protection hidden="1"/>
    </xf>
    <xf numFmtId="173" fontId="93" fillId="35" borderId="76" xfId="0" applyFont="1" applyFill="1" applyBorder="1" applyAlignment="1" applyProtection="1">
      <alignment horizontal="center" vertical="center" wrapText="1"/>
      <protection hidden="1"/>
    </xf>
    <xf numFmtId="173" fontId="93" fillId="35" borderId="0" xfId="0" applyFont="1" applyFill="1" applyBorder="1" applyAlignment="1" applyProtection="1">
      <alignment horizontal="center" vertical="center" wrapText="1"/>
      <protection hidden="1"/>
    </xf>
    <xf numFmtId="173" fontId="93" fillId="35" borderId="74" xfId="0" applyFont="1" applyFill="1" applyBorder="1" applyAlignment="1" applyProtection="1">
      <alignment horizontal="center" vertical="center" wrapText="1"/>
      <protection hidden="1"/>
    </xf>
    <xf numFmtId="173" fontId="33" fillId="46" borderId="201" xfId="0" applyFont="1" applyFill="1" applyBorder="1" applyAlignment="1" applyProtection="1">
      <alignment horizontal="left" vertical="center"/>
      <protection hidden="1"/>
    </xf>
    <xf numFmtId="173" fontId="33" fillId="46" borderId="109" xfId="0" applyFont="1" applyFill="1" applyBorder="1" applyAlignment="1" applyProtection="1">
      <alignment horizontal="left" vertical="center"/>
      <protection hidden="1"/>
    </xf>
    <xf numFmtId="173" fontId="15" fillId="46" borderId="127" xfId="0" applyFont="1" applyFill="1" applyBorder="1" applyAlignment="1" applyProtection="1">
      <alignment horizontal="left" vertical="center"/>
      <protection hidden="1"/>
    </xf>
    <xf numFmtId="173" fontId="15" fillId="46" borderId="128" xfId="0" applyFont="1" applyFill="1" applyBorder="1" applyAlignment="1" applyProtection="1">
      <alignment horizontal="left" vertical="center"/>
      <protection hidden="1"/>
    </xf>
    <xf numFmtId="173" fontId="21" fillId="8" borderId="0" xfId="3" applyFont="1" applyFill="1" applyAlignment="1"/>
    <xf numFmtId="173" fontId="7" fillId="8" borderId="0" xfId="3" applyFill="1" applyAlignment="1"/>
    <xf numFmtId="10" fontId="0" fillId="0" borderId="0" xfId="0" applyNumberFormat="1" applyBorder="1" applyAlignment="1"/>
    <xf numFmtId="173" fontId="0" fillId="0" borderId="0" xfId="0" applyBorder="1" applyAlignment="1"/>
    <xf numFmtId="173" fontId="18" fillId="14" borderId="23" xfId="0" applyFont="1" applyFill="1" applyBorder="1" applyAlignment="1">
      <alignment horizontal="center"/>
    </xf>
    <xf numFmtId="173" fontId="18" fillId="14" borderId="9" xfId="0" applyFont="1" applyFill="1" applyBorder="1" applyAlignment="1">
      <alignment horizontal="center"/>
    </xf>
    <xf numFmtId="173" fontId="18" fillId="14" borderId="17" xfId="0" applyFont="1" applyFill="1" applyBorder="1" applyAlignment="1">
      <alignment horizontal="center"/>
    </xf>
    <xf numFmtId="173" fontId="18" fillId="14" borderId="33" xfId="0" applyFont="1" applyFill="1" applyBorder="1" applyAlignment="1">
      <alignment horizontal="center"/>
    </xf>
    <xf numFmtId="173" fontId="18" fillId="14" borderId="18" xfId="0" applyFont="1" applyFill="1" applyBorder="1" applyAlignment="1">
      <alignment horizontal="center"/>
    </xf>
    <xf numFmtId="173" fontId="18" fillId="14" borderId="34" xfId="0" applyFont="1" applyFill="1" applyBorder="1" applyAlignment="1">
      <alignment horizontal="center"/>
    </xf>
    <xf numFmtId="173" fontId="8" fillId="0" borderId="0" xfId="0" applyFont="1" applyFill="1" applyBorder="1" applyAlignment="1">
      <alignment horizontal="center"/>
    </xf>
    <xf numFmtId="173" fontId="0" fillId="0" borderId="0" xfId="0" applyFill="1" applyBorder="1" applyAlignment="1">
      <alignment horizontal="center"/>
    </xf>
    <xf numFmtId="173" fontId="0" fillId="0" borderId="0" xfId="0" applyFill="1" applyBorder="1" applyAlignment="1"/>
    <xf numFmtId="10" fontId="8" fillId="0" borderId="0" xfId="0" applyNumberFormat="1" applyFont="1" applyFill="1" applyBorder="1" applyAlignment="1">
      <alignment horizontal="center"/>
    </xf>
    <xf numFmtId="10" fontId="0" fillId="0" borderId="0" xfId="0" applyNumberFormat="1" applyFill="1" applyBorder="1" applyAlignment="1"/>
    <xf numFmtId="164" fontId="23" fillId="31" borderId="0" xfId="0" applyNumberFormat="1" applyFont="1" applyFill="1" applyBorder="1" applyAlignment="1">
      <alignment horizontal="center"/>
    </xf>
    <xf numFmtId="164" fontId="23" fillId="31" borderId="1" xfId="0" applyNumberFormat="1" applyFont="1" applyFill="1" applyBorder="1" applyAlignment="1">
      <alignment horizontal="center"/>
    </xf>
    <xf numFmtId="10" fontId="11" fillId="19" borderId="0" xfId="0" applyNumberFormat="1" applyFont="1" applyFill="1" applyBorder="1" applyAlignment="1"/>
    <xf numFmtId="173" fontId="11" fillId="19" borderId="0" xfId="0" applyFont="1" applyFill="1" applyBorder="1" applyAlignment="1"/>
    <xf numFmtId="173" fontId="8" fillId="32" borderId="42" xfId="0" applyFont="1" applyFill="1" applyBorder="1" applyAlignment="1">
      <alignment horizontal="center"/>
    </xf>
    <xf numFmtId="173" fontId="0" fillId="32" borderId="42" xfId="0" applyFill="1" applyBorder="1" applyAlignment="1">
      <alignment horizontal="center"/>
    </xf>
    <xf numFmtId="10" fontId="27" fillId="19" borderId="0" xfId="0" applyNumberFormat="1" applyFont="1" applyFill="1" applyBorder="1" applyAlignment="1">
      <alignment horizontal="center"/>
    </xf>
    <xf numFmtId="173" fontId="27" fillId="19" borderId="0" xfId="0" applyFont="1" applyFill="1" applyBorder="1" applyAlignment="1">
      <alignment horizontal="center"/>
    </xf>
    <xf numFmtId="10" fontId="0" fillId="19" borderId="0" xfId="0" applyNumberFormat="1" applyFill="1" applyBorder="1" applyAlignment="1"/>
    <xf numFmtId="173" fontId="0" fillId="19" borderId="0" xfId="0" applyFill="1" applyBorder="1" applyAlignment="1"/>
    <xf numFmtId="173" fontId="12" fillId="31" borderId="92" xfId="0" applyFont="1" applyFill="1" applyBorder="1" applyAlignment="1">
      <alignment horizontal="center"/>
    </xf>
    <xf numFmtId="173" fontId="12" fillId="31" borderId="65" xfId="0" applyFont="1" applyFill="1" applyBorder="1" applyAlignment="1">
      <alignment horizontal="center"/>
    </xf>
    <xf numFmtId="173" fontId="12" fillId="31" borderId="59" xfId="0" applyFont="1" applyFill="1" applyBorder="1" applyAlignment="1">
      <alignment horizontal="center"/>
    </xf>
    <xf numFmtId="173" fontId="12" fillId="31" borderId="106" xfId="0" applyFont="1" applyFill="1" applyBorder="1" applyAlignment="1">
      <alignment horizontal="center"/>
    </xf>
    <xf numFmtId="173" fontId="12" fillId="31" borderId="123" xfId="0" applyFont="1" applyFill="1" applyBorder="1" applyAlignment="1">
      <alignment horizontal="center"/>
    </xf>
    <xf numFmtId="173" fontId="12" fillId="31" borderId="124" xfId="0" applyFont="1" applyFill="1" applyBorder="1" applyAlignment="1">
      <alignment horizontal="center"/>
    </xf>
    <xf numFmtId="173" fontId="8" fillId="32" borderId="60" xfId="0" applyFont="1" applyFill="1" applyBorder="1" applyAlignment="1">
      <alignment horizontal="center"/>
    </xf>
    <xf numFmtId="173" fontId="8" fillId="32" borderId="12" xfId="0" applyFont="1" applyFill="1" applyBorder="1" applyAlignment="1">
      <alignment horizontal="center"/>
    </xf>
    <xf numFmtId="173" fontId="8" fillId="32" borderId="7" xfId="0" applyFont="1" applyFill="1" applyBorder="1" applyAlignment="1">
      <alignment horizontal="center"/>
    </xf>
    <xf numFmtId="164" fontId="8" fillId="32" borderId="105" xfId="0" applyNumberFormat="1" applyFont="1" applyFill="1" applyBorder="1" applyAlignment="1">
      <alignment horizontal="center" vertical="center"/>
    </xf>
    <xf numFmtId="10" fontId="0" fillId="0" borderId="0" xfId="0" applyNumberFormat="1" applyFill="1" applyBorder="1" applyAlignment="1">
      <alignment horizontal="center"/>
    </xf>
    <xf numFmtId="173" fontId="12" fillId="8" borderId="23" xfId="0" applyFont="1" applyFill="1" applyBorder="1" applyAlignment="1"/>
    <xf numFmtId="173" fontId="12" fillId="8" borderId="9" xfId="0" applyFont="1" applyFill="1" applyBorder="1" applyAlignment="1"/>
    <xf numFmtId="173" fontId="12" fillId="8" borderId="17" xfId="0" applyFont="1" applyFill="1" applyBorder="1" applyAlignment="1"/>
    <xf numFmtId="173" fontId="12" fillId="8" borderId="33" xfId="0" applyFont="1" applyFill="1" applyBorder="1" applyAlignment="1"/>
    <xf numFmtId="173" fontId="12" fillId="8" borderId="18" xfId="0" applyFont="1" applyFill="1" applyBorder="1" applyAlignment="1"/>
    <xf numFmtId="173" fontId="12" fillId="8" borderId="34" xfId="0" applyFont="1" applyFill="1" applyBorder="1" applyAlignment="1"/>
    <xf numFmtId="164" fontId="8" fillId="3" borderId="72" xfId="0" applyNumberFormat="1" applyFont="1" applyFill="1" applyBorder="1" applyAlignment="1">
      <alignment horizontal="center"/>
    </xf>
    <xf numFmtId="164" fontId="8" fillId="3" borderId="55" xfId="0" applyNumberFormat="1" applyFont="1" applyFill="1" applyBorder="1" applyAlignment="1">
      <alignment horizontal="center"/>
    </xf>
    <xf numFmtId="173" fontId="8" fillId="3" borderId="91" xfId="0" applyFont="1" applyFill="1" applyBorder="1" applyAlignment="1">
      <alignment horizontal="center"/>
    </xf>
    <xf numFmtId="173" fontId="0" fillId="0" borderId="57" xfId="0" applyBorder="1" applyAlignment="1">
      <alignment horizontal="center"/>
    </xf>
    <xf numFmtId="173" fontId="15" fillId="25" borderId="127" xfId="0" applyFont="1" applyFill="1" applyBorder="1" applyAlignment="1">
      <alignment horizontal="left"/>
    </xf>
    <xf numFmtId="173" fontId="15" fillId="25" borderId="128" xfId="0" applyFont="1" applyFill="1" applyBorder="1" applyAlignment="1">
      <alignment horizontal="left"/>
    </xf>
    <xf numFmtId="173" fontId="15" fillId="25" borderId="130" xfId="0" applyFont="1" applyFill="1" applyBorder="1" applyAlignment="1">
      <alignment horizontal="left"/>
    </xf>
    <xf numFmtId="173" fontId="8" fillId="30" borderId="13" xfId="0" applyFont="1" applyFill="1" applyBorder="1" applyAlignment="1">
      <alignment horizontal="left"/>
    </xf>
    <xf numFmtId="173" fontId="8" fillId="30" borderId="14" xfId="0" applyFont="1" applyFill="1" applyBorder="1" applyAlignment="1">
      <alignment horizontal="left"/>
    </xf>
    <xf numFmtId="10" fontId="8" fillId="4" borderId="54" xfId="0" applyNumberFormat="1" applyFont="1" applyFill="1" applyBorder="1" applyAlignment="1">
      <alignment horizontal="center"/>
    </xf>
    <xf numFmtId="173" fontId="0" fillId="0" borderId="63" xfId="0" applyBorder="1" applyAlignment="1">
      <alignment horizontal="center"/>
    </xf>
    <xf numFmtId="173" fontId="0" fillId="0" borderId="61" xfId="0" applyBorder="1" applyAlignment="1">
      <alignment horizontal="center"/>
    </xf>
    <xf numFmtId="10" fontId="8" fillId="4" borderId="52" xfId="0" applyNumberFormat="1" applyFont="1" applyFill="1" applyBorder="1" applyAlignment="1">
      <alignment horizontal="center"/>
    </xf>
    <xf numFmtId="173" fontId="0" fillId="0" borderId="47" xfId="0" applyBorder="1" applyAlignment="1">
      <alignment horizontal="center"/>
    </xf>
    <xf numFmtId="10" fontId="0" fillId="5" borderId="52" xfId="0" applyNumberFormat="1" applyFill="1" applyBorder="1" applyAlignment="1"/>
    <xf numFmtId="173" fontId="0" fillId="0" borderId="47" xfId="0" applyBorder="1" applyAlignment="1"/>
    <xf numFmtId="10" fontId="0" fillId="4" borderId="122" xfId="0" applyNumberFormat="1" applyFill="1" applyBorder="1" applyAlignment="1"/>
    <xf numFmtId="173" fontId="0" fillId="4" borderId="11" xfId="0" applyFill="1" applyBorder="1" applyAlignment="1"/>
    <xf numFmtId="10" fontId="8" fillId="5" borderId="54" xfId="0" applyNumberFormat="1" applyFont="1" applyFill="1" applyBorder="1" applyAlignment="1">
      <alignment horizontal="center"/>
    </xf>
    <xf numFmtId="173" fontId="8" fillId="0" borderId="63" xfId="0" applyFont="1" applyBorder="1" applyAlignment="1">
      <alignment horizontal="center"/>
    </xf>
    <xf numFmtId="173" fontId="8" fillId="0" borderId="61" xfId="0" applyFont="1" applyBorder="1" applyAlignment="1">
      <alignment horizontal="center"/>
    </xf>
    <xf numFmtId="173" fontId="8" fillId="4" borderId="89" xfId="0" applyFont="1" applyFill="1" applyBorder="1" applyAlignment="1">
      <alignment horizontal="center" vertical="center"/>
    </xf>
    <xf numFmtId="173" fontId="8" fillId="4" borderId="53" xfId="0" applyFont="1" applyFill="1" applyBorder="1" applyAlignment="1">
      <alignment horizontal="center" vertical="center"/>
    </xf>
    <xf numFmtId="173" fontId="8" fillId="4" borderId="131" xfId="0" applyFont="1" applyFill="1" applyBorder="1" applyAlignment="1">
      <alignment horizontal="center" vertical="center"/>
    </xf>
    <xf numFmtId="10" fontId="0" fillId="4" borderId="56" xfId="0" applyNumberFormat="1" applyFill="1" applyBorder="1" applyAlignment="1">
      <alignment horizontal="center"/>
    </xf>
    <xf numFmtId="173" fontId="0" fillId="0" borderId="57" xfId="0" applyBorder="1" applyAlignment="1"/>
    <xf numFmtId="173" fontId="15" fillId="19" borderId="127" xfId="0" applyFont="1" applyFill="1" applyBorder="1" applyAlignment="1">
      <alignment horizontal="left"/>
    </xf>
    <xf numFmtId="173" fontId="15" fillId="19" borderId="128" xfId="0" applyFont="1" applyFill="1" applyBorder="1" applyAlignment="1">
      <alignment horizontal="left"/>
    </xf>
    <xf numFmtId="173" fontId="15" fillId="19" borderId="129" xfId="0" applyFont="1" applyFill="1" applyBorder="1" applyAlignment="1">
      <alignment horizontal="left"/>
    </xf>
    <xf numFmtId="173" fontId="15" fillId="24" borderId="127" xfId="0" applyFont="1" applyFill="1" applyBorder="1" applyAlignment="1">
      <alignment horizontal="left"/>
    </xf>
    <xf numFmtId="173" fontId="15" fillId="24" borderId="128" xfId="0" applyFont="1" applyFill="1" applyBorder="1" applyAlignment="1">
      <alignment horizontal="left"/>
    </xf>
    <xf numFmtId="173" fontId="15" fillId="24" borderId="129" xfId="0" applyFont="1" applyFill="1" applyBorder="1" applyAlignment="1">
      <alignment horizontal="left"/>
    </xf>
    <xf numFmtId="10" fontId="0" fillId="4" borderId="52" xfId="0" applyNumberFormat="1" applyFill="1" applyBorder="1" applyAlignment="1">
      <alignment horizontal="center"/>
    </xf>
    <xf numFmtId="10" fontId="0" fillId="4" borderId="121" xfId="0" applyNumberFormat="1" applyFill="1" applyBorder="1" applyAlignment="1"/>
    <xf numFmtId="173" fontId="0" fillId="4" borderId="42" xfId="0" applyFill="1" applyBorder="1" applyAlignment="1"/>
    <xf numFmtId="10" fontId="8" fillId="5" borderId="52" xfId="0" applyNumberFormat="1" applyFont="1" applyFill="1" applyBorder="1" applyAlignment="1">
      <alignment horizontal="center"/>
    </xf>
    <xf numFmtId="173" fontId="8" fillId="0" borderId="47" xfId="0" applyFont="1" applyBorder="1" applyAlignment="1">
      <alignment horizontal="center"/>
    </xf>
    <xf numFmtId="173" fontId="8" fillId="4" borderId="52" xfId="0" applyFont="1" applyFill="1" applyBorder="1" applyAlignment="1">
      <alignment horizontal="center"/>
    </xf>
    <xf numFmtId="173" fontId="8" fillId="4" borderId="23" xfId="0" applyFont="1" applyFill="1" applyBorder="1" applyAlignment="1">
      <alignment horizontal="center"/>
    </xf>
    <xf numFmtId="173" fontId="8" fillId="0" borderId="9" xfId="0" applyFont="1" applyBorder="1" applyAlignment="1">
      <alignment horizontal="center"/>
    </xf>
    <xf numFmtId="173" fontId="8" fillId="0" borderId="17" xfId="0" applyFont="1" applyBorder="1" applyAlignment="1">
      <alignment horizontal="center"/>
    </xf>
    <xf numFmtId="173" fontId="8" fillId="4" borderId="54" xfId="0" applyFont="1" applyFill="1" applyBorder="1" applyAlignment="1">
      <alignment horizontal="center"/>
    </xf>
    <xf numFmtId="173" fontId="8" fillId="4" borderId="63" xfId="0" applyFont="1" applyFill="1" applyBorder="1" applyAlignment="1">
      <alignment horizontal="center"/>
    </xf>
    <xf numFmtId="173" fontId="8" fillId="4" borderId="125" xfId="0" applyFont="1" applyFill="1" applyBorder="1" applyAlignment="1">
      <alignment horizontal="center"/>
    </xf>
    <xf numFmtId="10" fontId="0" fillId="5" borderId="54" xfId="0" applyNumberFormat="1" applyFill="1" applyBorder="1" applyAlignment="1"/>
    <xf numFmtId="173" fontId="0" fillId="0" borderId="55" xfId="0" applyBorder="1" applyAlignment="1"/>
    <xf numFmtId="10" fontId="0" fillId="5" borderId="56" xfId="0" applyNumberFormat="1" applyFill="1" applyBorder="1" applyAlignment="1"/>
    <xf numFmtId="173" fontId="8" fillId="4" borderId="61" xfId="0" applyFont="1" applyFill="1" applyBorder="1" applyAlignment="1">
      <alignment horizontal="center"/>
    </xf>
    <xf numFmtId="10" fontId="8" fillId="4" borderId="126" xfId="0" applyNumberFormat="1" applyFont="1" applyFill="1" applyBorder="1" applyAlignment="1">
      <alignment horizontal="center"/>
    </xf>
    <xf numFmtId="173" fontId="8" fillId="4" borderId="38" xfId="0" applyFont="1" applyFill="1" applyBorder="1" applyAlignment="1">
      <alignment horizontal="center"/>
    </xf>
    <xf numFmtId="173" fontId="12" fillId="15" borderId="2" xfId="0" applyFont="1" applyFill="1" applyBorder="1" applyAlignment="1">
      <alignment horizontal="center"/>
    </xf>
    <xf numFmtId="173" fontId="0" fillId="0" borderId="0" xfId="0" applyAlignment="1">
      <alignment horizontal="center"/>
    </xf>
    <xf numFmtId="173" fontId="0" fillId="0" borderId="0" xfId="0" applyBorder="1" applyAlignment="1">
      <alignment horizontal="center"/>
    </xf>
    <xf numFmtId="173" fontId="0" fillId="0" borderId="33" xfId="0" applyBorder="1" applyAlignment="1">
      <alignment horizontal="center"/>
    </xf>
    <xf numFmtId="173" fontId="0" fillId="0" borderId="18" xfId="0" applyBorder="1" applyAlignment="1">
      <alignment horizontal="center"/>
    </xf>
    <xf numFmtId="173" fontId="21" fillId="8" borderId="0" xfId="0" applyFont="1" applyFill="1" applyAlignment="1"/>
    <xf numFmtId="173" fontId="0" fillId="8" borderId="0" xfId="0" applyFill="1" applyAlignment="1"/>
    <xf numFmtId="173" fontId="0" fillId="23" borderId="23" xfId="0" applyFill="1" applyBorder="1" applyAlignment="1">
      <alignment horizontal="center"/>
    </xf>
    <xf numFmtId="173" fontId="0" fillId="23" borderId="9" xfId="0" applyFill="1" applyBorder="1" applyAlignment="1">
      <alignment horizontal="center"/>
    </xf>
    <xf numFmtId="173" fontId="0" fillId="23" borderId="17" xfId="0" applyFill="1" applyBorder="1" applyAlignment="1">
      <alignment horizontal="center"/>
    </xf>
    <xf numFmtId="173" fontId="8" fillId="23" borderId="48" xfId="0" applyFont="1" applyFill="1" applyBorder="1" applyAlignment="1">
      <alignment horizontal="center"/>
    </xf>
    <xf numFmtId="173" fontId="8" fillId="23" borderId="78" xfId="0" applyFont="1" applyFill="1" applyBorder="1" applyAlignment="1">
      <alignment horizontal="center"/>
    </xf>
    <xf numFmtId="173" fontId="8" fillId="23" borderId="100" xfId="0" applyFont="1" applyFill="1" applyBorder="1" applyAlignment="1">
      <alignment horizontal="center"/>
    </xf>
    <xf numFmtId="173" fontId="12" fillId="15" borderId="0" xfId="0" applyFont="1" applyFill="1" applyBorder="1" applyAlignment="1">
      <alignment horizontal="center"/>
    </xf>
    <xf numFmtId="173" fontId="0" fillId="0" borderId="1" xfId="0" applyBorder="1" applyAlignment="1"/>
    <xf numFmtId="173" fontId="12" fillId="15" borderId="33" xfId="0" applyFont="1" applyFill="1" applyBorder="1" applyAlignment="1">
      <alignment horizontal="center"/>
    </xf>
    <xf numFmtId="173" fontId="12" fillId="15" borderId="18" xfId="0" applyFont="1" applyFill="1" applyBorder="1" applyAlignment="1">
      <alignment horizontal="center"/>
    </xf>
    <xf numFmtId="173" fontId="8" fillId="8" borderId="48" xfId="0" applyFont="1" applyFill="1" applyBorder="1" applyAlignment="1">
      <alignment horizontal="center" vertical="center"/>
    </xf>
    <xf numFmtId="173" fontId="0" fillId="0" borderId="78" xfId="0" applyBorder="1" applyAlignment="1">
      <alignment horizontal="center" vertical="center"/>
    </xf>
    <xf numFmtId="173" fontId="0" fillId="0" borderId="100" xfId="0" applyBorder="1" applyAlignment="1">
      <alignment horizontal="center" vertical="center"/>
    </xf>
    <xf numFmtId="173" fontId="8" fillId="8" borderId="132" xfId="0" applyFont="1" applyFill="1" applyBorder="1" applyAlignment="1">
      <alignment horizontal="center" vertical="center"/>
    </xf>
    <xf numFmtId="173" fontId="0" fillId="0" borderId="50" xfId="0" applyBorder="1" applyAlignment="1">
      <alignment horizontal="center" vertical="center"/>
    </xf>
    <xf numFmtId="173" fontId="0" fillId="0" borderId="51" xfId="0" applyBorder="1" applyAlignment="1">
      <alignment horizontal="center" vertical="center"/>
    </xf>
    <xf numFmtId="173" fontId="0" fillId="0" borderId="34" xfId="0" applyBorder="1" applyAlignment="1"/>
    <xf numFmtId="164" fontId="0" fillId="12" borderId="0" xfId="0" applyNumberFormat="1" applyFill="1" applyAlignment="1">
      <alignment horizontal="center"/>
    </xf>
    <xf numFmtId="164" fontId="0" fillId="16" borderId="76" xfId="0" applyNumberFormat="1" applyFill="1" applyBorder="1" applyAlignment="1">
      <alignment horizontal="center"/>
    </xf>
    <xf numFmtId="164" fontId="0" fillId="16" borderId="0" xfId="0" applyNumberFormat="1" applyFill="1" applyBorder="1" applyAlignment="1">
      <alignment horizontal="center"/>
    </xf>
    <xf numFmtId="164" fontId="0" fillId="16" borderId="74" xfId="0" applyNumberFormat="1" applyFill="1" applyBorder="1" applyAlignment="1">
      <alignment horizontal="center"/>
    </xf>
    <xf numFmtId="173" fontId="12" fillId="15" borderId="2" xfId="0" applyFont="1" applyFill="1" applyBorder="1" applyAlignment="1">
      <alignment horizontal="left"/>
    </xf>
    <xf numFmtId="173" fontId="12" fillId="15" borderId="0" xfId="0" applyFont="1" applyFill="1" applyBorder="1" applyAlignment="1">
      <alignment horizontal="left"/>
    </xf>
    <xf numFmtId="173" fontId="0" fillId="0" borderId="1" xfId="0" applyBorder="1" applyAlignment="1">
      <alignment horizontal="left"/>
    </xf>
    <xf numFmtId="173" fontId="12" fillId="15" borderId="33" xfId="0" applyFont="1" applyFill="1" applyBorder="1" applyAlignment="1">
      <alignment horizontal="left"/>
    </xf>
    <xf numFmtId="173" fontId="12" fillId="15" borderId="18" xfId="0" applyFont="1" applyFill="1" applyBorder="1" applyAlignment="1">
      <alignment horizontal="left"/>
    </xf>
    <xf numFmtId="173" fontId="0" fillId="0" borderId="34" xfId="0" applyBorder="1" applyAlignment="1">
      <alignment horizontal="left"/>
    </xf>
    <xf numFmtId="173" fontId="0" fillId="0" borderId="9" xfId="0" applyBorder="1" applyAlignment="1"/>
    <xf numFmtId="173" fontId="8" fillId="0" borderId="5" xfId="0" applyFont="1" applyBorder="1" applyAlignment="1">
      <alignment horizontal="center" vertical="center"/>
    </xf>
    <xf numFmtId="173" fontId="0" fillId="0" borderId="70" xfId="0" applyBorder="1" applyAlignment="1">
      <alignment horizontal="center" vertical="center"/>
    </xf>
    <xf numFmtId="173" fontId="0" fillId="0" borderId="5" xfId="0" applyBorder="1" applyAlignment="1">
      <alignment horizontal="center" vertical="center"/>
    </xf>
    <xf numFmtId="173" fontId="0" fillId="0" borderId="12" xfId="0" applyBorder="1" applyAlignment="1">
      <alignment horizontal="center" vertical="center"/>
    </xf>
    <xf numFmtId="173" fontId="0" fillId="0" borderId="5" xfId="0" applyBorder="1" applyAlignment="1">
      <alignment horizontal="center"/>
    </xf>
    <xf numFmtId="173" fontId="0" fillId="0" borderId="70" xfId="0" applyBorder="1" applyAlignment="1">
      <alignment horizontal="center"/>
    </xf>
    <xf numFmtId="173" fontId="22" fillId="15" borderId="0" xfId="0" applyFont="1" applyFill="1" applyAlignment="1">
      <alignment horizontal="center"/>
    </xf>
    <xf numFmtId="173" fontId="22" fillId="15" borderId="1" xfId="0" applyFont="1" applyFill="1" applyBorder="1" applyAlignment="1">
      <alignment horizontal="center"/>
    </xf>
    <xf numFmtId="173" fontId="22" fillId="8" borderId="0" xfId="0" applyFont="1" applyFill="1" applyAlignment="1">
      <alignment horizontal="center"/>
    </xf>
    <xf numFmtId="173" fontId="18" fillId="14" borderId="127" xfId="0" applyFont="1" applyFill="1" applyBorder="1" applyAlignment="1" applyProtection="1">
      <alignment horizontal="center" vertical="center"/>
      <protection hidden="1"/>
    </xf>
    <xf numFmtId="173" fontId="18" fillId="14" borderId="129" xfId="0" applyFont="1" applyFill="1" applyBorder="1" applyAlignment="1" applyProtection="1">
      <alignment horizontal="center" vertical="center"/>
      <protection hidden="1"/>
    </xf>
    <xf numFmtId="173" fontId="42" fillId="36" borderId="0" xfId="5" applyFont="1" applyFill="1" applyAlignment="1">
      <alignment horizontal="left" vertical="center"/>
    </xf>
    <xf numFmtId="173" fontId="42" fillId="36" borderId="123" xfId="5" applyFont="1" applyFill="1" applyBorder="1" applyAlignment="1">
      <alignment horizontal="left" vertical="center"/>
    </xf>
    <xf numFmtId="173" fontId="65" fillId="0" borderId="0" xfId="5" applyFont="1" applyFill="1" applyBorder="1" applyAlignment="1" applyProtection="1">
      <alignment horizontal="left" wrapText="1"/>
    </xf>
    <xf numFmtId="173" fontId="65" fillId="0" borderId="0" xfId="5" applyFont="1" applyFill="1" applyBorder="1" applyAlignment="1" applyProtection="1">
      <alignment horizontal="left"/>
    </xf>
    <xf numFmtId="173" fontId="65" fillId="0" borderId="0" xfId="5" applyFont="1" applyAlignment="1">
      <alignment horizontal="left" vertical="top" wrapText="1"/>
    </xf>
    <xf numFmtId="173" fontId="65" fillId="0" borderId="123" xfId="5" applyFont="1" applyBorder="1" applyAlignment="1">
      <alignment horizontal="left" vertical="top"/>
    </xf>
    <xf numFmtId="173" fontId="65" fillId="0" borderId="0" xfId="5" applyFont="1" applyBorder="1" applyAlignment="1">
      <alignment horizontal="left" vertical="top" wrapText="1"/>
    </xf>
    <xf numFmtId="173" fontId="42" fillId="36" borderId="0" xfId="5" applyFont="1" applyFill="1" applyBorder="1" applyAlignment="1">
      <alignment horizontal="left" vertical="center"/>
    </xf>
    <xf numFmtId="164" fontId="50" fillId="40" borderId="0" xfId="5" applyNumberFormat="1" applyFont="1" applyFill="1" applyBorder="1" applyAlignment="1">
      <alignment horizontal="right" vertical="center"/>
    </xf>
    <xf numFmtId="164" fontId="79" fillId="0" borderId="198" xfId="5" applyNumberFormat="1" applyFont="1" applyFill="1" applyBorder="1" applyAlignment="1">
      <alignment horizontal="right"/>
    </xf>
    <xf numFmtId="173" fontId="65" fillId="0" borderId="0" xfId="5" applyFont="1" applyAlignment="1">
      <alignment horizontal="left" vertical="top"/>
    </xf>
    <xf numFmtId="173" fontId="82" fillId="44" borderId="0" xfId="6" applyFont="1" applyFill="1" applyAlignment="1">
      <alignment horizontal="center" vertical="center"/>
    </xf>
    <xf numFmtId="173" fontId="82" fillId="44" borderId="199" xfId="6" applyFont="1" applyFill="1" applyBorder="1" applyAlignment="1">
      <alignment horizontal="center" vertical="center"/>
    </xf>
    <xf numFmtId="173" fontId="82" fillId="44" borderId="19" xfId="6" applyFont="1" applyFill="1" applyBorder="1" applyAlignment="1">
      <alignment horizontal="center" vertical="center"/>
    </xf>
    <xf numFmtId="173" fontId="82" fillId="44" borderId="76" xfId="6" applyFont="1" applyFill="1" applyBorder="1" applyAlignment="1">
      <alignment horizontal="center" vertical="center"/>
    </xf>
    <xf numFmtId="173" fontId="82" fillId="44" borderId="0" xfId="6" applyFont="1" applyFill="1" applyBorder="1" applyAlignment="1">
      <alignment horizontal="center" vertical="center"/>
    </xf>
    <xf numFmtId="173" fontId="82" fillId="45" borderId="0" xfId="6" applyFont="1" applyFill="1" applyBorder="1" applyAlignment="1">
      <alignment horizontal="center"/>
    </xf>
    <xf numFmtId="173" fontId="82" fillId="44" borderId="200" xfId="6" applyFont="1" applyFill="1" applyBorder="1" applyAlignment="1">
      <alignment horizontal="center" vertical="center"/>
    </xf>
    <xf numFmtId="173" fontId="82" fillId="44" borderId="74" xfId="6" applyFont="1" applyFill="1" applyBorder="1" applyAlignment="1">
      <alignment horizontal="center" vertical="center"/>
    </xf>
    <xf numFmtId="1" fontId="33" fillId="31" borderId="55" xfId="0" applyNumberFormat="1" applyFont="1" applyFill="1" applyBorder="1" applyAlignment="1">
      <alignment horizontal="center" vertical="center"/>
    </xf>
    <xf numFmtId="1" fontId="33" fillId="31" borderId="43" xfId="0" applyNumberFormat="1" applyFont="1" applyFill="1" applyBorder="1" applyAlignment="1">
      <alignment horizontal="center" vertical="center"/>
    </xf>
    <xf numFmtId="173" fontId="15" fillId="31" borderId="272" xfId="0" applyFont="1" applyFill="1" applyBorder="1" applyAlignment="1">
      <alignment horizontal="left" vertical="center"/>
    </xf>
    <xf numFmtId="173" fontId="15" fillId="31" borderId="273" xfId="0" applyFont="1" applyFill="1" applyBorder="1" applyAlignment="1">
      <alignment horizontal="left" vertical="center"/>
    </xf>
    <xf numFmtId="1" fontId="33" fillId="31" borderId="93" xfId="0" applyNumberFormat="1" applyFont="1" applyFill="1" applyBorder="1" applyAlignment="1">
      <alignment horizontal="center" vertical="center"/>
    </xf>
    <xf numFmtId="1" fontId="33" fillId="31" borderId="99" xfId="0" applyNumberFormat="1" applyFont="1" applyFill="1" applyBorder="1" applyAlignment="1">
      <alignment horizontal="center" vertical="center"/>
    </xf>
    <xf numFmtId="1" fontId="33" fillId="31" borderId="208" xfId="0" applyNumberFormat="1" applyFont="1" applyFill="1" applyBorder="1" applyAlignment="1">
      <alignment horizontal="center" vertical="center"/>
    </xf>
    <xf numFmtId="1" fontId="33" fillId="31" borderId="209" xfId="0" applyNumberFormat="1" applyFont="1" applyFill="1" applyBorder="1" applyAlignment="1">
      <alignment horizontal="center" vertical="center"/>
    </xf>
    <xf numFmtId="1" fontId="33" fillId="31" borderId="210" xfId="0" applyNumberFormat="1" applyFont="1" applyFill="1" applyBorder="1" applyAlignment="1">
      <alignment horizontal="center" vertical="center"/>
    </xf>
    <xf numFmtId="1" fontId="33" fillId="31" borderId="207" xfId="0" applyNumberFormat="1" applyFont="1" applyFill="1" applyBorder="1" applyAlignment="1">
      <alignment horizontal="center" vertical="center"/>
    </xf>
    <xf numFmtId="1" fontId="33" fillId="31" borderId="8" xfId="0" applyNumberFormat="1" applyFont="1" applyFill="1" applyBorder="1" applyAlignment="1">
      <alignment horizontal="center" vertical="center"/>
    </xf>
    <xf numFmtId="1" fontId="33" fillId="31" borderId="72" xfId="0" applyNumberFormat="1" applyFont="1" applyFill="1" applyBorder="1" applyAlignment="1">
      <alignment horizontal="center" vertical="center"/>
    </xf>
    <xf numFmtId="10" fontId="4" fillId="0" borderId="64" xfId="8" applyNumberFormat="1" applyFill="1" applyBorder="1" applyAlignment="1"/>
    <xf numFmtId="0" fontId="4" fillId="0" borderId="64" xfId="8" applyFill="1" applyBorder="1" applyAlignment="1"/>
    <xf numFmtId="173" fontId="15" fillId="0" borderId="0" xfId="0" applyFont="1" applyFill="1" applyAlignment="1" applyProtection="1">
      <alignment vertical="center"/>
      <protection hidden="1"/>
    </xf>
    <xf numFmtId="173" fontId="15" fillId="0" borderId="0" xfId="0" applyFont="1" applyFill="1" applyBorder="1"/>
    <xf numFmtId="173" fontId="12" fillId="17" borderId="0" xfId="0" applyFont="1" applyFill="1" applyBorder="1" applyAlignment="1">
      <alignment vertical="center"/>
    </xf>
    <xf numFmtId="173" fontId="15" fillId="22" borderId="0" xfId="0" applyFont="1" applyFill="1" applyBorder="1"/>
    <xf numFmtId="173" fontId="8" fillId="22" borderId="0" xfId="0" applyFont="1" applyFill="1" applyBorder="1"/>
    <xf numFmtId="173" fontId="0" fillId="22" borderId="0" xfId="0" applyFill="1" applyBorder="1"/>
    <xf numFmtId="173" fontId="15" fillId="0" borderId="0" xfId="0" applyFont="1" applyFill="1" applyBorder="1" applyAlignment="1" applyProtection="1">
      <alignment vertical="center"/>
      <protection hidden="1"/>
    </xf>
    <xf numFmtId="173" fontId="8" fillId="0" borderId="0" xfId="0" applyFont="1" applyFill="1" applyBorder="1" applyProtection="1">
      <protection hidden="1"/>
    </xf>
  </cellXfs>
  <cellStyles count="26">
    <cellStyle name="Comma" xfId="1" builtinId="3"/>
    <cellStyle name="Comma 2" xfId="13" xr:uid="{00000000-0005-0000-0000-000001000000}"/>
    <cellStyle name="Comma 2 2" xfId="24" xr:uid="{00000000-0005-0000-0000-000001000000}"/>
    <cellStyle name="Comma 3" xfId="16" xr:uid="{00000000-0005-0000-0000-000002000000}"/>
    <cellStyle name="Currency" xfId="2" builtinId="4"/>
    <cellStyle name="Currency 2" xfId="10" xr:uid="{00000000-0005-0000-0000-000004000000}"/>
    <cellStyle name="Currency 2 2" xfId="21" xr:uid="{00000000-0005-0000-0000-000004000000}"/>
    <cellStyle name="Currency 3" xfId="12" xr:uid="{00000000-0005-0000-0000-000005000000}"/>
    <cellStyle name="Currency 3 2" xfId="23" xr:uid="{00000000-0005-0000-0000-000005000000}"/>
    <cellStyle name="Hyperlink" xfId="14" builtinId="8"/>
    <cellStyle name="Normal" xfId="0" builtinId="0"/>
    <cellStyle name="Normal 2" xfId="3" xr:uid="{00000000-0005-0000-0000-000008000000}"/>
    <cellStyle name="Normal 2 2" xfId="6" xr:uid="{00000000-0005-0000-0000-000009000000}"/>
    <cellStyle name="Normal 2 2 2" xfId="18" xr:uid="{00000000-0005-0000-0000-000009000000}"/>
    <cellStyle name="Normal 2 3" xfId="17" xr:uid="{00000000-0005-0000-0000-00000A000000}"/>
    <cellStyle name="Normal 3" xfId="5" xr:uid="{00000000-0005-0000-0000-00000B000000}"/>
    <cellStyle name="Normal 4" xfId="8" xr:uid="{00000000-0005-0000-0000-00000C000000}"/>
    <cellStyle name="Normal 4 2" xfId="19" xr:uid="{00000000-0005-0000-0000-00000C000000}"/>
    <cellStyle name="Normal 5" xfId="11" xr:uid="{00000000-0005-0000-0000-00000D000000}"/>
    <cellStyle name="Normal 5 2" xfId="22" xr:uid="{00000000-0005-0000-0000-00000D000000}"/>
    <cellStyle name="Normal 6" xfId="15" xr:uid="{00000000-0005-0000-0000-00000E000000}"/>
    <cellStyle name="Normal 6 2" xfId="25" xr:uid="{00000000-0005-0000-0000-00000E000000}"/>
    <cellStyle name="Percent" xfId="4" builtinId="5"/>
    <cellStyle name="Percent 2" xfId="7" xr:uid="{00000000-0005-0000-0000-000010000000}"/>
    <cellStyle name="Percent 3" xfId="9" xr:uid="{00000000-0005-0000-0000-000011000000}"/>
    <cellStyle name="Percent 3 2" xfId="20" xr:uid="{00000000-0005-0000-0000-00001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263F6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FFFF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095B4"/>
      <rgbColor rgb="00FF7000"/>
      <rgbColor rgb="00FFA100"/>
      <rgbColor rgb="00B5BF0B"/>
      <rgbColor rgb="00007934"/>
      <rgbColor rgb="00782327"/>
      <rgbColor rgb="00E7593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CCECFF"/>
      <color rgb="FF006600"/>
      <color rgb="FF336600"/>
      <color rgb="FF339933"/>
      <color rgb="FF339966"/>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68186846984544"/>
          <c:y val="6.9049139127879286E-2"/>
          <c:w val="0.75098654742938464"/>
          <c:h val="0.79009313025061045"/>
        </c:manualLayout>
      </c:layout>
      <c:lineChart>
        <c:grouping val="standard"/>
        <c:varyColors val="0"/>
        <c:ser>
          <c:idx val="0"/>
          <c:order val="0"/>
          <c:tx>
            <c:v>Projected Value</c:v>
          </c:tx>
          <c:spPr>
            <a:ln w="28575" cap="rnd">
              <a:solidFill>
                <a:srgbClr val="0070C0"/>
              </a:solidFill>
              <a:round/>
            </a:ln>
            <a:effectLst/>
          </c:spPr>
          <c:marker>
            <c:symbol val="circle"/>
            <c:size val="5"/>
            <c:spPr>
              <a:solidFill>
                <a:schemeClr val="accent1"/>
              </a:solidFill>
              <a:ln w="9525">
                <a:solidFill>
                  <a:srgbClr val="0070C0"/>
                </a:solidFill>
              </a:ln>
              <a:effectLst/>
            </c:spPr>
          </c:marker>
          <c:cat>
            <c:numRef>
              <c:extLst>
                <c:ext xmlns:c15="http://schemas.microsoft.com/office/drawing/2012/chart" uri="{02D57815-91ED-43cb-92C2-25804820EDAC}">
                  <c15:fullRef>
                    <c15:sqref>'Charts 6-10'!$B$1:$N$1</c15:sqref>
                  </c15:fullRef>
                </c:ext>
              </c:extLst>
              <c:f>'Charts 6-10'!$B$1:$J$1</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extLst>
                <c:ext xmlns:c15="http://schemas.microsoft.com/office/drawing/2012/chart" uri="{02D57815-91ED-43cb-92C2-25804820EDAC}">
                  <c15:fullRef>
                    <c15:sqref>'Charts 6-10'!$B$3:$P$3</c15:sqref>
                  </c15:fullRef>
                </c:ext>
              </c:extLst>
              <c:f>'Charts 6-10'!$B$3:$J$3</c:f>
              <c:numCache>
                <c:formatCode>_("$"* #,##0_);_("$"* \(#,##0\);_("$"* "-"??_);_(@_)</c:formatCode>
                <c:ptCount val="9"/>
                <c:pt idx="0">
                  <c:v>365421.81864572637</c:v>
                </c:pt>
                <c:pt idx="1">
                  <c:v>1237036.4361660734</c:v>
                </c:pt>
                <c:pt idx="2">
                  <c:v>2586292.2625667788</c:v>
                </c:pt>
                <c:pt idx="3">
                  <c:v>4708650.4876239821</c:v>
                </c:pt>
                <c:pt idx="4">
                  <c:v>8165117.9959879564</c:v>
                </c:pt>
                <c:pt idx="5">
                  <c:v>13740744.736733075</c:v>
                </c:pt>
                <c:pt idx="6">
                  <c:v>18774867.828804441</c:v>
                </c:pt>
                <c:pt idx="7">
                  <c:v>22589795.456941146</c:v>
                </c:pt>
                <c:pt idx="8">
                  <c:v>25031054.861413661</c:v>
                </c:pt>
              </c:numCache>
            </c:numRef>
          </c:val>
          <c:smooth val="0"/>
          <c:extLst>
            <c:ext xmlns:c16="http://schemas.microsoft.com/office/drawing/2014/chart" uri="{C3380CC4-5D6E-409C-BE32-E72D297353CC}">
              <c16:uniqueId val="{00000000-C997-4F07-8ABA-855C39A46960}"/>
            </c:ext>
          </c:extLst>
        </c:ser>
        <c:ser>
          <c:idx val="1"/>
          <c:order val="1"/>
          <c:tx>
            <c:v>Actual Value</c:v>
          </c:tx>
          <c:spPr>
            <a:ln w="28575" cap="rnd">
              <a:solidFill>
                <a:srgbClr val="FF0000"/>
              </a:solidFill>
              <a:round/>
            </a:ln>
            <a:effectLst/>
          </c:spPr>
          <c:marker>
            <c:symbol val="circle"/>
            <c:size val="5"/>
            <c:spPr>
              <a:solidFill>
                <a:schemeClr val="accent2"/>
              </a:solidFill>
              <a:ln w="9525">
                <a:solidFill>
                  <a:srgbClr val="FF0000"/>
                </a:solidFill>
              </a:ln>
              <a:effectLst/>
            </c:spPr>
          </c:marker>
          <c:cat>
            <c:numRef>
              <c:extLst>
                <c:ext xmlns:c15="http://schemas.microsoft.com/office/drawing/2012/chart" uri="{02D57815-91ED-43cb-92C2-25804820EDAC}">
                  <c15:fullRef>
                    <c15:sqref>'Charts 6-10'!$B$1:$N$1</c15:sqref>
                  </c15:fullRef>
                </c:ext>
              </c:extLst>
              <c:f>'Charts 6-10'!$B$1:$J$1</c:f>
              <c:numCache>
                <c:formatCode>General</c:formatCode>
                <c:ptCount val="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extLst>
                <c:ext xmlns:c15="http://schemas.microsoft.com/office/drawing/2012/chart" uri="{02D57815-91ED-43cb-92C2-25804820EDAC}">
                  <c15:fullRef>
                    <c15:sqref>'Charts 6-10'!$B$4:$J$4</c15:sqref>
                  </c15:fullRef>
                </c:ext>
              </c:extLst>
              <c:f>'Charts 6-10'!$B$4:$J$4</c:f>
              <c:numCache>
                <c:formatCode>"$"#,##0</c:formatCode>
                <c:ptCount val="9"/>
                <c:pt idx="0" formatCode="_(&quot;$&quot;* #,##0_);_(&quot;$&quot;* \(#,##0\);_(&quot;$&quot;* &quot;-&quot;??_);_(@_)">
                  <c:v>107660</c:v>
                </c:pt>
                <c:pt idx="1">
                  <c:v>322980</c:v>
                </c:pt>
                <c:pt idx="2">
                  <c:v>1076600</c:v>
                </c:pt>
                <c:pt idx="3">
                  <c:v>2719700</c:v>
                </c:pt>
                <c:pt idx="4">
                  <c:v>5300400</c:v>
                </c:pt>
                <c:pt idx="5">
                  <c:v>11583091</c:v>
                </c:pt>
                <c:pt idx="6">
                  <c:v>20368382</c:v>
                </c:pt>
                <c:pt idx="7">
                  <c:v>28137909</c:v>
                </c:pt>
                <c:pt idx="8">
                  <c:v>34684073</c:v>
                </c:pt>
              </c:numCache>
            </c:numRef>
          </c:val>
          <c:smooth val="0"/>
          <c:extLst>
            <c:ext xmlns:c16="http://schemas.microsoft.com/office/drawing/2014/chart" uri="{C3380CC4-5D6E-409C-BE32-E72D297353CC}">
              <c16:uniqueId val="{00000001-C997-4F07-8ABA-855C39A4696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63556880"/>
        <c:axId val="163557664"/>
      </c:lineChart>
      <c:catAx>
        <c:axId val="163556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3557664"/>
        <c:crosses val="autoZero"/>
        <c:auto val="1"/>
        <c:lblAlgn val="ctr"/>
        <c:lblOffset val="100"/>
        <c:noMultiLvlLbl val="0"/>
      </c:catAx>
      <c:valAx>
        <c:axId val="1635576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3556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oddFooter>&amp;R&amp;8&amp;D</c:oddFooter>
    </c:headerFooter>
    <c:pageMargins b="0.75" l="0.7" r="0.7" t="0.75" header="0.3" footer="0.3"/>
    <c:pageSetup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Chart 20</a:t>
            </a:r>
          </a:p>
          <a:p>
            <a:pPr>
              <a:defRPr/>
            </a:pPr>
            <a:r>
              <a:rPr lang="en-US" sz="1600"/>
              <a:t>Regional Distribution</a:t>
            </a:r>
            <a:r>
              <a:rPr lang="en-US" sz="1600" baseline="0"/>
              <a:t> of Incentives</a:t>
            </a:r>
          </a:p>
          <a:p>
            <a:pPr>
              <a:defRPr/>
            </a:pPr>
            <a:r>
              <a:rPr lang="en-US" sz="1200" baseline="0"/>
              <a:t>(By Dollar Value of Incentives Authorized)</a:t>
            </a:r>
            <a:endParaRPr lang="en-US" sz="1200"/>
          </a:p>
        </c:rich>
      </c:tx>
      <c:layout>
        <c:manualLayout>
          <c:xMode val="edge"/>
          <c:yMode val="edge"/>
          <c:x val="0.16616112862013563"/>
          <c:y val="6.5973923157522348E-3"/>
        </c:manualLayout>
      </c:layout>
      <c:overlay val="0"/>
    </c:title>
    <c:autoTitleDeleted val="0"/>
    <c:plotArea>
      <c:layout>
        <c:manualLayout>
          <c:layoutTarget val="inner"/>
          <c:xMode val="edge"/>
          <c:yMode val="edge"/>
          <c:x val="0.19075393700787399"/>
          <c:y val="0.28869014766845735"/>
          <c:w val="0.57308683289588813"/>
          <c:h val="0.66949396366342073"/>
        </c:manualLayout>
      </c:layout>
      <c:pieChart>
        <c:varyColors val="1"/>
        <c:ser>
          <c:idx val="0"/>
          <c:order val="0"/>
          <c:dPt>
            <c:idx val="6"/>
            <c:bubble3D val="0"/>
            <c:spPr>
              <a:solidFill>
                <a:schemeClr val="bg1">
                  <a:lumMod val="50000"/>
                </a:schemeClr>
              </a:solidFill>
            </c:spPr>
            <c:extLst>
              <c:ext xmlns:c16="http://schemas.microsoft.com/office/drawing/2014/chart" uri="{C3380CC4-5D6E-409C-BE32-E72D297353CC}">
                <c16:uniqueId val="{00000001-62D2-4A43-9AA8-B2AC1214F1E8}"/>
              </c:ext>
            </c:extLst>
          </c:dPt>
          <c:dLbls>
            <c:dLbl>
              <c:idx val="0"/>
              <c:layout>
                <c:manualLayout>
                  <c:x val="-6.9062243348965791E-3"/>
                  <c:y val="-8.832154257685204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2D2-4A43-9AA8-B2AC1214F1E8}"/>
                </c:ext>
              </c:extLst>
            </c:dLbl>
            <c:dLbl>
              <c:idx val="1"/>
              <c:layout>
                <c:manualLayout>
                  <c:x val="3.8203990358391511E-2"/>
                  <c:y val="-1.84235289827164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2D2-4A43-9AA8-B2AC1214F1E8}"/>
                </c:ext>
              </c:extLst>
            </c:dLbl>
            <c:dLbl>
              <c:idx val="3"/>
              <c:layout>
                <c:manualLayout>
                  <c:x val="8.4332259342855667E-2"/>
                  <c:y val="-6.48733020318972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2D2-4A43-9AA8-B2AC1214F1E8}"/>
                </c:ext>
              </c:extLst>
            </c:dLbl>
            <c:dLbl>
              <c:idx val="4"/>
              <c:layout>
                <c:manualLayout>
                  <c:x val="-1.8643751541994043E-2"/>
                  <c:y val="-1.06017347137810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2D2-4A43-9AA8-B2AC1214F1E8}"/>
                </c:ext>
              </c:extLst>
            </c:dLbl>
            <c:dLbl>
              <c:idx val="6"/>
              <c:layout>
                <c:manualLayout>
                  <c:x val="-2.3262029746281714E-2"/>
                  <c:y val="-1.31897940327552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2D2-4A43-9AA8-B2AC1214F1E8}"/>
                </c:ext>
              </c:extLst>
            </c:dLbl>
            <c:dLbl>
              <c:idx val="7"/>
              <c:layout>
                <c:manualLayout>
                  <c:x val="6.9103237095363104E-2"/>
                  <c:y val="-1.90301489767050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2D2-4A43-9AA8-B2AC1214F1E8}"/>
                </c:ext>
              </c:extLst>
            </c:dLbl>
            <c:dLbl>
              <c:idx val="10"/>
              <c:layout>
                <c:manualLayout>
                  <c:x val="1.6293239659632707E-2"/>
                  <c:y val="6.7605433012607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2D2-4A43-9AA8-B2AC1214F1E8}"/>
                </c:ext>
              </c:extLst>
            </c:dLbl>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'Charts 11-21'!$A$230:$A$240</c:f>
              <c:strCache>
                <c:ptCount val="11"/>
                <c:pt idx="0">
                  <c:v>Addison</c:v>
                </c:pt>
                <c:pt idx="1">
                  <c:v>Bennington</c:v>
                </c:pt>
                <c:pt idx="2">
                  <c:v>Chittenden</c:v>
                </c:pt>
                <c:pt idx="3">
                  <c:v>Franklin/GI</c:v>
                </c:pt>
                <c:pt idx="4">
                  <c:v>Lamoille</c:v>
                </c:pt>
                <c:pt idx="5">
                  <c:v>NEK</c:v>
                </c:pt>
                <c:pt idx="6">
                  <c:v>Orange</c:v>
                </c:pt>
                <c:pt idx="7">
                  <c:v>Rutland</c:v>
                </c:pt>
                <c:pt idx="8">
                  <c:v>Washington</c:v>
                </c:pt>
                <c:pt idx="9">
                  <c:v>Windham</c:v>
                </c:pt>
                <c:pt idx="10">
                  <c:v>Windsor</c:v>
                </c:pt>
              </c:strCache>
            </c:strRef>
          </c:cat>
          <c:val>
            <c:numRef>
              <c:f>'Charts 11-21'!$B$230:$B$240</c:f>
              <c:numCache>
                <c:formatCode>0.00%</c:formatCode>
                <c:ptCount val="11"/>
                <c:pt idx="0">
                  <c:v>0</c:v>
                </c:pt>
                <c:pt idx="1">
                  <c:v>1.0696808938158825E-2</c:v>
                </c:pt>
                <c:pt idx="2">
                  <c:v>0.4501082014123941</c:v>
                </c:pt>
                <c:pt idx="3">
                  <c:v>0.16188105787895737</c:v>
                </c:pt>
                <c:pt idx="4">
                  <c:v>0</c:v>
                </c:pt>
                <c:pt idx="5">
                  <c:v>6.6202227427901064E-2</c:v>
                </c:pt>
                <c:pt idx="6">
                  <c:v>7.0009971692399989E-3</c:v>
                </c:pt>
                <c:pt idx="7">
                  <c:v>2.3085835359718514E-2</c:v>
                </c:pt>
                <c:pt idx="8">
                  <c:v>0.10494595733868503</c:v>
                </c:pt>
                <c:pt idx="9">
                  <c:v>0.10970757249871138</c:v>
                </c:pt>
                <c:pt idx="10">
                  <c:v>6.6371341976233705E-2</c:v>
                </c:pt>
              </c:numCache>
            </c:numRef>
          </c:val>
          <c:extLst>
            <c:ext xmlns:c16="http://schemas.microsoft.com/office/drawing/2014/chart" uri="{C3380CC4-5D6E-409C-BE32-E72D297353CC}">
              <c16:uniqueId val="{00000008-62D2-4A43-9AA8-B2AC1214F1E8}"/>
            </c:ext>
          </c:extLst>
        </c:ser>
        <c:ser>
          <c:idx val="1"/>
          <c:order val="1"/>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'Charts 11-21'!$A$230:$A$240</c:f>
              <c:strCache>
                <c:ptCount val="11"/>
                <c:pt idx="0">
                  <c:v>Addison</c:v>
                </c:pt>
                <c:pt idx="1">
                  <c:v>Bennington</c:v>
                </c:pt>
                <c:pt idx="2">
                  <c:v>Chittenden</c:v>
                </c:pt>
                <c:pt idx="3">
                  <c:v>Franklin/GI</c:v>
                </c:pt>
                <c:pt idx="4">
                  <c:v>Lamoille</c:v>
                </c:pt>
                <c:pt idx="5">
                  <c:v>NEK</c:v>
                </c:pt>
                <c:pt idx="6">
                  <c:v>Orange</c:v>
                </c:pt>
                <c:pt idx="7">
                  <c:v>Rutland</c:v>
                </c:pt>
                <c:pt idx="8">
                  <c:v>Washington</c:v>
                </c:pt>
                <c:pt idx="9">
                  <c:v>Windham</c:v>
                </c:pt>
                <c:pt idx="10">
                  <c:v>Windsor</c:v>
                </c:pt>
              </c:strCache>
            </c:strRef>
          </c:cat>
          <c:val>
            <c:numRef>
              <c:f>'Charts 11-21'!$C$230:$C$240</c:f>
              <c:numCache>
                <c:formatCode>"$"#,##0</c:formatCode>
                <c:ptCount val="11"/>
                <c:pt idx="0">
                  <c:v>0</c:v>
                </c:pt>
                <c:pt idx="1">
                  <c:v>409113</c:v>
                </c:pt>
                <c:pt idx="2">
                  <c:v>17214958</c:v>
                </c:pt>
                <c:pt idx="3">
                  <c:v>6191346</c:v>
                </c:pt>
                <c:pt idx="4">
                  <c:v>0</c:v>
                </c:pt>
                <c:pt idx="5">
                  <c:v>2531988</c:v>
                </c:pt>
                <c:pt idx="6">
                  <c:v>267762</c:v>
                </c:pt>
                <c:pt idx="7">
                  <c:v>882947</c:v>
                </c:pt>
                <c:pt idx="8">
                  <c:v>4013791</c:v>
                </c:pt>
                <c:pt idx="9">
                  <c:v>4195905</c:v>
                </c:pt>
                <c:pt idx="10">
                  <c:v>2538456</c:v>
                </c:pt>
              </c:numCache>
            </c:numRef>
          </c:val>
          <c:extLst>
            <c:ext xmlns:c16="http://schemas.microsoft.com/office/drawing/2014/chart" uri="{C3380CC4-5D6E-409C-BE32-E72D297353CC}">
              <c16:uniqueId val="{00000009-62D2-4A43-9AA8-B2AC1214F1E8}"/>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677" l="0.70000000000000062" r="0.70000000000000062" t="0.75000000000000677"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Chart 19</a:t>
            </a:r>
          </a:p>
          <a:p>
            <a:pPr>
              <a:defRPr/>
            </a:pPr>
            <a:r>
              <a:rPr lang="en-US" sz="1600"/>
              <a:t>Regional Distribution of Incentives</a:t>
            </a:r>
          </a:p>
          <a:p>
            <a:pPr>
              <a:defRPr/>
            </a:pPr>
            <a:r>
              <a:rPr lang="en-US" sz="1200"/>
              <a:t>(By Number</a:t>
            </a:r>
            <a:r>
              <a:rPr lang="en-US" sz="1200" baseline="0"/>
              <a:t> of Applications)</a:t>
            </a:r>
            <a:endParaRPr lang="en-US" sz="1200"/>
          </a:p>
        </c:rich>
      </c:tx>
      <c:layout>
        <c:manualLayout>
          <c:xMode val="edge"/>
          <c:yMode val="edge"/>
          <c:x val="0.18993605033898453"/>
          <c:y val="1.8841257705876593E-2"/>
        </c:manualLayout>
      </c:layout>
      <c:overlay val="0"/>
    </c:title>
    <c:autoTitleDeleted val="0"/>
    <c:plotArea>
      <c:layout>
        <c:manualLayout>
          <c:layoutTarget val="inner"/>
          <c:xMode val="edge"/>
          <c:yMode val="edge"/>
          <c:x val="0.17471894138232721"/>
          <c:y val="0.28242075664099298"/>
          <c:w val="0.56346566054243219"/>
          <c:h val="0.65806191720803442"/>
        </c:manualLayout>
      </c:layout>
      <c:pieChart>
        <c:varyColors val="1"/>
        <c:ser>
          <c:idx val="0"/>
          <c:order val="0"/>
          <c:dPt>
            <c:idx val="1"/>
            <c:bubble3D val="0"/>
            <c:spPr>
              <a:solidFill>
                <a:schemeClr val="accent2">
                  <a:lumMod val="75000"/>
                </a:schemeClr>
              </a:solidFill>
            </c:spPr>
            <c:extLst>
              <c:ext xmlns:c16="http://schemas.microsoft.com/office/drawing/2014/chart" uri="{C3380CC4-5D6E-409C-BE32-E72D297353CC}">
                <c16:uniqueId val="{00000001-9332-4883-ACD7-F2C0971054AB}"/>
              </c:ext>
            </c:extLst>
          </c:dPt>
          <c:dPt>
            <c:idx val="6"/>
            <c:bubble3D val="0"/>
            <c:spPr>
              <a:solidFill>
                <a:schemeClr val="bg1">
                  <a:lumMod val="50000"/>
                </a:schemeClr>
              </a:solidFill>
            </c:spPr>
            <c:extLst>
              <c:ext xmlns:c16="http://schemas.microsoft.com/office/drawing/2014/chart" uri="{C3380CC4-5D6E-409C-BE32-E72D297353CC}">
                <c16:uniqueId val="{00000003-9332-4883-ACD7-F2C0971054AB}"/>
              </c:ext>
            </c:extLst>
          </c:dPt>
          <c:dLbls>
            <c:dLbl>
              <c:idx val="0"/>
              <c:layout>
                <c:manualLayout>
                  <c:x val="2.7777777777777267E-3"/>
                  <c:y val="-1.29167032800855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332-4883-ACD7-F2C0971054AB}"/>
                </c:ext>
              </c:extLst>
            </c:dLbl>
            <c:dLbl>
              <c:idx val="4"/>
              <c:layout>
                <c:manualLayout>
                  <c:x val="-4.4444444444444446E-2"/>
                  <c:y val="-6.821846256337765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332-4883-ACD7-F2C0971054AB}"/>
                </c:ext>
              </c:extLst>
            </c:dLbl>
            <c:spPr>
              <a:noFill/>
              <a:ln>
                <a:noFill/>
              </a:ln>
              <a:effectLst/>
            </c:spPr>
            <c:txPr>
              <a:bodyPr wrap="square" lIns="38100" tIns="19050" rIns="38100" bIns="19050" anchor="ctr">
                <a:spAutoFit/>
              </a:bodyPr>
              <a:lstStyle/>
              <a:p>
                <a:pPr>
                  <a:defRPr b="1"/>
                </a:pPr>
                <a:endParaRPr lang="en-US"/>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'Charts 11-21'!$A$198:$A$208</c:f>
              <c:strCache>
                <c:ptCount val="11"/>
                <c:pt idx="0">
                  <c:v>Addison: 0</c:v>
                </c:pt>
                <c:pt idx="1">
                  <c:v>Bennington: 2</c:v>
                </c:pt>
                <c:pt idx="2">
                  <c:v>Chittenden: 19</c:v>
                </c:pt>
                <c:pt idx="3">
                  <c:v>Franklin/GI: 3</c:v>
                </c:pt>
                <c:pt idx="4">
                  <c:v>Lamoille: 0</c:v>
                </c:pt>
                <c:pt idx="5">
                  <c:v>NEK: 5</c:v>
                </c:pt>
                <c:pt idx="6">
                  <c:v>Orange: 1</c:v>
                </c:pt>
                <c:pt idx="7">
                  <c:v>Rutland: 2</c:v>
                </c:pt>
                <c:pt idx="8">
                  <c:v>Washington: 4</c:v>
                </c:pt>
                <c:pt idx="9">
                  <c:v>Windham: 6</c:v>
                </c:pt>
                <c:pt idx="10">
                  <c:v>Windsor: 6</c:v>
                </c:pt>
              </c:strCache>
            </c:strRef>
          </c:cat>
          <c:val>
            <c:numRef>
              <c:f>'Charts 11-21'!$B$198:$B$208</c:f>
              <c:numCache>
                <c:formatCode>0</c:formatCode>
                <c:ptCount val="11"/>
                <c:pt idx="0">
                  <c:v>0</c:v>
                </c:pt>
                <c:pt idx="1">
                  <c:v>2</c:v>
                </c:pt>
                <c:pt idx="2">
                  <c:v>19</c:v>
                </c:pt>
                <c:pt idx="3">
                  <c:v>3</c:v>
                </c:pt>
                <c:pt idx="4">
                  <c:v>0</c:v>
                </c:pt>
                <c:pt idx="5">
                  <c:v>5</c:v>
                </c:pt>
                <c:pt idx="6">
                  <c:v>1</c:v>
                </c:pt>
                <c:pt idx="7">
                  <c:v>2</c:v>
                </c:pt>
                <c:pt idx="8">
                  <c:v>4</c:v>
                </c:pt>
                <c:pt idx="9">
                  <c:v>6</c:v>
                </c:pt>
                <c:pt idx="10">
                  <c:v>6</c:v>
                </c:pt>
              </c:numCache>
            </c:numRef>
          </c:val>
          <c:extLst>
            <c:ext xmlns:c16="http://schemas.microsoft.com/office/drawing/2014/chart" uri="{C3380CC4-5D6E-409C-BE32-E72D297353CC}">
              <c16:uniqueId val="{00000007-9332-4883-ACD7-F2C0971054AB}"/>
            </c:ext>
          </c:extLst>
        </c:ser>
        <c:ser>
          <c:idx val="1"/>
          <c:order val="1"/>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'Charts 11-21'!$A$198:$A$208</c:f>
              <c:strCache>
                <c:ptCount val="11"/>
                <c:pt idx="0">
                  <c:v>Addison: 0</c:v>
                </c:pt>
                <c:pt idx="1">
                  <c:v>Bennington: 2</c:v>
                </c:pt>
                <c:pt idx="2">
                  <c:v>Chittenden: 19</c:v>
                </c:pt>
                <c:pt idx="3">
                  <c:v>Franklin/GI: 3</c:v>
                </c:pt>
                <c:pt idx="4">
                  <c:v>Lamoille: 0</c:v>
                </c:pt>
                <c:pt idx="5">
                  <c:v>NEK: 5</c:v>
                </c:pt>
                <c:pt idx="6">
                  <c:v>Orange: 1</c:v>
                </c:pt>
                <c:pt idx="7">
                  <c:v>Rutland: 2</c:v>
                </c:pt>
                <c:pt idx="8">
                  <c:v>Washington: 4</c:v>
                </c:pt>
                <c:pt idx="9">
                  <c:v>Windham: 6</c:v>
                </c:pt>
                <c:pt idx="10">
                  <c:v>Windsor: 6</c:v>
                </c:pt>
              </c:strCache>
            </c:strRef>
          </c:cat>
          <c:val>
            <c:numRef>
              <c:f>'Charts 11-21'!$C$198:$C$208</c:f>
              <c:numCache>
                <c:formatCode>0.00%</c:formatCode>
                <c:ptCount val="11"/>
                <c:pt idx="0">
                  <c:v>0</c:v>
                </c:pt>
                <c:pt idx="1">
                  <c:v>4.1666666666666664E-2</c:v>
                </c:pt>
                <c:pt idx="2">
                  <c:v>0.39583333333333331</c:v>
                </c:pt>
                <c:pt idx="3">
                  <c:v>6.25E-2</c:v>
                </c:pt>
                <c:pt idx="4">
                  <c:v>0</c:v>
                </c:pt>
                <c:pt idx="5">
                  <c:v>0.10416666666666667</c:v>
                </c:pt>
                <c:pt idx="6">
                  <c:v>2.0833333333333332E-2</c:v>
                </c:pt>
                <c:pt idx="7">
                  <c:v>4.1666666666666664E-2</c:v>
                </c:pt>
                <c:pt idx="8">
                  <c:v>8.3333333333333329E-2</c:v>
                </c:pt>
                <c:pt idx="9">
                  <c:v>0.125</c:v>
                </c:pt>
                <c:pt idx="10">
                  <c:v>0.125</c:v>
                </c:pt>
              </c:numCache>
            </c:numRef>
          </c:val>
          <c:extLst>
            <c:ext xmlns:c16="http://schemas.microsoft.com/office/drawing/2014/chart" uri="{C3380CC4-5D6E-409C-BE32-E72D297353CC}">
              <c16:uniqueId val="{00000008-9332-4883-ACD7-F2C0971054AB}"/>
            </c:ext>
          </c:extLst>
        </c:ser>
        <c:ser>
          <c:idx val="2"/>
          <c:order val="2"/>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'Charts 11-21'!$A$198:$A$208</c:f>
              <c:strCache>
                <c:ptCount val="11"/>
                <c:pt idx="0">
                  <c:v>Addison: 0</c:v>
                </c:pt>
                <c:pt idx="1">
                  <c:v>Bennington: 2</c:v>
                </c:pt>
                <c:pt idx="2">
                  <c:v>Chittenden: 19</c:v>
                </c:pt>
                <c:pt idx="3">
                  <c:v>Franklin/GI: 3</c:v>
                </c:pt>
                <c:pt idx="4">
                  <c:v>Lamoille: 0</c:v>
                </c:pt>
                <c:pt idx="5">
                  <c:v>NEK: 5</c:v>
                </c:pt>
                <c:pt idx="6">
                  <c:v>Orange: 1</c:v>
                </c:pt>
                <c:pt idx="7">
                  <c:v>Rutland: 2</c:v>
                </c:pt>
                <c:pt idx="8">
                  <c:v>Washington: 4</c:v>
                </c:pt>
                <c:pt idx="9">
                  <c:v>Windham: 6</c:v>
                </c:pt>
                <c:pt idx="10">
                  <c:v>Windsor: 6</c:v>
                </c:pt>
              </c:strCache>
            </c:strRef>
          </c:cat>
          <c:val>
            <c:numRef>
              <c:f>'Charts 11-21'!$D$198:$D$208</c:f>
              <c:numCache>
                <c:formatCode>0.00%</c:formatCode>
                <c:ptCount val="11"/>
              </c:numCache>
            </c:numRef>
          </c:val>
          <c:extLst>
            <c:ext xmlns:c16="http://schemas.microsoft.com/office/drawing/2014/chart" uri="{C3380CC4-5D6E-409C-BE32-E72D297353CC}">
              <c16:uniqueId val="{00000009-9332-4883-ACD7-F2C0971054AB}"/>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677" l="0.70000000000000062" r="0.70000000000000062" t="0.75000000000000677"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Chart 11</a:t>
            </a:r>
          </a:p>
          <a:p>
            <a:pPr>
              <a:defRPr/>
            </a:pPr>
            <a:r>
              <a:rPr lang="en-US" sz="1600"/>
              <a:t>Wage Levels for Projected Jobs</a:t>
            </a:r>
          </a:p>
          <a:p>
            <a:pPr>
              <a:defRPr/>
            </a:pPr>
            <a:r>
              <a:rPr lang="en-US" sz="1200"/>
              <a:t>(Wage Ranges in 000's)</a:t>
            </a:r>
          </a:p>
        </c:rich>
      </c:tx>
      <c:overlay val="0"/>
    </c:title>
    <c:autoTitleDeleted val="0"/>
    <c:plotArea>
      <c:layout/>
      <c:pieChart>
        <c:varyColors val="1"/>
        <c:ser>
          <c:idx val="1"/>
          <c:order val="0"/>
          <c:dPt>
            <c:idx val="0"/>
            <c:bubble3D val="0"/>
            <c:spPr>
              <a:effectLst/>
            </c:spPr>
            <c:extLst>
              <c:ext xmlns:c16="http://schemas.microsoft.com/office/drawing/2014/chart" uri="{C3380CC4-5D6E-409C-BE32-E72D297353CC}">
                <c16:uniqueId val="{00000001-E658-46B5-9C51-6819B11B25E8}"/>
              </c:ext>
            </c:extLst>
          </c:dPt>
          <c:dLbls>
            <c:spPr>
              <a:noFill/>
              <a:ln>
                <a:noFill/>
              </a:ln>
              <a:effectLst/>
            </c:spPr>
            <c:txPr>
              <a:bodyPr wrap="square" lIns="38100" tIns="19050" rIns="38100" bIns="19050" anchor="ctr">
                <a:spAutoFit/>
              </a:bodyPr>
              <a:lstStyle/>
              <a:p>
                <a:pPr>
                  <a:defRPr b="1"/>
                </a:pPr>
                <a:endParaRPr lang="en-US"/>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'Charts 11-21'!$A$9:$A$16</c:f>
              <c:strCache>
                <c:ptCount val="8"/>
                <c:pt idx="0">
                  <c:v>$25-$29</c:v>
                </c:pt>
                <c:pt idx="1">
                  <c:v>$30-$39</c:v>
                </c:pt>
                <c:pt idx="2">
                  <c:v>$40-$49</c:v>
                </c:pt>
                <c:pt idx="3">
                  <c:v>$50-$59</c:v>
                </c:pt>
                <c:pt idx="4">
                  <c:v>$60-$69</c:v>
                </c:pt>
                <c:pt idx="5">
                  <c:v>$70-$79</c:v>
                </c:pt>
                <c:pt idx="6">
                  <c:v>$80-$89</c:v>
                </c:pt>
                <c:pt idx="7">
                  <c:v>$90+</c:v>
                </c:pt>
              </c:strCache>
            </c:strRef>
          </c:cat>
          <c:val>
            <c:numRef>
              <c:f>'Charts 11-21'!$C$9:$C$16</c:f>
              <c:numCache>
                <c:formatCode>0%</c:formatCode>
                <c:ptCount val="8"/>
                <c:pt idx="0">
                  <c:v>0.30496668685645062</c:v>
                </c:pt>
                <c:pt idx="1">
                  <c:v>0.2359176256814052</c:v>
                </c:pt>
                <c:pt idx="2">
                  <c:v>0.15081768625075712</c:v>
                </c:pt>
                <c:pt idx="3">
                  <c:v>9.3276801938219259E-2</c:v>
                </c:pt>
                <c:pt idx="4">
                  <c:v>8.419139915202907E-2</c:v>
                </c:pt>
                <c:pt idx="5">
                  <c:v>4.633555420956996E-2</c:v>
                </c:pt>
                <c:pt idx="6">
                  <c:v>6.3294972743791644E-2</c:v>
                </c:pt>
                <c:pt idx="7">
                  <c:v>2.1199273167777106E-2</c:v>
                </c:pt>
              </c:numCache>
            </c:numRef>
          </c:val>
          <c:extLst>
            <c:ext xmlns:c16="http://schemas.microsoft.com/office/drawing/2014/chart" uri="{C3380CC4-5D6E-409C-BE32-E72D297353CC}">
              <c16:uniqueId val="{00000004-E658-46B5-9C51-6819B11B25E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5982086614174116"/>
          <c:y val="0.25992271799358857"/>
          <c:w val="0.14017913385826791"/>
          <c:h val="0.66973753280841131"/>
        </c:manualLayout>
      </c:layout>
      <c:overlay val="0"/>
    </c:legend>
    <c:plotVisOnly val="1"/>
    <c:dispBlanksAs val="zero"/>
    <c:showDLblsOverMax val="0"/>
  </c:chart>
  <c:printSettings>
    <c:headerFooter/>
    <c:pageMargins b="0.75000000000000711" l="0.70000000000000062" r="0.70000000000000062" t="0.75000000000000711"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Chart 21</a:t>
            </a:r>
          </a:p>
          <a:p>
            <a:pPr algn="ctr">
              <a:defRPr/>
            </a:pPr>
            <a:r>
              <a:rPr lang="en-US"/>
              <a:t>Regional Distribution of Jobs</a:t>
            </a:r>
          </a:p>
          <a:p>
            <a:pPr algn="ctr">
              <a:defRPr/>
            </a:pPr>
            <a:r>
              <a:rPr lang="en-US" sz="1200"/>
              <a:t>(By Percentage of Total Jobs Created</a:t>
            </a:r>
            <a:r>
              <a:rPr lang="en-US" sz="1200" baseline="0"/>
              <a:t> per Region)</a:t>
            </a:r>
            <a:endParaRPr lang="en-US" sz="1200"/>
          </a:p>
        </c:rich>
      </c:tx>
      <c:overlay val="0"/>
    </c:title>
    <c:autoTitleDeleted val="0"/>
    <c:plotArea>
      <c:layout>
        <c:manualLayout>
          <c:layoutTarget val="inner"/>
          <c:xMode val="edge"/>
          <c:yMode val="edge"/>
          <c:x val="0.19936132983377081"/>
          <c:y val="0.30385176736085562"/>
          <c:w val="0.56525021872265968"/>
          <c:h val="0.66033904056385473"/>
        </c:manualLayout>
      </c:layout>
      <c:pieChart>
        <c:varyColors val="1"/>
        <c:ser>
          <c:idx val="0"/>
          <c:order val="0"/>
          <c:dPt>
            <c:idx val="6"/>
            <c:bubble3D val="0"/>
            <c:spPr>
              <a:solidFill>
                <a:schemeClr val="bg1">
                  <a:lumMod val="50000"/>
                </a:schemeClr>
              </a:solidFill>
            </c:spPr>
            <c:extLst>
              <c:ext xmlns:c16="http://schemas.microsoft.com/office/drawing/2014/chart" uri="{C3380CC4-5D6E-409C-BE32-E72D297353CC}">
                <c16:uniqueId val="{00000001-A5D2-4128-BC3D-DEDA301B9336}"/>
              </c:ext>
            </c:extLst>
          </c:dPt>
          <c:dLbls>
            <c:dLbl>
              <c:idx val="0"/>
              <c:layout>
                <c:manualLayout>
                  <c:x val="-1.3542650918635222E-2"/>
                  <c:y val="-8.972228354633271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D2-4128-BC3D-DEDA301B9336}"/>
                </c:ext>
              </c:extLst>
            </c:dLbl>
            <c:dLbl>
              <c:idx val="1"/>
              <c:layout>
                <c:manualLayout>
                  <c:x val="2.7132327209098861E-2"/>
                  <c:y val="-9.906654483610138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D2-4128-BC3D-DEDA301B9336}"/>
                </c:ext>
              </c:extLst>
            </c:dLbl>
            <c:dLbl>
              <c:idx val="4"/>
              <c:layout>
                <c:manualLayout>
                  <c:x val="-7.9391951006124242E-3"/>
                  <c:y val="5.983189017260573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D2-4128-BC3D-DEDA301B9336}"/>
                </c:ext>
              </c:extLst>
            </c:dLbl>
            <c:dLbl>
              <c:idx val="5"/>
              <c:layout>
                <c:manualLayout>
                  <c:x val="7.614391951006122E-2"/>
                  <c:y val="-2.25235791203669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D2-4128-BC3D-DEDA301B9336}"/>
                </c:ext>
              </c:extLst>
            </c:dLbl>
            <c:dLbl>
              <c:idx val="6"/>
              <c:layout>
                <c:manualLayout>
                  <c:x val="-1.7541557305336859E-2"/>
                  <c:y val="-1.032289188150546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D2-4128-BC3D-DEDA301B9336}"/>
                </c:ext>
              </c:extLst>
            </c:dLbl>
            <c:dLbl>
              <c:idx val="7"/>
              <c:layout>
                <c:manualLayout>
                  <c:x val="-1.4328302712161005E-2"/>
                  <c:y val="-4.53949170489202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D2-4128-BC3D-DEDA301B9336}"/>
                </c:ext>
              </c:extLst>
            </c:dLbl>
            <c:dLbl>
              <c:idx val="9"/>
              <c:layout>
                <c:manualLayout>
                  <c:x val="4.5521872265966705E-2"/>
                  <c:y val="7.017828962968414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D2-4128-BC3D-DEDA301B9336}"/>
                </c:ext>
              </c:extLst>
            </c:dLbl>
            <c:dLbl>
              <c:idx val="10"/>
              <c:layout>
                <c:manualLayout>
                  <c:x val="9.5209973753280844E-3"/>
                  <c:y val="6.74120612259916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D2-4128-BC3D-DEDA301B9336}"/>
                </c:ext>
              </c:extLst>
            </c:dLbl>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'Charts 11-21'!$A$256:$A$266</c:f>
              <c:strCache>
                <c:ptCount val="11"/>
                <c:pt idx="0">
                  <c:v>Addison</c:v>
                </c:pt>
                <c:pt idx="1">
                  <c:v>Bennington</c:v>
                </c:pt>
                <c:pt idx="2">
                  <c:v>Chittenden</c:v>
                </c:pt>
                <c:pt idx="3">
                  <c:v>Franklin/GI</c:v>
                </c:pt>
                <c:pt idx="4">
                  <c:v>Lamoille</c:v>
                </c:pt>
                <c:pt idx="5">
                  <c:v>NEK</c:v>
                </c:pt>
                <c:pt idx="6">
                  <c:v>Orange</c:v>
                </c:pt>
                <c:pt idx="7">
                  <c:v>Rutland</c:v>
                </c:pt>
                <c:pt idx="8">
                  <c:v>Washington</c:v>
                </c:pt>
                <c:pt idx="9">
                  <c:v>Windham</c:v>
                </c:pt>
                <c:pt idx="10">
                  <c:v>Windsor</c:v>
                </c:pt>
              </c:strCache>
            </c:strRef>
          </c:cat>
          <c:val>
            <c:numRef>
              <c:f>'Charts 11-21'!$B$256:$B$266</c:f>
              <c:numCache>
                <c:formatCode>0%</c:formatCode>
                <c:ptCount val="11"/>
                <c:pt idx="0">
                  <c:v>0</c:v>
                </c:pt>
                <c:pt idx="1">
                  <c:v>1.4233797698364628E-2</c:v>
                </c:pt>
                <c:pt idx="2">
                  <c:v>0.56420351302241067</c:v>
                </c:pt>
                <c:pt idx="3">
                  <c:v>6.6929133858267723E-2</c:v>
                </c:pt>
                <c:pt idx="4">
                  <c:v>0</c:v>
                </c:pt>
                <c:pt idx="5">
                  <c:v>6.9049061175045431E-2</c:v>
                </c:pt>
                <c:pt idx="6">
                  <c:v>3.0284675953967293E-3</c:v>
                </c:pt>
                <c:pt idx="7">
                  <c:v>1.1205330102967898E-2</c:v>
                </c:pt>
                <c:pt idx="8">
                  <c:v>0.16141732283464566</c:v>
                </c:pt>
                <c:pt idx="9">
                  <c:v>6.7837674136886739E-2</c:v>
                </c:pt>
                <c:pt idx="10">
                  <c:v>4.2095699576014535E-2</c:v>
                </c:pt>
              </c:numCache>
            </c:numRef>
          </c:val>
          <c:extLst>
            <c:ext xmlns:c16="http://schemas.microsoft.com/office/drawing/2014/chart" uri="{C3380CC4-5D6E-409C-BE32-E72D297353CC}">
              <c16:uniqueId val="{00000009-A5D2-4128-BC3D-DEDA301B9336}"/>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588" l="0.70000000000000062" r="0.70000000000000062" t="0.75000000000000588"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solidFill>
                  <a:sysClr val="windowText" lastClr="000000"/>
                </a:solidFill>
              </a:rPr>
              <a:t>Chart 18</a:t>
            </a:r>
          </a:p>
          <a:p>
            <a:pPr>
              <a:defRPr/>
            </a:pPr>
            <a:r>
              <a:rPr lang="en-US">
                <a:solidFill>
                  <a:sysClr val="windowText" lastClr="000000"/>
                </a:solidFill>
              </a:rPr>
              <a:t>2014 Personal Income Tax</a:t>
            </a:r>
            <a:endParaRPr lang="en-US" baseline="0">
              <a:solidFill>
                <a:sysClr val="windowText" lastClr="000000"/>
              </a:solidFill>
            </a:endParaRPr>
          </a:p>
          <a:p>
            <a:pPr>
              <a:defRPr/>
            </a:pPr>
            <a:r>
              <a:rPr lang="en-US" sz="1200" b="1" i="0" kern="1200" baseline="0">
                <a:solidFill>
                  <a:srgbClr val="000000"/>
                </a:solidFill>
                <a:effectLst/>
              </a:rPr>
              <a:t>(Percentage of State revenue)</a:t>
            </a:r>
            <a:endParaRPr lang="en-US" sz="1200">
              <a:effectLst/>
            </a:endParaRPr>
          </a:p>
          <a:p>
            <a:pPr>
              <a:defRPr/>
            </a:pPr>
            <a:endParaRPr lang="en-US">
              <a:solidFill>
                <a:sysClr val="windowText" lastClr="000000"/>
              </a:solidFill>
            </a:endParaRPr>
          </a:p>
        </c:rich>
      </c:tx>
      <c:layout>
        <c:manualLayout>
          <c:xMode val="edge"/>
          <c:yMode val="edge"/>
          <c:x val="0.16988520630744591"/>
          <c:y val="2.850976961213180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9872824642119549"/>
          <c:y val="0.24417575033888766"/>
          <c:w val="0.46350955731003218"/>
          <c:h val="0.6891561072096859"/>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DB6F-4E30-94FB-B52B699B8E90}"/>
              </c:ext>
            </c:extLst>
          </c:dPt>
          <c:dPt>
            <c:idx val="1"/>
            <c:bubble3D val="0"/>
            <c:spPr>
              <a:solidFill>
                <a:schemeClr val="accent2">
                  <a:lumMod val="75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DB6F-4E30-94FB-B52B699B8E90}"/>
              </c:ext>
            </c:extLst>
          </c:dPt>
          <c:dPt>
            <c:idx val="2"/>
            <c:bubble3D val="0"/>
            <c:spPr>
              <a:solidFill>
                <a:schemeClr val="accent3">
                  <a:lumMod val="75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DB6F-4E30-94FB-B52B699B8E90}"/>
              </c:ext>
            </c:extLst>
          </c:dPt>
          <c:dPt>
            <c:idx val="3"/>
            <c:bubble3D val="0"/>
            <c:spPr>
              <a:solidFill>
                <a:schemeClr val="accent4"/>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DB6F-4E30-94FB-B52B699B8E9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DB6F-4E30-94FB-B52B699B8E9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B-DB6F-4E30-94FB-B52B699B8E90}"/>
              </c:ext>
            </c:extLst>
          </c:dPt>
          <c:dPt>
            <c:idx val="6"/>
            <c:bubble3D val="0"/>
            <c:spPr>
              <a:solidFill>
                <a:schemeClr val="bg1">
                  <a:lumMod val="5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DB6F-4E30-94FB-B52B699B8E90}"/>
              </c:ext>
            </c:extLst>
          </c:dPt>
          <c:dPt>
            <c:idx val="7"/>
            <c:bubble3D val="0"/>
            <c:spPr>
              <a:solidFill>
                <a:schemeClr val="accent2">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F-DB6F-4E30-94FB-B52B699B8E90}"/>
              </c:ext>
            </c:extLst>
          </c:dPt>
          <c:dPt>
            <c:idx val="8"/>
            <c:bubble3D val="0"/>
            <c:spPr>
              <a:solidFill>
                <a:schemeClr val="accent3">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1-DB6F-4E30-94FB-B52B699B8E90}"/>
              </c:ext>
            </c:extLst>
          </c:dPt>
          <c:dPt>
            <c:idx val="9"/>
            <c:bubble3D val="0"/>
            <c:spPr>
              <a:solidFill>
                <a:schemeClr val="accent4">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3-DB6F-4E30-94FB-B52B699B8E90}"/>
              </c:ext>
            </c:extLst>
          </c:dPt>
          <c:dPt>
            <c:idx val="10"/>
            <c:bubble3D val="0"/>
            <c:spPr>
              <a:solidFill>
                <a:schemeClr val="accent1">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5-DB6F-4E30-94FB-B52B699B8E9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'Charts 11-21'!$A$172:$A$182</c:f>
              <c:strCache>
                <c:ptCount val="11"/>
                <c:pt idx="0">
                  <c:v>Addison </c:v>
                </c:pt>
                <c:pt idx="1">
                  <c:v>Bennington </c:v>
                </c:pt>
                <c:pt idx="2">
                  <c:v>Chittenden</c:v>
                </c:pt>
                <c:pt idx="3">
                  <c:v>Franklin/GI</c:v>
                </c:pt>
                <c:pt idx="4">
                  <c:v>Lamoille</c:v>
                </c:pt>
                <c:pt idx="5">
                  <c:v>NEK</c:v>
                </c:pt>
                <c:pt idx="6">
                  <c:v>Orange</c:v>
                </c:pt>
                <c:pt idx="7">
                  <c:v>Rutland</c:v>
                </c:pt>
                <c:pt idx="8">
                  <c:v>Washington</c:v>
                </c:pt>
                <c:pt idx="9">
                  <c:v>Windham</c:v>
                </c:pt>
                <c:pt idx="10">
                  <c:v>Windsor</c:v>
                </c:pt>
              </c:strCache>
            </c:strRef>
          </c:cat>
          <c:val>
            <c:numRef>
              <c:f>'Charts 11-21'!$B$172:$B$182</c:f>
              <c:numCache>
                <c:formatCode>_("$"* #,##0_);_("$"* \(#,##0\);_("$"* "-"??_);_(@_)</c:formatCode>
                <c:ptCount val="11"/>
                <c:pt idx="0">
                  <c:v>35208280</c:v>
                </c:pt>
                <c:pt idx="1">
                  <c:v>32275207</c:v>
                </c:pt>
                <c:pt idx="2">
                  <c:v>238657196</c:v>
                </c:pt>
                <c:pt idx="3">
                  <c:v>47085611</c:v>
                </c:pt>
                <c:pt idx="4">
                  <c:v>30041306</c:v>
                </c:pt>
                <c:pt idx="5">
                  <c:v>38695110</c:v>
                </c:pt>
                <c:pt idx="6">
                  <c:v>22580299</c:v>
                </c:pt>
                <c:pt idx="7">
                  <c:v>48473454</c:v>
                </c:pt>
                <c:pt idx="8">
                  <c:v>65706851</c:v>
                </c:pt>
                <c:pt idx="9">
                  <c:v>33666255</c:v>
                </c:pt>
                <c:pt idx="10">
                  <c:v>57933776</c:v>
                </c:pt>
              </c:numCache>
            </c:numRef>
          </c:val>
          <c:extLst>
            <c:ext xmlns:c16="http://schemas.microsoft.com/office/drawing/2014/chart" uri="{C3380CC4-5D6E-409C-BE32-E72D297353CC}">
              <c16:uniqueId val="{00000016-DB6F-4E30-94FB-B52B699B8E90}"/>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8-DB6F-4E30-94FB-B52B699B8E9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A-DB6F-4E30-94FB-B52B699B8E9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C-DB6F-4E30-94FB-B52B699B8E9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E-DB6F-4E30-94FB-B52B699B8E9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0-DB6F-4E30-94FB-B52B699B8E9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2-DB6F-4E30-94FB-B52B699B8E90}"/>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4-DB6F-4E30-94FB-B52B699B8E90}"/>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6-DB6F-4E30-94FB-B52B699B8E90}"/>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8-DB6F-4E30-94FB-B52B699B8E90}"/>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A-DB6F-4E30-94FB-B52B699B8E90}"/>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C-DB6F-4E30-94FB-B52B699B8E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'Charts 11-21'!$A$172:$A$182</c:f>
              <c:strCache>
                <c:ptCount val="11"/>
                <c:pt idx="0">
                  <c:v>Addison </c:v>
                </c:pt>
                <c:pt idx="1">
                  <c:v>Bennington </c:v>
                </c:pt>
                <c:pt idx="2">
                  <c:v>Chittenden</c:v>
                </c:pt>
                <c:pt idx="3">
                  <c:v>Franklin/GI</c:v>
                </c:pt>
                <c:pt idx="4">
                  <c:v>Lamoille</c:v>
                </c:pt>
                <c:pt idx="5">
                  <c:v>NEK</c:v>
                </c:pt>
                <c:pt idx="6">
                  <c:v>Orange</c:v>
                </c:pt>
                <c:pt idx="7">
                  <c:v>Rutland</c:v>
                </c:pt>
                <c:pt idx="8">
                  <c:v>Washington</c:v>
                </c:pt>
                <c:pt idx="9">
                  <c:v>Windham</c:v>
                </c:pt>
                <c:pt idx="10">
                  <c:v>Windsor</c:v>
                </c:pt>
              </c:strCache>
            </c:strRef>
          </c:cat>
          <c:val>
            <c:numRef>
              <c:f>'Charts 11-21'!$C$172:$C$182</c:f>
              <c:numCache>
                <c:formatCode>0.0%</c:formatCode>
                <c:ptCount val="11"/>
                <c:pt idx="0">
                  <c:v>5.2999999999999999E-2</c:v>
                </c:pt>
                <c:pt idx="1">
                  <c:v>5.1999999999999998E-2</c:v>
                </c:pt>
                <c:pt idx="2">
                  <c:v>0.36099999999999999</c:v>
                </c:pt>
                <c:pt idx="3">
                  <c:v>7.2999999999999995E-2</c:v>
                </c:pt>
                <c:pt idx="4">
                  <c:v>4.5999999999999999E-2</c:v>
                </c:pt>
                <c:pt idx="5">
                  <c:v>5.9501339291456623E-2</c:v>
                </c:pt>
                <c:pt idx="6">
                  <c:v>3.5999999999999997E-2</c:v>
                </c:pt>
                <c:pt idx="7">
                  <c:v>7.5999999999999998E-2</c:v>
                </c:pt>
                <c:pt idx="8">
                  <c:v>9.6000000000000002E-2</c:v>
                </c:pt>
                <c:pt idx="9">
                  <c:v>5.2999999999999999E-2</c:v>
                </c:pt>
                <c:pt idx="10">
                  <c:v>0.09</c:v>
                </c:pt>
              </c:numCache>
            </c:numRef>
          </c:val>
          <c:extLst>
            <c:ext xmlns:c16="http://schemas.microsoft.com/office/drawing/2014/chart" uri="{C3380CC4-5D6E-409C-BE32-E72D297353CC}">
              <c16:uniqueId val="{0000002D-DB6F-4E30-94FB-B52B699B8E90}"/>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76818610464050863"/>
          <c:y val="0.21808626309162188"/>
          <c:w val="0.20050634552137364"/>
          <c:h val="0.73230132573217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a:solidFill>
                  <a:sysClr val="windowText" lastClr="000000"/>
                </a:solidFill>
              </a:rPr>
              <a:t>Chart 17</a:t>
            </a:r>
          </a:p>
          <a:p>
            <a:pPr>
              <a:defRPr>
                <a:solidFill>
                  <a:sysClr val="windowText" lastClr="000000"/>
                </a:solidFill>
              </a:defRPr>
            </a:pPr>
            <a:r>
              <a:rPr lang="en-US">
                <a:solidFill>
                  <a:sysClr val="windowText" lastClr="000000"/>
                </a:solidFill>
              </a:rPr>
              <a:t>2010 Population Census Data</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03BC-4956-91FB-B2EF0CC8C8E5}"/>
              </c:ext>
            </c:extLst>
          </c:dPt>
          <c:dPt>
            <c:idx val="1"/>
            <c:bubble3D val="0"/>
            <c:spPr>
              <a:solidFill>
                <a:schemeClr val="accent2">
                  <a:lumMod val="75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03BC-4956-91FB-B2EF0CC8C8E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03BC-4956-91FB-B2EF0CC8C8E5}"/>
              </c:ext>
            </c:extLst>
          </c:dPt>
          <c:dPt>
            <c:idx val="3"/>
            <c:bubble3D val="0"/>
            <c:spPr>
              <a:solidFill>
                <a:schemeClr val="accent4"/>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03BC-4956-91FB-B2EF0CC8C8E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03BC-4956-91FB-B2EF0CC8C8E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B-03BC-4956-91FB-B2EF0CC8C8E5}"/>
              </c:ext>
            </c:extLst>
          </c:dPt>
          <c:dPt>
            <c:idx val="6"/>
            <c:bubble3D val="0"/>
            <c:spPr>
              <a:solidFill>
                <a:schemeClr val="bg1">
                  <a:lumMod val="5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03BC-4956-91FB-B2EF0CC8C8E5}"/>
              </c:ext>
            </c:extLst>
          </c:dPt>
          <c:dPt>
            <c:idx val="7"/>
            <c:bubble3D val="0"/>
            <c:spPr>
              <a:solidFill>
                <a:schemeClr val="accent2">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F-03BC-4956-91FB-B2EF0CC8C8E5}"/>
              </c:ext>
            </c:extLst>
          </c:dPt>
          <c:dPt>
            <c:idx val="8"/>
            <c:bubble3D val="0"/>
            <c:spPr>
              <a:solidFill>
                <a:schemeClr val="accent3">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1-03BC-4956-91FB-B2EF0CC8C8E5}"/>
              </c:ext>
            </c:extLst>
          </c:dPt>
          <c:dPt>
            <c:idx val="9"/>
            <c:bubble3D val="0"/>
            <c:spPr>
              <a:solidFill>
                <a:schemeClr val="accent4">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3-03BC-4956-91FB-B2EF0CC8C8E5}"/>
              </c:ext>
            </c:extLst>
          </c:dPt>
          <c:dPt>
            <c:idx val="10"/>
            <c:bubble3D val="0"/>
            <c:spPr>
              <a:solidFill>
                <a:schemeClr val="accent1">
                  <a:lumMod val="60000"/>
                  <a:lumOff val="40000"/>
                </a:scheme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5-03BC-4956-91FB-B2EF0CC8C8E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'Charts 11-21'!$A$147:$A$157</c:f>
              <c:strCache>
                <c:ptCount val="11"/>
                <c:pt idx="0">
                  <c:v>Addison </c:v>
                </c:pt>
                <c:pt idx="1">
                  <c:v>Bennington </c:v>
                </c:pt>
                <c:pt idx="2">
                  <c:v>Chittenden</c:v>
                </c:pt>
                <c:pt idx="3">
                  <c:v>Franklin/GI</c:v>
                </c:pt>
                <c:pt idx="4">
                  <c:v>Lamoille</c:v>
                </c:pt>
                <c:pt idx="5">
                  <c:v>NEK</c:v>
                </c:pt>
                <c:pt idx="6">
                  <c:v>Orange</c:v>
                </c:pt>
                <c:pt idx="7">
                  <c:v>Rutland</c:v>
                </c:pt>
                <c:pt idx="8">
                  <c:v>Washington</c:v>
                </c:pt>
                <c:pt idx="9">
                  <c:v>Windham</c:v>
                </c:pt>
                <c:pt idx="10">
                  <c:v>Windsor</c:v>
                </c:pt>
              </c:strCache>
            </c:strRef>
          </c:cat>
          <c:val>
            <c:numRef>
              <c:f>'Charts 11-21'!$B$147:$B$157</c:f>
              <c:numCache>
                <c:formatCode>_(* #,##0_);_(* \(#,##0\);_(* "-"??_);_(@_)</c:formatCode>
                <c:ptCount val="11"/>
                <c:pt idx="0">
                  <c:v>36824</c:v>
                </c:pt>
                <c:pt idx="1">
                  <c:v>37125</c:v>
                </c:pt>
                <c:pt idx="2">
                  <c:v>156540</c:v>
                </c:pt>
                <c:pt idx="3">
                  <c:v>54722</c:v>
                </c:pt>
                <c:pt idx="4">
                  <c:v>24475</c:v>
                </c:pt>
                <c:pt idx="5">
                  <c:v>64763</c:v>
                </c:pt>
                <c:pt idx="6">
                  <c:v>28936</c:v>
                </c:pt>
                <c:pt idx="7">
                  <c:v>61646</c:v>
                </c:pt>
                <c:pt idx="8">
                  <c:v>59535</c:v>
                </c:pt>
                <c:pt idx="9">
                  <c:v>44513</c:v>
                </c:pt>
                <c:pt idx="10">
                  <c:v>56666</c:v>
                </c:pt>
              </c:numCache>
            </c:numRef>
          </c:val>
          <c:extLst>
            <c:ext xmlns:c16="http://schemas.microsoft.com/office/drawing/2014/chart" uri="{C3380CC4-5D6E-409C-BE32-E72D297353CC}">
              <c16:uniqueId val="{00000016-03BC-4956-91FB-B2EF0CC8C8E5}"/>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8-03BC-4956-91FB-B2EF0CC8C8E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A-03BC-4956-91FB-B2EF0CC8C8E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C-03BC-4956-91FB-B2EF0CC8C8E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E-03BC-4956-91FB-B2EF0CC8C8E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0-03BC-4956-91FB-B2EF0CC8C8E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2-03BC-4956-91FB-B2EF0CC8C8E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4-03BC-4956-91FB-B2EF0CC8C8E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6-03BC-4956-91FB-B2EF0CC8C8E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8-03BC-4956-91FB-B2EF0CC8C8E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A-03BC-4956-91FB-B2EF0CC8C8E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2C-03BC-4956-91FB-B2EF0CC8C8E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'Charts 11-21'!$A$147:$A$157</c:f>
              <c:strCache>
                <c:ptCount val="11"/>
                <c:pt idx="0">
                  <c:v>Addison </c:v>
                </c:pt>
                <c:pt idx="1">
                  <c:v>Bennington </c:v>
                </c:pt>
                <c:pt idx="2">
                  <c:v>Chittenden</c:v>
                </c:pt>
                <c:pt idx="3">
                  <c:v>Franklin/GI</c:v>
                </c:pt>
                <c:pt idx="4">
                  <c:v>Lamoille</c:v>
                </c:pt>
                <c:pt idx="5">
                  <c:v>NEK</c:v>
                </c:pt>
                <c:pt idx="6">
                  <c:v>Orange</c:v>
                </c:pt>
                <c:pt idx="7">
                  <c:v>Rutland</c:v>
                </c:pt>
                <c:pt idx="8">
                  <c:v>Washington</c:v>
                </c:pt>
                <c:pt idx="9">
                  <c:v>Windham</c:v>
                </c:pt>
                <c:pt idx="10">
                  <c:v>Windsor</c:v>
                </c:pt>
              </c:strCache>
            </c:strRef>
          </c:cat>
          <c:val>
            <c:numRef>
              <c:f>'Charts 11-21'!$C$147:$C$157</c:f>
              <c:numCache>
                <c:formatCode>0%</c:formatCode>
                <c:ptCount val="11"/>
                <c:pt idx="0">
                  <c:v>5.8848252882563984E-2</c:v>
                </c:pt>
                <c:pt idx="1">
                  <c:v>5.9329279498837387E-2</c:v>
                </c:pt>
                <c:pt idx="2">
                  <c:v>0.2501658023635826</c:v>
                </c:pt>
                <c:pt idx="3">
                  <c:v>8.7450958457518643E-2</c:v>
                </c:pt>
                <c:pt idx="4">
                  <c:v>3.9113376854789092E-2</c:v>
                </c:pt>
                <c:pt idx="5">
                  <c:v>0.10349743106217389</c:v>
                </c:pt>
                <c:pt idx="6">
                  <c:v>4.6242478965073636E-2</c:v>
                </c:pt>
                <c:pt idx="7">
                  <c:v>9.8516168726877559E-2</c:v>
                </c:pt>
                <c:pt idx="8">
                  <c:v>9.5142590032681038E-2</c:v>
                </c:pt>
                <c:pt idx="9">
                  <c:v>7.1136005880989867E-2</c:v>
                </c:pt>
                <c:pt idx="10">
                  <c:v>9.0557655274912302E-2</c:v>
                </c:pt>
              </c:numCache>
            </c:numRef>
          </c:val>
          <c:extLst>
            <c:ext xmlns:c16="http://schemas.microsoft.com/office/drawing/2014/chart" uri="{C3380CC4-5D6E-409C-BE32-E72D297353CC}">
              <c16:uniqueId val="{0000002D-03BC-4956-91FB-B2EF0CC8C8E5}"/>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9733956211448433"/>
          <c:y val="0.22991512977991166"/>
          <c:w val="0.20762200322443972"/>
          <c:h val="0.7184374298119404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400">
                <a:solidFill>
                  <a:sysClr val="windowText" lastClr="000000"/>
                </a:solidFill>
              </a:rPr>
              <a:t>Chart 13</a:t>
            </a:r>
          </a:p>
          <a:p>
            <a:pPr>
              <a:defRPr/>
            </a:pPr>
            <a:r>
              <a:rPr lang="en-US" sz="1200" cap="none" baseline="0">
                <a:solidFill>
                  <a:sysClr val="windowText" lastClr="000000"/>
                </a:solidFill>
              </a:rPr>
              <a:t>Percent of Health Care Premium Paid by Employer</a:t>
            </a:r>
          </a:p>
          <a:p>
            <a:pPr>
              <a:defRPr/>
            </a:pPr>
            <a:r>
              <a:rPr lang="en-US" sz="1100" cap="none" baseline="0">
                <a:solidFill>
                  <a:sysClr val="windowText" lastClr="000000"/>
                </a:solidFill>
              </a:rPr>
              <a:t>(By Percent of Total Companies in Each Range)</a:t>
            </a:r>
          </a:p>
        </c:rich>
      </c:tx>
      <c:layout>
        <c:manualLayout>
          <c:xMode val="edge"/>
          <c:yMode val="edge"/>
          <c:x val="0.13317323716168289"/>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024511957464543"/>
          <c:y val="0.30575907541550679"/>
          <c:w val="0.42080677683529905"/>
          <c:h val="0.60542119859403831"/>
        </c:manualLayout>
      </c:layout>
      <c:pieChart>
        <c:varyColors val="1"/>
        <c:ser>
          <c:idx val="0"/>
          <c:order val="0"/>
          <c:spPr>
            <a:ln>
              <a:noFill/>
            </a:ln>
            <a:effectLst/>
          </c:spPr>
          <c:dPt>
            <c:idx val="0"/>
            <c:bubble3D val="0"/>
            <c:spPr>
              <a:solidFill>
                <a:schemeClr val="accent1"/>
              </a:solidFill>
              <a:ln>
                <a:noFill/>
              </a:ln>
              <a:effectLst/>
            </c:spPr>
            <c:extLst>
              <c:ext xmlns:c16="http://schemas.microsoft.com/office/drawing/2014/chart" uri="{C3380CC4-5D6E-409C-BE32-E72D297353CC}">
                <c16:uniqueId val="{00000001-8D5F-43E0-98CD-AD9C4D902D13}"/>
              </c:ext>
            </c:extLst>
          </c:dPt>
          <c:dPt>
            <c:idx val="1"/>
            <c:bubble3D val="0"/>
            <c:spPr>
              <a:solidFill>
                <a:schemeClr val="accent2"/>
              </a:solidFill>
              <a:ln>
                <a:noFill/>
              </a:ln>
              <a:effectLst/>
            </c:spPr>
            <c:extLst>
              <c:ext xmlns:c16="http://schemas.microsoft.com/office/drawing/2014/chart" uri="{C3380CC4-5D6E-409C-BE32-E72D297353CC}">
                <c16:uniqueId val="{00000003-8D5F-43E0-98CD-AD9C4D902D13}"/>
              </c:ext>
            </c:extLst>
          </c:dPt>
          <c:dPt>
            <c:idx val="2"/>
            <c:bubble3D val="0"/>
            <c:spPr>
              <a:solidFill>
                <a:schemeClr val="accent3"/>
              </a:solidFill>
              <a:ln>
                <a:noFill/>
              </a:ln>
              <a:effectLst/>
            </c:spPr>
            <c:extLst>
              <c:ext xmlns:c16="http://schemas.microsoft.com/office/drawing/2014/chart" uri="{C3380CC4-5D6E-409C-BE32-E72D297353CC}">
                <c16:uniqueId val="{00000005-8D5F-43E0-98CD-AD9C4D902D13}"/>
              </c:ext>
            </c:extLst>
          </c:dPt>
          <c:dPt>
            <c:idx val="3"/>
            <c:bubble3D val="0"/>
            <c:spPr>
              <a:solidFill>
                <a:schemeClr val="accent4"/>
              </a:solidFill>
              <a:ln>
                <a:noFill/>
              </a:ln>
              <a:effectLst/>
            </c:spPr>
            <c:extLst>
              <c:ext xmlns:c16="http://schemas.microsoft.com/office/drawing/2014/chart" uri="{C3380CC4-5D6E-409C-BE32-E72D297353CC}">
                <c16:uniqueId val="{00000007-8D5F-43E0-98CD-AD9C4D902D13}"/>
              </c:ext>
            </c:extLst>
          </c:dPt>
          <c:dLbls>
            <c:dLbl>
              <c:idx val="0"/>
              <c:layout>
                <c:manualLayout>
                  <c:x val="-5.1502145922746836E-2"/>
                  <c:y val="-4.65131656568825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D5F-43E0-98CD-AD9C4D902D13}"/>
                </c:ext>
              </c:extLst>
            </c:dLbl>
            <c:dLbl>
              <c:idx val="1"/>
              <c:layout>
                <c:manualLayout>
                  <c:x val="4.5779685264663805E-2"/>
                  <c:y val="-5.3482037166454135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D5F-43E0-98CD-AD9C4D902D1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inEnd"/>
              <c:showLegendKey val="0"/>
              <c:showVal val="0"/>
              <c:showCatName val="0"/>
              <c:showSerName val="0"/>
              <c:showPercent val="1"/>
              <c:showBubbleSize val="0"/>
              <c:extLst>
                <c:ext xmlns:c16="http://schemas.microsoft.com/office/drawing/2014/chart" uri="{C3380CC4-5D6E-409C-BE32-E72D297353CC}">
                  <c16:uniqueId val="{00000005-8D5F-43E0-98CD-AD9C4D902D1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inEnd"/>
              <c:showLegendKey val="0"/>
              <c:showVal val="0"/>
              <c:showCatName val="0"/>
              <c:showSerName val="0"/>
              <c:showPercent val="1"/>
              <c:showBubbleSize val="0"/>
              <c:extLst>
                <c:ext xmlns:c16="http://schemas.microsoft.com/office/drawing/2014/chart" uri="{C3380CC4-5D6E-409C-BE32-E72D297353CC}">
                  <c16:uniqueId val="{00000007-8D5F-43E0-98CD-AD9C4D902D1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 11-21'!$B$57:$B$60</c:f>
              <c:strCache>
                <c:ptCount val="4"/>
                <c:pt idx="0">
                  <c:v>0-25%:  0</c:v>
                </c:pt>
                <c:pt idx="1">
                  <c:v>26-49%:  0</c:v>
                </c:pt>
                <c:pt idx="2">
                  <c:v>50-75%:  18</c:v>
                </c:pt>
                <c:pt idx="3">
                  <c:v>76-100%:  29</c:v>
                </c:pt>
              </c:strCache>
            </c:strRef>
          </c:cat>
          <c:val>
            <c:numRef>
              <c:f>'Charts 11-21'!$C$57:$C$60</c:f>
              <c:numCache>
                <c:formatCode>0</c:formatCode>
                <c:ptCount val="4"/>
                <c:pt idx="0">
                  <c:v>1</c:v>
                </c:pt>
                <c:pt idx="1">
                  <c:v>0</c:v>
                </c:pt>
                <c:pt idx="2">
                  <c:v>18</c:v>
                </c:pt>
                <c:pt idx="3">
                  <c:v>29</c:v>
                </c:pt>
              </c:numCache>
            </c:numRef>
          </c:val>
          <c:extLst>
            <c:ext xmlns:c16="http://schemas.microsoft.com/office/drawing/2014/chart" uri="{C3380CC4-5D6E-409C-BE32-E72D297353CC}">
              <c16:uniqueId val="{00000008-8D5F-43E0-98CD-AD9C4D902D1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8662797320911739"/>
          <c:y val="0.42555215725390522"/>
          <c:w val="0.17674691574186868"/>
          <c:h val="0.3076944060489659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Projected</c:v>
          </c:tx>
          <c:spPr>
            <a:ln w="28575" cap="rnd">
              <a:solidFill>
                <a:srgbClr val="0070C0"/>
              </a:solidFill>
              <a:round/>
            </a:ln>
            <a:effectLst/>
          </c:spPr>
          <c:marker>
            <c:symbol val="circle"/>
            <c:size val="5"/>
            <c:spPr>
              <a:solidFill>
                <a:schemeClr val="accent1"/>
              </a:solidFill>
              <a:ln w="9525">
                <a:solidFill>
                  <a:srgbClr val="0070C0"/>
                </a:solidFill>
              </a:ln>
              <a:effectLst/>
            </c:spPr>
          </c:marker>
          <c:cat>
            <c:numRef>
              <c:extLst>
                <c:ext xmlns:c15="http://schemas.microsoft.com/office/drawing/2012/chart" uri="{02D57815-91ED-43cb-92C2-25804820EDAC}">
                  <c15:fullRef>
                    <c15:sqref>'Charts 6-10'!$B$1:$P$1</c15:sqref>
                  </c15:fullRef>
                </c:ext>
              </c:extLst>
              <c:f>'Charts 6-10'!$B$1:$J$1</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extLst>
                <c:ext xmlns:c15="http://schemas.microsoft.com/office/drawing/2012/chart" uri="{02D57815-91ED-43cb-92C2-25804820EDAC}">
                  <c15:fullRef>
                    <c15:sqref>'Charts 6-10'!$B$8:$P$8</c15:sqref>
                  </c15:fullRef>
                </c:ext>
              </c:extLst>
              <c:f>'Charts 6-10'!$B$8:$J$8</c:f>
              <c:numCache>
                <c:formatCode>0</c:formatCode>
                <c:ptCount val="9"/>
                <c:pt idx="0">
                  <c:v>101</c:v>
                </c:pt>
                <c:pt idx="1">
                  <c:v>314</c:v>
                </c:pt>
                <c:pt idx="2">
                  <c:v>378</c:v>
                </c:pt>
                <c:pt idx="3">
                  <c:v>598</c:v>
                </c:pt>
                <c:pt idx="4">
                  <c:v>959</c:v>
                </c:pt>
                <c:pt idx="5">
                  <c:v>1507</c:v>
                </c:pt>
                <c:pt idx="6">
                  <c:v>1921</c:v>
                </c:pt>
                <c:pt idx="7">
                  <c:v>2248</c:v>
                </c:pt>
                <c:pt idx="8">
                  <c:v>2526</c:v>
                </c:pt>
              </c:numCache>
            </c:numRef>
          </c:val>
          <c:smooth val="0"/>
          <c:extLst>
            <c:ext xmlns:c16="http://schemas.microsoft.com/office/drawing/2014/chart" uri="{C3380CC4-5D6E-409C-BE32-E72D297353CC}">
              <c16:uniqueId val="{00000000-1B51-4C56-AE3D-CB6CC8D92CD0}"/>
            </c:ext>
          </c:extLst>
        </c:ser>
        <c:ser>
          <c:idx val="1"/>
          <c:order val="1"/>
          <c:tx>
            <c:v>Actual</c:v>
          </c:tx>
          <c:spPr>
            <a:ln w="28575" cap="rnd">
              <a:solidFill>
                <a:srgbClr val="FF0000"/>
              </a:solidFill>
              <a:round/>
            </a:ln>
            <a:effectLst/>
          </c:spPr>
          <c:marker>
            <c:symbol val="circle"/>
            <c:size val="5"/>
            <c:spPr>
              <a:solidFill>
                <a:schemeClr val="accent2"/>
              </a:solidFill>
              <a:ln w="9525">
                <a:solidFill>
                  <a:srgbClr val="FF0000"/>
                </a:solidFill>
              </a:ln>
              <a:effectLst/>
            </c:spPr>
          </c:marker>
          <c:cat>
            <c:numRef>
              <c:extLst>
                <c:ext xmlns:c15="http://schemas.microsoft.com/office/drawing/2012/chart" uri="{02D57815-91ED-43cb-92C2-25804820EDAC}">
                  <c15:fullRef>
                    <c15:sqref>'Charts 6-10'!$B$1:$P$1</c15:sqref>
                  </c15:fullRef>
                </c:ext>
              </c:extLst>
              <c:f>'Charts 6-10'!$B$1:$J$1</c:f>
              <c:numCache>
                <c:formatCode>General</c:formatCode>
                <c:ptCount val="9"/>
                <c:pt idx="0">
                  <c:v>2007</c:v>
                </c:pt>
                <c:pt idx="1">
                  <c:v>2008</c:v>
                </c:pt>
                <c:pt idx="2">
                  <c:v>2009</c:v>
                </c:pt>
                <c:pt idx="3">
                  <c:v>2010</c:v>
                </c:pt>
                <c:pt idx="4">
                  <c:v>2011</c:v>
                </c:pt>
                <c:pt idx="5">
                  <c:v>2012</c:v>
                </c:pt>
                <c:pt idx="6">
                  <c:v>2013</c:v>
                </c:pt>
                <c:pt idx="7">
                  <c:v>2014</c:v>
                </c:pt>
                <c:pt idx="8">
                  <c:v>2015</c:v>
                </c:pt>
                <c:pt idx="9">
                  <c:v>2020</c:v>
                </c:pt>
                <c:pt idx="10">
                  <c:v>2021</c:v>
                </c:pt>
              </c:numCache>
            </c:numRef>
          </c:cat>
          <c:val>
            <c:numRef>
              <c:extLst>
                <c:ext xmlns:c15="http://schemas.microsoft.com/office/drawing/2012/chart" uri="{02D57815-91ED-43cb-92C2-25804820EDAC}">
                  <c15:fullRef>
                    <c15:sqref>'Charts 6-10'!$B$11:$N$11</c15:sqref>
                  </c15:fullRef>
                </c:ext>
              </c:extLst>
              <c:f>'Charts 6-10'!$B$11:$J$11</c:f>
              <c:numCache>
                <c:formatCode>0</c:formatCode>
                <c:ptCount val="9"/>
                <c:pt idx="0">
                  <c:v>262</c:v>
                </c:pt>
                <c:pt idx="1">
                  <c:v>517</c:v>
                </c:pt>
                <c:pt idx="2">
                  <c:v>782</c:v>
                </c:pt>
                <c:pt idx="3">
                  <c:v>1388</c:v>
                </c:pt>
                <c:pt idx="4">
                  <c:v>2232</c:v>
                </c:pt>
                <c:pt idx="5">
                  <c:v>3038</c:v>
                </c:pt>
                <c:pt idx="6">
                  <c:v>3897</c:v>
                </c:pt>
                <c:pt idx="7">
                  <c:v>4750</c:v>
                </c:pt>
                <c:pt idx="8">
                  <c:v>5523</c:v>
                </c:pt>
              </c:numCache>
            </c:numRef>
          </c:val>
          <c:smooth val="0"/>
          <c:extLst>
            <c:ext xmlns:c16="http://schemas.microsoft.com/office/drawing/2014/chart" uri="{C3380CC4-5D6E-409C-BE32-E72D297353CC}">
              <c16:uniqueId val="{00000001-1B51-4C56-AE3D-CB6CC8D92C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63558448"/>
        <c:axId val="490171320"/>
      </c:lineChart>
      <c:catAx>
        <c:axId val="16355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0171320"/>
        <c:crosses val="autoZero"/>
        <c:auto val="1"/>
        <c:lblAlgn val="ctr"/>
        <c:lblOffset val="100"/>
        <c:noMultiLvlLbl val="0"/>
      </c:catAx>
      <c:valAx>
        <c:axId val="490171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63558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oddFooter>&amp;R&amp;8&amp;D</c:oddFooter>
    </c:headerFooter>
    <c:pageMargins b="0.75" l="0.7" r="0.7" t="0.75" header="0.3" footer="0.3"/>
    <c:pageSetup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Projected</c:v>
          </c:tx>
          <c:spPr>
            <a:ln w="28575" cap="rnd">
              <a:solidFill>
                <a:srgbClr val="0070C0"/>
              </a:solidFill>
              <a:round/>
            </a:ln>
            <a:effectLst/>
          </c:spPr>
          <c:marker>
            <c:symbol val="circle"/>
            <c:size val="5"/>
            <c:spPr>
              <a:solidFill>
                <a:schemeClr val="accent1"/>
              </a:solidFill>
              <a:ln w="9525">
                <a:solidFill>
                  <a:srgbClr val="0070C0"/>
                </a:solidFill>
              </a:ln>
              <a:effectLst/>
            </c:spPr>
          </c:marker>
          <c:cat>
            <c:numRef>
              <c:extLst>
                <c:ext xmlns:c15="http://schemas.microsoft.com/office/drawing/2012/chart" uri="{02D57815-91ED-43cb-92C2-25804820EDAC}">
                  <c15:fullRef>
                    <c15:sqref>'Charts 6-10'!$B$1:$P$1</c15:sqref>
                  </c15:fullRef>
                </c:ext>
              </c:extLst>
              <c:f>'Charts 6-10'!$B$1:$J$1</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extLst>
                <c:ext xmlns:c15="http://schemas.microsoft.com/office/drawing/2012/chart" uri="{02D57815-91ED-43cb-92C2-25804820EDAC}">
                  <c15:fullRef>
                    <c15:sqref>'Charts 6-10'!$B$9:$P$9</c15:sqref>
                  </c15:fullRef>
                </c:ext>
              </c:extLst>
              <c:f>'Charts 6-10'!$B$9:$J$9</c:f>
              <c:numCache>
                <c:formatCode>_("$"* #,##0_);_("$"* \(#,##0\);_("$"* "-"??_);_(@_)</c:formatCode>
                <c:ptCount val="9"/>
                <c:pt idx="0">
                  <c:v>3438000</c:v>
                </c:pt>
                <c:pt idx="1">
                  <c:v>10380837</c:v>
                </c:pt>
                <c:pt idx="2">
                  <c:v>14230637</c:v>
                </c:pt>
                <c:pt idx="3">
                  <c:v>26934385</c:v>
                </c:pt>
                <c:pt idx="4">
                  <c:v>43593835</c:v>
                </c:pt>
                <c:pt idx="5">
                  <c:v>69919743</c:v>
                </c:pt>
                <c:pt idx="6">
                  <c:v>88711166</c:v>
                </c:pt>
                <c:pt idx="7">
                  <c:v>103193417</c:v>
                </c:pt>
                <c:pt idx="8">
                  <c:v>116566100</c:v>
                </c:pt>
              </c:numCache>
            </c:numRef>
          </c:val>
          <c:smooth val="0"/>
          <c:extLst>
            <c:ext xmlns:c16="http://schemas.microsoft.com/office/drawing/2014/chart" uri="{C3380CC4-5D6E-409C-BE32-E72D297353CC}">
              <c16:uniqueId val="{00000000-FDC8-4486-B700-81FF843FD22E}"/>
            </c:ext>
          </c:extLst>
        </c:ser>
        <c:ser>
          <c:idx val="1"/>
          <c:order val="1"/>
          <c:tx>
            <c:v>Actual</c:v>
          </c:tx>
          <c:spPr>
            <a:ln w="28575" cap="rnd">
              <a:solidFill>
                <a:srgbClr val="FF0000"/>
              </a:solidFill>
              <a:round/>
            </a:ln>
            <a:effectLst/>
          </c:spPr>
          <c:marker>
            <c:symbol val="circle"/>
            <c:size val="5"/>
            <c:spPr>
              <a:solidFill>
                <a:schemeClr val="accent2"/>
              </a:solidFill>
              <a:ln w="9525">
                <a:solidFill>
                  <a:srgbClr val="FF0000"/>
                </a:solidFill>
              </a:ln>
              <a:effectLst/>
            </c:spPr>
          </c:marker>
          <c:cat>
            <c:numRef>
              <c:extLst>
                <c:ext xmlns:c15="http://schemas.microsoft.com/office/drawing/2012/chart" uri="{02D57815-91ED-43cb-92C2-25804820EDAC}">
                  <c15:fullRef>
                    <c15:sqref>'Charts 6-10'!$B$1:$P$1</c15:sqref>
                  </c15:fullRef>
                </c:ext>
              </c:extLst>
              <c:f>'Charts 6-10'!$B$1:$J$1</c:f>
              <c:numCache>
                <c:formatCode>General</c:formatCode>
                <c:ptCount val="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'Charts 6-10'!$B$12:$J$12</c15:sqref>
                  </c15:fullRef>
                </c:ext>
              </c:extLst>
              <c:f>'Charts 6-10'!$B$12:$J$12</c:f>
              <c:numCache>
                <c:formatCode>_("$"* #,##0_);_("$"* \(#,##0\);_("$"* "-"??_);_(@_)</c:formatCode>
                <c:ptCount val="9"/>
                <c:pt idx="0">
                  <c:v>10621976</c:v>
                </c:pt>
                <c:pt idx="1">
                  <c:v>19836028</c:v>
                </c:pt>
                <c:pt idx="2">
                  <c:v>35973496</c:v>
                </c:pt>
                <c:pt idx="3">
                  <c:v>70529222</c:v>
                </c:pt>
                <c:pt idx="4">
                  <c:v>124798982</c:v>
                </c:pt>
                <c:pt idx="5">
                  <c:v>187097847</c:v>
                </c:pt>
                <c:pt idx="6">
                  <c:v>242588079</c:v>
                </c:pt>
                <c:pt idx="7">
                  <c:v>293543214</c:v>
                </c:pt>
                <c:pt idx="8">
                  <c:v>332720484</c:v>
                </c:pt>
              </c:numCache>
            </c:numRef>
          </c:val>
          <c:smooth val="0"/>
          <c:extLst>
            <c:ext xmlns:c16="http://schemas.microsoft.com/office/drawing/2014/chart" uri="{C3380CC4-5D6E-409C-BE32-E72D297353CC}">
              <c16:uniqueId val="{00000001-FDC8-4486-B700-81FF843FD22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496295040"/>
        <c:axId val="496295432"/>
      </c:lineChart>
      <c:catAx>
        <c:axId val="49629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6295432"/>
        <c:crosses val="autoZero"/>
        <c:auto val="1"/>
        <c:lblAlgn val="ctr"/>
        <c:lblOffset val="100"/>
        <c:noMultiLvlLbl val="0"/>
      </c:catAx>
      <c:valAx>
        <c:axId val="4962954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6295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oddFooter>&amp;R&amp;8&amp;D</c:oddFooter>
    </c:headerFooter>
    <c:pageMargins b="0.75" l="0.7" r="0.7" t="0.75" header="0.3" footer="0.3"/>
    <c:pageSetup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436496736709"/>
          <c:y val="6.8825379621069632E-2"/>
          <c:w val="0.84406366664972288"/>
          <c:h val="0.80837929165736877"/>
        </c:manualLayout>
      </c:layout>
      <c:lineChart>
        <c:grouping val="standard"/>
        <c:varyColors val="0"/>
        <c:ser>
          <c:idx val="0"/>
          <c:order val="0"/>
          <c:tx>
            <c:v>Projected</c:v>
          </c:tx>
          <c:spPr>
            <a:ln w="28575" cap="rnd">
              <a:solidFill>
                <a:srgbClr val="0070C0"/>
              </a:solidFill>
              <a:round/>
            </a:ln>
            <a:effectLst/>
          </c:spPr>
          <c:marker>
            <c:symbol val="circle"/>
            <c:size val="5"/>
            <c:spPr>
              <a:solidFill>
                <a:schemeClr val="accent1"/>
              </a:solidFill>
              <a:ln w="9525">
                <a:solidFill>
                  <a:srgbClr val="0070C0"/>
                </a:solidFill>
              </a:ln>
              <a:effectLst/>
            </c:spPr>
          </c:marker>
          <c:cat>
            <c:numRef>
              <c:extLst>
                <c:ext xmlns:c15="http://schemas.microsoft.com/office/drawing/2012/chart" uri="{02D57815-91ED-43cb-92C2-25804820EDAC}">
                  <c15:fullRef>
                    <c15:sqref>'Charts 6-10'!$B$1:$N$1</c15:sqref>
                  </c15:fullRef>
                </c:ext>
              </c:extLst>
              <c:f>'Charts 6-10'!$B$1:$J$1</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extLst>
                <c:ext xmlns:c15="http://schemas.microsoft.com/office/drawing/2012/chart" uri="{02D57815-91ED-43cb-92C2-25804820EDAC}">
                  <c15:fullRef>
                    <c15:sqref>'Charts 6-10'!$B$10:$P$10</c15:sqref>
                  </c15:fullRef>
                </c:ext>
              </c:extLst>
              <c:f>'Charts 6-10'!$B$10:$J$10</c:f>
              <c:numCache>
                <c:formatCode>_("$"* #,##0_);_("$"* \(#,##0\);_("$"* "-"??_);_(@_)</c:formatCode>
                <c:ptCount val="9"/>
                <c:pt idx="0">
                  <c:v>13677077</c:v>
                </c:pt>
                <c:pt idx="1">
                  <c:v>25463347</c:v>
                </c:pt>
                <c:pt idx="2">
                  <c:v>39634347</c:v>
                </c:pt>
                <c:pt idx="3">
                  <c:v>60397347</c:v>
                </c:pt>
                <c:pt idx="4">
                  <c:v>123589946</c:v>
                </c:pt>
                <c:pt idx="5">
                  <c:v>289743786</c:v>
                </c:pt>
                <c:pt idx="6">
                  <c:v>422981130</c:v>
                </c:pt>
                <c:pt idx="7">
                  <c:v>551574450</c:v>
                </c:pt>
                <c:pt idx="8">
                  <c:v>580186114</c:v>
                </c:pt>
              </c:numCache>
            </c:numRef>
          </c:val>
          <c:smooth val="0"/>
          <c:extLst>
            <c:ext xmlns:c16="http://schemas.microsoft.com/office/drawing/2014/chart" uri="{C3380CC4-5D6E-409C-BE32-E72D297353CC}">
              <c16:uniqueId val="{00000000-3C47-400B-8F9D-4E6042A9A93C}"/>
            </c:ext>
          </c:extLst>
        </c:ser>
        <c:ser>
          <c:idx val="1"/>
          <c:order val="1"/>
          <c:tx>
            <c:v>Actual</c:v>
          </c:tx>
          <c:spPr>
            <a:ln w="28575" cap="rnd">
              <a:solidFill>
                <a:srgbClr val="FF0000"/>
              </a:solidFill>
              <a:round/>
            </a:ln>
            <a:effectLst/>
          </c:spPr>
          <c:marker>
            <c:symbol val="circle"/>
            <c:size val="5"/>
            <c:spPr>
              <a:solidFill>
                <a:schemeClr val="accent2"/>
              </a:solidFill>
              <a:ln w="9525">
                <a:solidFill>
                  <a:srgbClr val="FF0000"/>
                </a:solidFill>
              </a:ln>
              <a:effectLst/>
            </c:spPr>
          </c:marker>
          <c:cat>
            <c:numRef>
              <c:extLst>
                <c:ext xmlns:c15="http://schemas.microsoft.com/office/drawing/2012/chart" uri="{02D57815-91ED-43cb-92C2-25804820EDAC}">
                  <c15:fullRef>
                    <c15:sqref>'Charts 6-10'!$B$1:$N$1</c15:sqref>
                  </c15:fullRef>
                </c:ext>
              </c:extLst>
              <c:f>'Charts 6-10'!$B$1:$J$1</c:f>
              <c:numCache>
                <c:formatCode>General</c:formatCode>
                <c:ptCount val="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extLst>
                <c:ext xmlns:c15="http://schemas.microsoft.com/office/drawing/2012/chart" uri="{02D57815-91ED-43cb-92C2-25804820EDAC}">
                  <c15:fullRef>
                    <c15:sqref>'Charts 6-10'!$B$13:$J$13</c15:sqref>
                  </c15:fullRef>
                </c:ext>
              </c:extLst>
              <c:f>'Charts 6-10'!$B$13:$J$13</c:f>
              <c:numCache>
                <c:formatCode>_("$"* #,##0_);_("$"* \(#,##0\);_("$"* "-"??_);_(@_)</c:formatCode>
                <c:ptCount val="9"/>
                <c:pt idx="0">
                  <c:v>22546350</c:v>
                </c:pt>
                <c:pt idx="1">
                  <c:v>35934936</c:v>
                </c:pt>
                <c:pt idx="2">
                  <c:v>64035811</c:v>
                </c:pt>
                <c:pt idx="3">
                  <c:v>111511260</c:v>
                </c:pt>
                <c:pt idx="4">
                  <c:v>232924173</c:v>
                </c:pt>
                <c:pt idx="5">
                  <c:v>495413446</c:v>
                </c:pt>
                <c:pt idx="6">
                  <c:v>623443521</c:v>
                </c:pt>
                <c:pt idx="7">
                  <c:v>682684662</c:v>
                </c:pt>
                <c:pt idx="8">
                  <c:v>771631552</c:v>
                </c:pt>
              </c:numCache>
            </c:numRef>
          </c:val>
          <c:smooth val="0"/>
          <c:extLst>
            <c:ext xmlns:c16="http://schemas.microsoft.com/office/drawing/2014/chart" uri="{C3380CC4-5D6E-409C-BE32-E72D297353CC}">
              <c16:uniqueId val="{00000001-3C47-400B-8F9D-4E6042A9A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496296216"/>
        <c:axId val="496296608"/>
      </c:lineChart>
      <c:catAx>
        <c:axId val="49629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6296608"/>
        <c:crosses val="autoZero"/>
        <c:auto val="1"/>
        <c:lblAlgn val="ctr"/>
        <c:lblOffset val="100"/>
        <c:noMultiLvlLbl val="0"/>
      </c:catAx>
      <c:valAx>
        <c:axId val="4962966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6296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oddFooter>&amp;R&amp;8&amp;D</c:oddFooter>
    </c:headerFooter>
    <c:pageMargins b="0.75" l="0.7" r="0.7" t="0.75" header="0.3" footer="0.3"/>
    <c:pageSetup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2433463631775"/>
          <c:y val="1.7562013381420848E-2"/>
          <c:w val="0.86744035261625552"/>
          <c:h val="0.89065302089037435"/>
        </c:manualLayout>
      </c:layout>
      <c:lineChart>
        <c:grouping val="standard"/>
        <c:varyColors val="0"/>
        <c:ser>
          <c:idx val="0"/>
          <c:order val="0"/>
          <c:spPr>
            <a:ln w="28575" cap="rnd">
              <a:solidFill>
                <a:srgbClr val="0070C0"/>
              </a:solidFill>
              <a:round/>
            </a:ln>
            <a:effectLst/>
          </c:spPr>
          <c:marker>
            <c:symbol val="circle"/>
            <c:size val="5"/>
            <c:spPr>
              <a:solidFill>
                <a:schemeClr val="accent1"/>
              </a:solidFill>
              <a:ln w="9525">
                <a:solidFill>
                  <a:srgbClr val="0070C0"/>
                </a:solidFill>
              </a:ln>
              <a:effectLst/>
            </c:spPr>
          </c:marker>
          <c:cat>
            <c:numRef>
              <c:extLst>
                <c:ext xmlns:c15="http://schemas.microsoft.com/office/drawing/2012/chart" uri="{02D57815-91ED-43cb-92C2-25804820EDAC}">
                  <c15:fullRef>
                    <c15:sqref>'Charts 6-10'!$B$1:$P$1</c15:sqref>
                  </c15:fullRef>
                </c:ext>
              </c:extLst>
              <c:f>('Charts 6-10'!$B$1:$J$1,'Charts 6-10'!$P$1)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'Charts 6-10'!$B$17:$J$17</c15:sqref>
                  </c15:fullRef>
                </c:ext>
              </c:extLst>
              <c:f>'Charts 6-10'!$B$17:$J$17</c:f>
              <c:numCache>
                <c:formatCode>_("$"* #,##0_);_("$"* \(#,##0\);_("$"* "-"??_);_(@_)</c:formatCode>
                <c:ptCount val="9"/>
                <c:pt idx="0">
                  <c:v>123712</c:v>
                </c:pt>
                <c:pt idx="1">
                  <c:v>522424.4</c:v>
                </c:pt>
                <c:pt idx="2">
                  <c:v>1019460.66</c:v>
                </c:pt>
                <c:pt idx="3">
                  <c:v>2050840.7747205126</c:v>
                </c:pt>
                <c:pt idx="4">
                  <c:v>3640936.5667810719</c:v>
                </c:pt>
                <c:pt idx="5">
                  <c:v>6657415.2124631312</c:v>
                </c:pt>
                <c:pt idx="6">
                  <c:v>10795394.831561511</c:v>
                </c:pt>
                <c:pt idx="7">
                  <c:v>15368754.318144495</c:v>
                </c:pt>
                <c:pt idx="8">
                  <c:v>19993786.508416075</c:v>
                </c:pt>
              </c:numCache>
            </c:numRef>
          </c:val>
          <c:smooth val="0"/>
          <c:extLst>
            <c:ext xmlns:c16="http://schemas.microsoft.com/office/drawing/2014/chart" uri="{C3380CC4-5D6E-409C-BE32-E72D297353CC}">
              <c16:uniqueId val="{00000000-A20F-4070-B4EC-BE098C888745}"/>
            </c:ext>
          </c:extLst>
        </c:ser>
        <c:ser>
          <c:idx val="1"/>
          <c:order val="1"/>
          <c:tx>
            <c:v>Actual</c:v>
          </c:tx>
          <c:spPr>
            <a:ln w="28575" cap="rnd">
              <a:solidFill>
                <a:srgbClr val="FF0000"/>
              </a:solidFill>
              <a:round/>
            </a:ln>
            <a:effectLst/>
          </c:spPr>
          <c:marker>
            <c:symbol val="circle"/>
            <c:size val="5"/>
            <c:spPr>
              <a:solidFill>
                <a:schemeClr val="accent2"/>
              </a:solidFill>
              <a:ln w="9525">
                <a:solidFill>
                  <a:srgbClr val="FF0000"/>
                </a:solidFill>
              </a:ln>
              <a:effectLst/>
            </c:spPr>
          </c:marker>
          <c:cat>
            <c:numRef>
              <c:extLst>
                <c:ext xmlns:c15="http://schemas.microsoft.com/office/drawing/2012/chart" uri="{02D57815-91ED-43cb-92C2-25804820EDAC}">
                  <c15:fullRef>
                    <c15:sqref>'Charts 6-10'!$B$1:$P$1</c15:sqref>
                  </c15:fullRef>
                </c:ext>
              </c:extLst>
              <c:f>('Charts 6-10'!$B$1:$J$1,'Charts 6-10'!$P$1)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'Charts 6-10'!$B$18:$J$18</c15:sqref>
                  </c15:fullRef>
                </c:ext>
              </c:extLst>
              <c:f>'Charts 6-10'!$B$18:$J$18</c:f>
              <c:numCache>
                <c:formatCode>_("$"* #,##0_);_("$"* \(#,##0\);_("$"* "-"??_);_(@_)</c:formatCode>
                <c:ptCount val="9"/>
                <c:pt idx="0">
                  <c:v>208653</c:v>
                </c:pt>
                <c:pt idx="1">
                  <c:v>752763</c:v>
                </c:pt>
                <c:pt idx="2">
                  <c:v>1407133</c:v>
                </c:pt>
                <c:pt idx="3">
                  <c:v>2656866</c:v>
                </c:pt>
                <c:pt idx="4">
                  <c:v>4509129</c:v>
                </c:pt>
                <c:pt idx="5">
                  <c:v>7413064</c:v>
                </c:pt>
                <c:pt idx="6">
                  <c:v>11164792</c:v>
                </c:pt>
                <c:pt idx="7">
                  <c:v>15381849</c:v>
                </c:pt>
                <c:pt idx="8">
                  <c:v>18855465</c:v>
                </c:pt>
              </c:numCache>
            </c:numRef>
          </c:val>
          <c:smooth val="0"/>
          <c:extLst>
            <c:ext xmlns:c16="http://schemas.microsoft.com/office/drawing/2014/chart" uri="{C3380CC4-5D6E-409C-BE32-E72D297353CC}">
              <c16:uniqueId val="{00000001-A20F-4070-B4EC-BE098C88874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496297392"/>
        <c:axId val="496297784"/>
      </c:lineChart>
      <c:catAx>
        <c:axId val="49629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6297784"/>
        <c:crossesAt val="0"/>
        <c:auto val="1"/>
        <c:lblAlgn val="ctr"/>
        <c:lblOffset val="100"/>
        <c:noMultiLvlLbl val="0"/>
      </c:catAx>
      <c:valAx>
        <c:axId val="496297784"/>
        <c:scaling>
          <c:orientation val="minMax"/>
          <c:max val="27000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_(&quot;$&quot;* #,##0_);_(&quot;$&quot;* \(#,##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6297392"/>
        <c:crosses val="autoZero"/>
        <c:crossBetween val="between"/>
        <c:majorUnit val="2000000"/>
        <c:minorUnit val="2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oddFooter>&amp;R&amp;8&amp;D</c:oddFooter>
    </c:headerFooter>
    <c:pageMargins b="0.75" l="0.7" r="0.7" t="0.75" header="0.3" footer="0.3"/>
    <c:pageSetup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Chart 12</a:t>
            </a:r>
          </a:p>
          <a:p>
            <a:pPr>
              <a:defRPr/>
            </a:pPr>
            <a:r>
              <a:rPr lang="en-US" sz="1600"/>
              <a:t>Projected Job Types</a:t>
            </a:r>
          </a:p>
        </c:rich>
      </c:tx>
      <c:overlay val="0"/>
    </c:title>
    <c:autoTitleDeleted val="0"/>
    <c:plotArea>
      <c:layout/>
      <c:pieChart>
        <c:varyColors val="1"/>
        <c:ser>
          <c:idx val="0"/>
          <c:order val="0"/>
          <c:dPt>
            <c:idx val="3"/>
            <c:bubble3D val="0"/>
            <c:spPr>
              <a:solidFill>
                <a:schemeClr val="accent4">
                  <a:lumMod val="60000"/>
                  <a:lumOff val="40000"/>
                </a:schemeClr>
              </a:solidFill>
            </c:spPr>
            <c:extLst>
              <c:ext xmlns:c16="http://schemas.microsoft.com/office/drawing/2014/chart" uri="{C3380CC4-5D6E-409C-BE32-E72D297353CC}">
                <c16:uniqueId val="{00000001-63BF-4C25-9499-41D08F906BE8}"/>
              </c:ext>
            </c:extLst>
          </c:dPt>
          <c:dPt>
            <c:idx val="7"/>
            <c:bubble3D val="0"/>
            <c:spPr>
              <a:solidFill>
                <a:srgbClr val="FF0000"/>
              </a:solidFill>
            </c:spPr>
            <c:extLst>
              <c:ext xmlns:c16="http://schemas.microsoft.com/office/drawing/2014/chart" uri="{C3380CC4-5D6E-409C-BE32-E72D297353CC}">
                <c16:uniqueId val="{00000003-63BF-4C25-9499-41D08F906BE8}"/>
              </c:ext>
            </c:extLst>
          </c:dPt>
          <c:dLbls>
            <c:spPr>
              <a:noFill/>
              <a:ln>
                <a:noFill/>
              </a:ln>
              <a:effectLst/>
            </c:spPr>
            <c:txPr>
              <a:bodyPr wrap="square" lIns="38100" tIns="19050" rIns="38100" bIns="19050" anchor="ctr">
                <a:spAutoFit/>
              </a:bodyPr>
              <a:lstStyle/>
              <a:p>
                <a:pPr>
                  <a:defRPr b="1"/>
                </a:pPr>
                <a:endParaRPr lang="en-US"/>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'Charts 11-21'!$A$31:$A$42</c:f>
              <c:strCache>
                <c:ptCount val="12"/>
                <c:pt idx="0">
                  <c:v>Administrative/Office</c:v>
                </c:pt>
                <c:pt idx="1">
                  <c:v>Accounting/Bookeeping/Finance/Tax/Legal/HR</c:v>
                </c:pt>
                <c:pt idx="2">
                  <c:v>Customer Service/Support</c:v>
                </c:pt>
                <c:pt idx="3">
                  <c:v>Engineers</c:v>
                </c:pt>
                <c:pt idx="4">
                  <c:v>Executives</c:v>
                </c:pt>
                <c:pt idx="5">
                  <c:v>IT/Technology</c:v>
                </c:pt>
                <c:pt idx="6">
                  <c:v>Managers/Supervisors</c:v>
                </c:pt>
                <c:pt idx="7">
                  <c:v>Marketing/Sales</c:v>
                </c:pt>
                <c:pt idx="8">
                  <c:v>Miscellaneous</c:v>
                </c:pt>
                <c:pt idx="9">
                  <c:v>Production</c:v>
                </c:pt>
                <c:pt idx="10">
                  <c:v>Purchasing/Inventory/Shipping/Maint</c:v>
                </c:pt>
                <c:pt idx="11">
                  <c:v>Quality Assurance/Control</c:v>
                </c:pt>
              </c:strCache>
            </c:strRef>
          </c:cat>
          <c:val>
            <c:numRef>
              <c:f>'Charts 11-21'!$B$31:$B$42</c:f>
              <c:numCache>
                <c:formatCode>0</c:formatCode>
                <c:ptCount val="12"/>
                <c:pt idx="0">
                  <c:v>92</c:v>
                </c:pt>
                <c:pt idx="1">
                  <c:v>159</c:v>
                </c:pt>
                <c:pt idx="2">
                  <c:v>177</c:v>
                </c:pt>
                <c:pt idx="3">
                  <c:v>171</c:v>
                </c:pt>
                <c:pt idx="4">
                  <c:v>30</c:v>
                </c:pt>
                <c:pt idx="5">
                  <c:v>266</c:v>
                </c:pt>
                <c:pt idx="6">
                  <c:v>174</c:v>
                </c:pt>
                <c:pt idx="7">
                  <c:v>66</c:v>
                </c:pt>
                <c:pt idx="8">
                  <c:v>153</c:v>
                </c:pt>
                <c:pt idx="9">
                  <c:v>1811</c:v>
                </c:pt>
                <c:pt idx="10">
                  <c:v>95</c:v>
                </c:pt>
                <c:pt idx="11">
                  <c:v>61</c:v>
                </c:pt>
              </c:numCache>
            </c:numRef>
          </c:val>
          <c:extLst>
            <c:ext xmlns:c16="http://schemas.microsoft.com/office/drawing/2014/chart" uri="{C3380CC4-5D6E-409C-BE32-E72D297353CC}">
              <c16:uniqueId val="{00000006-63BF-4C25-9499-41D08F906BE8}"/>
            </c:ext>
          </c:extLst>
        </c:ser>
        <c:ser>
          <c:idx val="1"/>
          <c:order val="1"/>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'Charts 11-21'!$A$31:$A$42</c:f>
              <c:strCache>
                <c:ptCount val="12"/>
                <c:pt idx="0">
                  <c:v>Administrative/Office</c:v>
                </c:pt>
                <c:pt idx="1">
                  <c:v>Accounting/Bookeeping/Finance/Tax/Legal/HR</c:v>
                </c:pt>
                <c:pt idx="2">
                  <c:v>Customer Service/Support</c:v>
                </c:pt>
                <c:pt idx="3">
                  <c:v>Engineers</c:v>
                </c:pt>
                <c:pt idx="4">
                  <c:v>Executives</c:v>
                </c:pt>
                <c:pt idx="5">
                  <c:v>IT/Technology</c:v>
                </c:pt>
                <c:pt idx="6">
                  <c:v>Managers/Supervisors</c:v>
                </c:pt>
                <c:pt idx="7">
                  <c:v>Marketing/Sales</c:v>
                </c:pt>
                <c:pt idx="8">
                  <c:v>Miscellaneous</c:v>
                </c:pt>
                <c:pt idx="9">
                  <c:v>Production</c:v>
                </c:pt>
                <c:pt idx="10">
                  <c:v>Purchasing/Inventory/Shipping/Maint</c:v>
                </c:pt>
                <c:pt idx="11">
                  <c:v>Quality Assurance/Control</c:v>
                </c:pt>
              </c:strCache>
            </c:strRef>
          </c:cat>
          <c:val>
            <c:numRef>
              <c:f>'Charts 11-21'!$C$31:$C$42</c:f>
              <c:numCache>
                <c:formatCode>0%</c:formatCode>
                <c:ptCount val="12"/>
                <c:pt idx="0">
                  <c:v>2.7861901877649909E-2</c:v>
                </c:pt>
                <c:pt idx="1">
                  <c:v>4.8152634766807992E-2</c:v>
                </c:pt>
                <c:pt idx="2">
                  <c:v>5.3603876438522109E-2</c:v>
                </c:pt>
                <c:pt idx="3">
                  <c:v>5.178679588128407E-2</c:v>
                </c:pt>
                <c:pt idx="4">
                  <c:v>9.085402786190187E-3</c:v>
                </c:pt>
                <c:pt idx="5">
                  <c:v>8.0557238037552992E-2</c:v>
                </c:pt>
                <c:pt idx="6">
                  <c:v>5.2695336159903086E-2</c:v>
                </c:pt>
                <c:pt idx="7">
                  <c:v>1.9987886129618413E-2</c:v>
                </c:pt>
                <c:pt idx="8">
                  <c:v>4.633555420956996E-2</c:v>
                </c:pt>
                <c:pt idx="9">
                  <c:v>0.54845548152634771</c:v>
                </c:pt>
                <c:pt idx="10">
                  <c:v>2.8770442156268929E-2</c:v>
                </c:pt>
                <c:pt idx="11">
                  <c:v>1.8473652331920047E-2</c:v>
                </c:pt>
              </c:numCache>
            </c:numRef>
          </c:val>
          <c:extLst>
            <c:ext xmlns:c16="http://schemas.microsoft.com/office/drawing/2014/chart" uri="{C3380CC4-5D6E-409C-BE32-E72D297353CC}">
              <c16:uniqueId val="{00000007-63BF-4C25-9499-41D08F906BE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8302964169435656"/>
          <c:y val="0.14739139425753597"/>
          <c:w val="0.40256366030846313"/>
          <c:h val="0.80939413823272088"/>
        </c:manualLayout>
      </c:layout>
      <c:overlay val="0"/>
    </c:legend>
    <c:plotVisOnly val="1"/>
    <c:dispBlanksAs val="zero"/>
    <c:showDLblsOverMax val="0"/>
  </c:chart>
  <c:printSettings>
    <c:headerFooter/>
    <c:pageMargins b="0.75000000000000711" l="0.70000000000000062" r="0.70000000000000062" t="0.75000000000000711"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Chart 14</a:t>
            </a:r>
          </a:p>
          <a:p>
            <a:pPr>
              <a:defRPr/>
            </a:pPr>
            <a:r>
              <a:rPr lang="en-US" sz="1600"/>
              <a:t>Size</a:t>
            </a:r>
            <a:r>
              <a:rPr lang="en-US" sz="1600" baseline="0"/>
              <a:t> of Business</a:t>
            </a:r>
          </a:p>
          <a:p>
            <a:pPr>
              <a:defRPr/>
            </a:pPr>
            <a:r>
              <a:rPr lang="en-US" sz="1200" baseline="0"/>
              <a:t>(By # of FT Employees at Time of Application)</a:t>
            </a:r>
            <a:endParaRPr lang="en-US" sz="1200"/>
          </a:p>
        </c:rich>
      </c:tx>
      <c:overlay val="0"/>
    </c:title>
    <c:autoTitleDeleted val="0"/>
    <c:plotArea>
      <c:layout>
        <c:manualLayout>
          <c:layoutTarget val="inner"/>
          <c:xMode val="edge"/>
          <c:yMode val="edge"/>
          <c:x val="0.18510647401679173"/>
          <c:y val="0.30480426103088937"/>
          <c:w val="0.39124622344672128"/>
          <c:h val="0.64103208597296646"/>
        </c:manualLayout>
      </c:layout>
      <c:pieChart>
        <c:varyColors val="1"/>
        <c:ser>
          <c:idx val="0"/>
          <c:order val="0"/>
          <c:dPt>
            <c:idx val="0"/>
            <c:bubble3D val="0"/>
            <c:spPr>
              <a:solidFill>
                <a:schemeClr val="accent1">
                  <a:lumMod val="75000"/>
                </a:schemeClr>
              </a:solidFill>
            </c:spPr>
            <c:extLst>
              <c:ext xmlns:c16="http://schemas.microsoft.com/office/drawing/2014/chart" uri="{C3380CC4-5D6E-409C-BE32-E72D297353CC}">
                <c16:uniqueId val="{00000001-5A7B-4431-80FF-9269E1DC8688}"/>
              </c:ext>
            </c:extLst>
          </c:dPt>
          <c:dLbls>
            <c:spPr>
              <a:noFill/>
              <a:ln>
                <a:noFill/>
              </a:ln>
              <a:effectLst/>
            </c:spPr>
            <c:txPr>
              <a:bodyPr wrap="square" lIns="38100" tIns="19050" rIns="38100" bIns="19050" anchor="ctr">
                <a:spAutoFit/>
              </a:bodyPr>
              <a:lstStyle/>
              <a:p>
                <a:pPr>
                  <a:defRPr b="1"/>
                </a:pPr>
                <a:endParaRPr lang="en-US"/>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'Charts 11-21'!$A$78:$A$85</c:f>
              <c:strCache>
                <c:ptCount val="8"/>
                <c:pt idx="0">
                  <c:v>0-20:  12</c:v>
                </c:pt>
                <c:pt idx="1">
                  <c:v>21-50:  7</c:v>
                </c:pt>
                <c:pt idx="2">
                  <c:v>51-75:  7</c:v>
                </c:pt>
                <c:pt idx="3">
                  <c:v>76-100:  2</c:v>
                </c:pt>
                <c:pt idx="4">
                  <c:v>101-150:  6</c:v>
                </c:pt>
                <c:pt idx="5">
                  <c:v>151-200:  3</c:v>
                </c:pt>
                <c:pt idx="6">
                  <c:v>201-500:  6</c:v>
                </c:pt>
                <c:pt idx="7">
                  <c:v>500+:  5</c:v>
                </c:pt>
              </c:strCache>
            </c:strRef>
          </c:cat>
          <c:val>
            <c:numRef>
              <c:f>'Charts 11-21'!$B$78:$B$85</c:f>
              <c:numCache>
                <c:formatCode>0</c:formatCode>
                <c:ptCount val="8"/>
                <c:pt idx="0">
                  <c:v>12</c:v>
                </c:pt>
                <c:pt idx="1">
                  <c:v>7</c:v>
                </c:pt>
                <c:pt idx="2">
                  <c:v>7</c:v>
                </c:pt>
                <c:pt idx="3">
                  <c:v>2</c:v>
                </c:pt>
                <c:pt idx="4">
                  <c:v>6</c:v>
                </c:pt>
                <c:pt idx="5">
                  <c:v>3</c:v>
                </c:pt>
                <c:pt idx="6">
                  <c:v>6</c:v>
                </c:pt>
                <c:pt idx="7">
                  <c:v>5</c:v>
                </c:pt>
              </c:numCache>
            </c:numRef>
          </c:val>
          <c:extLst>
            <c:ext xmlns:c16="http://schemas.microsoft.com/office/drawing/2014/chart" uri="{C3380CC4-5D6E-409C-BE32-E72D297353CC}">
              <c16:uniqueId val="{00000006-5A7B-4431-80FF-9269E1DC868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1115419947506566"/>
          <c:y val="0.29286271507728223"/>
          <c:w val="0.19717913385826771"/>
          <c:h val="0.66973753280841153"/>
        </c:manualLayout>
      </c:layout>
      <c:overlay val="0"/>
    </c:legend>
    <c:plotVisOnly val="1"/>
    <c:dispBlanksAs val="zero"/>
    <c:showDLblsOverMax val="0"/>
  </c:chart>
  <c:printSettings>
    <c:headerFooter/>
    <c:pageMargins b="0.75000000000000711" l="0.70000000000000062" r="0.70000000000000062" t="0.75000000000000711"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600"/>
              <a:t>Chart 15</a:t>
            </a:r>
          </a:p>
          <a:p>
            <a:pPr algn="ctr">
              <a:defRPr/>
            </a:pPr>
            <a:r>
              <a:rPr lang="en-US" sz="1600"/>
              <a:t>Type of Economic Development Project</a:t>
            </a:r>
          </a:p>
          <a:p>
            <a:pPr algn="ctr">
              <a:defRPr/>
            </a:pPr>
            <a:r>
              <a:rPr lang="en-US" sz="1200"/>
              <a:t>(Percentage of Total Number of Projects)</a:t>
            </a:r>
          </a:p>
        </c:rich>
      </c:tx>
      <c:layout>
        <c:manualLayout>
          <c:xMode val="edge"/>
          <c:yMode val="edge"/>
          <c:x val="0.14305290786020169"/>
          <c:y val="3.2149391162170304E-2"/>
        </c:manualLayout>
      </c:layout>
      <c:overlay val="0"/>
    </c:title>
    <c:autoTitleDeleted val="0"/>
    <c:plotArea>
      <c:layout>
        <c:manualLayout>
          <c:layoutTarget val="inner"/>
          <c:xMode val="edge"/>
          <c:yMode val="edge"/>
          <c:x val="0.19825000000000004"/>
          <c:y val="0.31513652596704123"/>
          <c:w val="0.38690288713910792"/>
          <c:h val="0.60889634697302175"/>
        </c:manualLayout>
      </c:layout>
      <c:pieChart>
        <c:varyColors val="1"/>
        <c:ser>
          <c:idx val="0"/>
          <c:order val="0"/>
          <c:tx>
            <c:strRef>
              <c:f>'Charts 11-21'!$B$100</c:f>
              <c:strCache>
                <c:ptCount val="1"/>
              </c:strCache>
            </c:strRef>
          </c:tx>
          <c:dLbls>
            <c:spPr>
              <a:noFill/>
              <a:ln>
                <a:noFill/>
              </a:ln>
              <a:effectLst/>
            </c:spPr>
            <c:txPr>
              <a:bodyPr wrap="square" lIns="38100" tIns="19050" rIns="38100" bIns="19050" anchor="ctr">
                <a:spAutoFit/>
              </a:bodyPr>
              <a:lstStyle/>
              <a:p>
                <a:pPr>
                  <a:defRPr b="1"/>
                </a:pPr>
                <a:endParaRPr lang="en-US"/>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'Charts 11-21'!$A$101:$A$104</c:f>
              <c:strCache>
                <c:ptCount val="4"/>
                <c:pt idx="0">
                  <c:v>Plant Re-Start:  2</c:v>
                </c:pt>
                <c:pt idx="1">
                  <c:v>Recruitment:  6</c:v>
                </c:pt>
                <c:pt idx="2">
                  <c:v>Retention/Expansion:  37</c:v>
                </c:pt>
                <c:pt idx="3">
                  <c:v>Start Up:  3</c:v>
                </c:pt>
              </c:strCache>
            </c:strRef>
          </c:cat>
          <c:val>
            <c:numRef>
              <c:f>'Charts 11-21'!$B$101:$B$104</c:f>
              <c:numCache>
                <c:formatCode>0</c:formatCode>
                <c:ptCount val="4"/>
                <c:pt idx="0">
                  <c:v>2</c:v>
                </c:pt>
                <c:pt idx="1">
                  <c:v>6</c:v>
                </c:pt>
                <c:pt idx="2">
                  <c:v>37</c:v>
                </c:pt>
                <c:pt idx="3">
                  <c:v>3</c:v>
                </c:pt>
              </c:numCache>
            </c:numRef>
          </c:val>
          <c:extLst>
            <c:ext xmlns:c16="http://schemas.microsoft.com/office/drawing/2014/chart" uri="{C3380CC4-5D6E-409C-BE32-E72D297353CC}">
              <c16:uniqueId val="{00000000-3BBF-4E0A-9AB9-6FA423173789}"/>
            </c:ext>
          </c:extLst>
        </c:ser>
        <c:ser>
          <c:idx val="1"/>
          <c:order val="1"/>
          <c:tx>
            <c:strRef>
              <c:f>'Charts 11-21'!$C$100</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'Charts 11-21'!$A$101:$A$104</c:f>
              <c:strCache>
                <c:ptCount val="4"/>
                <c:pt idx="0">
                  <c:v>Plant Re-Start:  2</c:v>
                </c:pt>
                <c:pt idx="1">
                  <c:v>Recruitment:  6</c:v>
                </c:pt>
                <c:pt idx="2">
                  <c:v>Retention/Expansion:  37</c:v>
                </c:pt>
                <c:pt idx="3">
                  <c:v>Start Up:  3</c:v>
                </c:pt>
              </c:strCache>
            </c:strRef>
          </c:cat>
          <c:val>
            <c:numRef>
              <c:f>'Charts 11-21'!$C$101:$C$104</c:f>
              <c:numCache>
                <c:formatCode>0%</c:formatCode>
                <c:ptCount val="4"/>
                <c:pt idx="0">
                  <c:v>4.1666666666666664E-2</c:v>
                </c:pt>
                <c:pt idx="1">
                  <c:v>0.125</c:v>
                </c:pt>
                <c:pt idx="2">
                  <c:v>0.77083333333333337</c:v>
                </c:pt>
                <c:pt idx="3">
                  <c:v>6.25E-2</c:v>
                </c:pt>
              </c:numCache>
            </c:numRef>
          </c:val>
          <c:extLst>
            <c:ext xmlns:c16="http://schemas.microsoft.com/office/drawing/2014/chart" uri="{C3380CC4-5D6E-409C-BE32-E72D297353CC}">
              <c16:uniqueId val="{00000001-3BBF-4E0A-9AB9-6FA423173789}"/>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9173622047244057"/>
          <c:y val="0.41339529280151455"/>
          <c:w val="0.37419947506561679"/>
          <c:h val="0.31620394991609657"/>
        </c:manualLayout>
      </c:layout>
      <c:overlay val="0"/>
    </c:legend>
    <c:plotVisOnly val="1"/>
    <c:dispBlanksAs val="zero"/>
    <c:showDLblsOverMax val="0"/>
  </c:chart>
  <c:printSettings>
    <c:headerFooter/>
    <c:pageMargins b="0.75000000000000711" l="0.70000000000000062" r="0.70000000000000062" t="0.75000000000000711"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Chart 16</a:t>
            </a:r>
          </a:p>
          <a:p>
            <a:pPr>
              <a:defRPr/>
            </a:pPr>
            <a:r>
              <a:rPr lang="en-US" sz="1600"/>
              <a:t>Type</a:t>
            </a:r>
            <a:r>
              <a:rPr lang="en-US" sz="1600" baseline="0"/>
              <a:t> of Facility Expansion</a:t>
            </a:r>
          </a:p>
          <a:p>
            <a:pPr>
              <a:defRPr/>
            </a:pPr>
            <a:r>
              <a:rPr lang="en-US" sz="1200" baseline="0"/>
              <a:t>(Percentage of Total Number of Projects)</a:t>
            </a:r>
            <a:endParaRPr lang="en-US" sz="1200"/>
          </a:p>
        </c:rich>
      </c:tx>
      <c:overlay val="0"/>
    </c:title>
    <c:autoTitleDeleted val="0"/>
    <c:plotArea>
      <c:layout>
        <c:manualLayout>
          <c:layoutTarget val="inner"/>
          <c:xMode val="edge"/>
          <c:yMode val="edge"/>
          <c:x val="0.13695997375328084"/>
          <c:y val="0.31707656223823111"/>
          <c:w val="0.482996719160105"/>
          <c:h val="0.61659155637460206"/>
        </c:manualLayout>
      </c:layout>
      <c:pieChart>
        <c:varyColors val="1"/>
        <c:ser>
          <c:idx val="0"/>
          <c:order val="0"/>
          <c:tx>
            <c:strRef>
              <c:f>'Charts 11-21'!$B$119:$B$120</c:f>
              <c:strCache>
                <c:ptCount val="2"/>
              </c:strCache>
            </c:strRef>
          </c:tx>
          <c:dLbls>
            <c:spPr>
              <a:noFill/>
              <a:ln>
                <a:noFill/>
              </a:ln>
              <a:effectLst/>
            </c:spPr>
            <c:txPr>
              <a:bodyPr wrap="square" lIns="38100" tIns="19050" rIns="38100" bIns="19050" anchor="ctr">
                <a:spAutoFit/>
              </a:bodyPr>
              <a:lstStyle/>
              <a:p>
                <a:pPr>
                  <a:defRPr b="1"/>
                </a:pPr>
                <a:endParaRPr lang="en-US"/>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'Charts 11-21'!$A$121:$A$124</c:f>
              <c:strCache>
                <c:ptCount val="4"/>
                <c:pt idx="0">
                  <c:v>Acquisition/Reuse of an Exisiting Facility:  20</c:v>
                </c:pt>
                <c:pt idx="1">
                  <c:v>Construction of New Facility:   7</c:v>
                </c:pt>
                <c:pt idx="2">
                  <c:v>Expansion of Appicant's Current Facility:   14</c:v>
                </c:pt>
                <c:pt idx="3">
                  <c:v>No Facility Expansion:   7</c:v>
                </c:pt>
              </c:strCache>
            </c:strRef>
          </c:cat>
          <c:val>
            <c:numRef>
              <c:f>'Charts 11-21'!$B$121:$B$124</c:f>
              <c:numCache>
                <c:formatCode>0</c:formatCode>
                <c:ptCount val="4"/>
                <c:pt idx="0">
                  <c:v>20</c:v>
                </c:pt>
                <c:pt idx="1">
                  <c:v>7</c:v>
                </c:pt>
                <c:pt idx="2">
                  <c:v>14</c:v>
                </c:pt>
                <c:pt idx="3">
                  <c:v>7</c:v>
                </c:pt>
              </c:numCache>
            </c:numRef>
          </c:val>
          <c:extLst>
            <c:ext xmlns:c16="http://schemas.microsoft.com/office/drawing/2014/chart" uri="{C3380CC4-5D6E-409C-BE32-E72D297353CC}">
              <c16:uniqueId val="{00000001-7A4F-4EDA-8DBA-DA3781967540}"/>
            </c:ext>
          </c:extLst>
        </c:ser>
        <c:ser>
          <c:idx val="1"/>
          <c:order val="1"/>
          <c:tx>
            <c:strRef>
              <c:f>'Charts 11-21'!$C$119:$C$120</c:f>
              <c:strCache>
                <c:ptCount val="2"/>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'Charts 11-21'!$A$121:$A$124</c:f>
              <c:strCache>
                <c:ptCount val="4"/>
                <c:pt idx="0">
                  <c:v>Acquisition/Reuse of an Exisiting Facility:  20</c:v>
                </c:pt>
                <c:pt idx="1">
                  <c:v>Construction of New Facility:   7</c:v>
                </c:pt>
                <c:pt idx="2">
                  <c:v>Expansion of Appicant's Current Facility:   14</c:v>
                </c:pt>
                <c:pt idx="3">
                  <c:v>No Facility Expansion:   7</c:v>
                </c:pt>
              </c:strCache>
            </c:strRef>
          </c:cat>
          <c:val>
            <c:numRef>
              <c:f>'Charts 11-21'!$C$121:$C$124</c:f>
              <c:numCache>
                <c:formatCode>0%</c:formatCode>
                <c:ptCount val="4"/>
                <c:pt idx="0">
                  <c:v>0.41666666666666669</c:v>
                </c:pt>
                <c:pt idx="1">
                  <c:v>0.14583333333333334</c:v>
                </c:pt>
                <c:pt idx="2">
                  <c:v>0.29166666666666669</c:v>
                </c:pt>
                <c:pt idx="3">
                  <c:v>0.14583333333333334</c:v>
                </c:pt>
              </c:numCache>
            </c:numRef>
          </c:val>
          <c:extLst>
            <c:ext xmlns:c16="http://schemas.microsoft.com/office/drawing/2014/chart" uri="{C3380CC4-5D6E-409C-BE32-E72D297353CC}">
              <c16:uniqueId val="{00000002-7A4F-4EDA-8DBA-DA3781967540}"/>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4033333333333331"/>
          <c:y val="0.39724576981068854"/>
          <c:w val="0.3318888888888889"/>
          <c:h val="0.427884067683029"/>
        </c:manualLayout>
      </c:layout>
      <c:overlay val="0"/>
    </c:legend>
    <c:plotVisOnly val="1"/>
    <c:dispBlanksAs val="zero"/>
    <c:showDLblsOverMax val="0"/>
  </c:chart>
  <c:printSettings>
    <c:headerFooter/>
    <c:pageMargins b="0.75000000000000711" l="0.70000000000000062" r="0.70000000000000062" t="0.75000000000000711" header="0.30000000000000032" footer="0.30000000000000032"/>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emf"/><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100964</xdr:colOff>
      <xdr:row>61</xdr:row>
      <xdr:rowOff>106680</xdr:rowOff>
    </xdr:from>
    <xdr:to>
      <xdr:col>8</xdr:col>
      <xdr:colOff>923925</xdr:colOff>
      <xdr:row>78</xdr:row>
      <xdr:rowOff>9525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26</xdr:row>
      <xdr:rowOff>15242</xdr:rowOff>
    </xdr:from>
    <xdr:to>
      <xdr:col>4</xdr:col>
      <xdr:colOff>990600</xdr:colOff>
      <xdr:row>40</xdr:row>
      <xdr:rowOff>9526</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169545</xdr:colOff>
      <xdr:row>26</xdr:row>
      <xdr:rowOff>45720</xdr:rowOff>
    </xdr:from>
    <xdr:to>
      <xdr:col>8</xdr:col>
      <xdr:colOff>967740</xdr:colOff>
      <xdr:row>39</xdr:row>
      <xdr:rowOff>160020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121920</xdr:colOff>
      <xdr:row>45</xdr:row>
      <xdr:rowOff>83820</xdr:rowOff>
    </xdr:from>
    <xdr:to>
      <xdr:col>6</xdr:col>
      <xdr:colOff>937260</xdr:colOff>
      <xdr:row>57</xdr:row>
      <xdr:rowOff>22860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83820</xdr:colOff>
      <xdr:row>61</xdr:row>
      <xdr:rowOff>114299</xdr:rowOff>
    </xdr:from>
    <xdr:to>
      <xdr:col>4</xdr:col>
      <xdr:colOff>990600</xdr:colOff>
      <xdr:row>77</xdr:row>
      <xdr:rowOff>152400</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7</xdr:col>
      <xdr:colOff>600075</xdr:colOff>
      <xdr:row>44</xdr:row>
      <xdr:rowOff>76200</xdr:rowOff>
    </xdr:from>
    <xdr:to>
      <xdr:col>8</xdr:col>
      <xdr:colOff>504825</xdr:colOff>
      <xdr:row>48</xdr:row>
      <xdr:rowOff>47625</xdr:rowOff>
    </xdr:to>
    <xdr:pic>
      <xdr:nvPicPr>
        <xdr:cNvPr id="12" name="Picture 11">
          <a:extLst>
            <a:ext uri="{FF2B5EF4-FFF2-40B4-BE49-F238E27FC236}">
              <a16:creationId xmlns:a16="http://schemas.microsoft.com/office/drawing/2014/main" id="{00000000-0008-0000-0700-00000C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75000" t="34599" r="1415" b="37975"/>
        <a:stretch/>
      </xdr:blipFill>
      <xdr:spPr bwMode="auto">
        <a:xfrm>
          <a:off x="11763375" y="7629525"/>
          <a:ext cx="95250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593910</xdr:colOff>
      <xdr:row>25</xdr:row>
      <xdr:rowOff>107016</xdr:rowOff>
    </xdr:from>
    <xdr:to>
      <xdr:col>16</xdr:col>
      <xdr:colOff>457199</xdr:colOff>
      <xdr:row>47</xdr:row>
      <xdr:rowOff>135591</xdr:rowOff>
    </xdr:to>
    <xdr:graphicFrame macro="">
      <xdr:nvGraphicFramePr>
        <xdr:cNvPr id="7" name="Chart 6">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71</xdr:row>
      <xdr:rowOff>152399</xdr:rowOff>
    </xdr:from>
    <xdr:to>
      <xdr:col>13</xdr:col>
      <xdr:colOff>152401</xdr:colOff>
      <xdr:row>89</xdr:row>
      <xdr:rowOff>161924</xdr:rowOff>
    </xdr:to>
    <xdr:graphicFrame macro="">
      <xdr:nvGraphicFramePr>
        <xdr:cNvPr id="10" name="Chart 9">
          <a:extLst>
            <a:ext uri="{FF2B5EF4-FFF2-40B4-BE49-F238E27FC236}">
              <a16:creationId xmlns:a16="http://schemas.microsoft.com/office/drawing/2014/main" id="{00000000-0008-0000-09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93</xdr:row>
      <xdr:rowOff>0</xdr:rowOff>
    </xdr:from>
    <xdr:to>
      <xdr:col>13</xdr:col>
      <xdr:colOff>85725</xdr:colOff>
      <xdr:row>110</xdr:row>
      <xdr:rowOff>152400</xdr:rowOff>
    </xdr:to>
    <xdr:graphicFrame macro="">
      <xdr:nvGraphicFramePr>
        <xdr:cNvPr id="11" name="Chart 10">
          <a:extLst>
            <a:ext uri="{FF2B5EF4-FFF2-40B4-BE49-F238E27FC236}">
              <a16:creationId xmlns:a16="http://schemas.microsoft.com/office/drawing/2014/main" id="{00000000-0008-0000-09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113</xdr:row>
      <xdr:rowOff>142875</xdr:rowOff>
    </xdr:from>
    <xdr:to>
      <xdr:col>13</xdr:col>
      <xdr:colOff>314325</xdr:colOff>
      <xdr:row>136</xdr:row>
      <xdr:rowOff>0</xdr:rowOff>
    </xdr:to>
    <xdr:graphicFrame macro="">
      <xdr:nvGraphicFramePr>
        <xdr:cNvPr id="12" name="Chart 11">
          <a:extLst>
            <a:ext uri="{FF2B5EF4-FFF2-40B4-BE49-F238E27FC236}">
              <a16:creationId xmlns:a16="http://schemas.microsoft.com/office/drawing/2014/main" id="{00000000-0008-0000-09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9523</xdr:colOff>
      <xdr:row>223</xdr:row>
      <xdr:rowOff>161924</xdr:rowOff>
    </xdr:from>
    <xdr:to>
      <xdr:col>13</xdr:col>
      <xdr:colOff>314323</xdr:colOff>
      <xdr:row>247</xdr:row>
      <xdr:rowOff>141731</xdr:rowOff>
    </xdr:to>
    <xdr:graphicFrame macro="">
      <xdr:nvGraphicFramePr>
        <xdr:cNvPr id="15" name="Chart 14">
          <a:extLst>
            <a:ext uri="{FF2B5EF4-FFF2-40B4-BE49-F238E27FC236}">
              <a16:creationId xmlns:a16="http://schemas.microsoft.com/office/drawing/2014/main" id="{00000000-0008-0000-09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191</xdr:row>
      <xdr:rowOff>161924</xdr:rowOff>
    </xdr:from>
    <xdr:to>
      <xdr:col>13</xdr:col>
      <xdr:colOff>304800</xdr:colOff>
      <xdr:row>215</xdr:row>
      <xdr:rowOff>152400</xdr:rowOff>
    </xdr:to>
    <xdr:graphicFrame macro="">
      <xdr:nvGraphicFramePr>
        <xdr:cNvPr id="18" name="Chart 17">
          <a:extLst>
            <a:ext uri="{FF2B5EF4-FFF2-40B4-BE49-F238E27FC236}">
              <a16:creationId xmlns:a16="http://schemas.microsoft.com/office/drawing/2014/main" id="{00000000-0008-0000-09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19050</xdr:colOff>
      <xdr:row>0</xdr:row>
      <xdr:rowOff>19051</xdr:rowOff>
    </xdr:from>
    <xdr:to>
      <xdr:col>13</xdr:col>
      <xdr:colOff>323850</xdr:colOff>
      <xdr:row>24</xdr:row>
      <xdr:rowOff>57151</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9524</xdr:colOff>
      <xdr:row>251</xdr:row>
      <xdr:rowOff>95249</xdr:rowOff>
    </xdr:from>
    <xdr:to>
      <xdr:col>13</xdr:col>
      <xdr:colOff>314324</xdr:colOff>
      <xdr:row>275</xdr:row>
      <xdr:rowOff>122681</xdr:rowOff>
    </xdr:to>
    <xdr:graphicFrame macro="">
      <xdr:nvGraphicFramePr>
        <xdr:cNvPr id="13" name="Chart 12">
          <a:extLst>
            <a:ext uri="{FF2B5EF4-FFF2-40B4-BE49-F238E27FC236}">
              <a16:creationId xmlns:a16="http://schemas.microsoft.com/office/drawing/2014/main" id="{00000000-0008-0000-09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9524</xdr:colOff>
      <xdr:row>165</xdr:row>
      <xdr:rowOff>161924</xdr:rowOff>
    </xdr:from>
    <xdr:to>
      <xdr:col>13</xdr:col>
      <xdr:colOff>286892</xdr:colOff>
      <xdr:row>186</xdr:row>
      <xdr:rowOff>44195</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9525</xdr:colOff>
      <xdr:row>140</xdr:row>
      <xdr:rowOff>157161</xdr:rowOff>
    </xdr:from>
    <xdr:to>
      <xdr:col>13</xdr:col>
      <xdr:colOff>285750</xdr:colOff>
      <xdr:row>160</xdr:row>
      <xdr:rowOff>9524</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11430</xdr:colOff>
      <xdr:row>50</xdr:row>
      <xdr:rowOff>16191</xdr:rowOff>
    </xdr:from>
    <xdr:to>
      <xdr:col>13</xdr:col>
      <xdr:colOff>182880</xdr:colOff>
      <xdr:row>69</xdr:row>
      <xdr:rowOff>24764</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VEGI%20AUTHORIZATION%20SUMMARY%20-%20Through%20December%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20Spreadsheets/Copy%20of%20Vegi%20Info%20Tax%20Dept%20Annual%20Rpt%202007%20thru%202015_Summary%20Data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D/ACCD%20-%20VEPC/VEGI/Annual%20Reports/2016/Tax%20Department%20Documents/Vegi%20Info%20Tax%20Dept%20Annual%20Rpt%202007%20thru%202014_Summary%20Data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D/ACCD%20-%20VEPC/VEGI/Annual%20Reports/2016/1-WorkingDocument-VEGI_ANNUAL_REPORT_TABLES_AND_CHAR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D/ACCD%20-%20VEPC/VEGI/Annual%20Reports/2016/2-WorkingDocument-VEGI%20AUTHORIZATION%20SUMMARY%20-%20Through%20December%203%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tionSummary"/>
      <sheetName val="1a.Initial and Final"/>
      <sheetName val="2. Detailed Summary"/>
      <sheetName val="2.AppSummaryData"/>
      <sheetName val="3.AppStatus"/>
      <sheetName val="4.CapInfo"/>
      <sheetName val="1a. By Code"/>
      <sheetName val="5.Distribution"/>
      <sheetName val="6.LMA Enhancement"/>
      <sheetName val="7.Green VEGI"/>
      <sheetName val="8.Payroll"/>
      <sheetName val="9.Jobs"/>
      <sheetName val="10.WeightedAvgWage"/>
      <sheetName val="11.JobWageAnalysis"/>
      <sheetName val="5c. Median wage"/>
      <sheetName val="12.EmployeeBenefits"/>
      <sheetName val="13.Capex"/>
      <sheetName val="14.Cost-Benefit"/>
      <sheetName val="15.Incentives- Est"/>
      <sheetName val="16.Incentives- Max"/>
      <sheetName val="17.NameChanges"/>
      <sheetName val="18.EarningYears"/>
      <sheetName val="19.MiscAppInfo"/>
      <sheetName val="20.AggregateData"/>
      <sheetName val="21.VOTE Tracking"/>
      <sheetName val="22.Attendance"/>
      <sheetName val="23.AppVolume"/>
      <sheetName val="24.Term&amp;Incentives"/>
      <sheetName val="25.TermJobsPayCap"/>
      <sheetName val="26.TermCostBenefit"/>
      <sheetName val="27.ClaimStatus"/>
      <sheetName val="28.Instructions"/>
    </sheetNames>
    <sheetDataSet>
      <sheetData sheetId="0">
        <row r="12">
          <cell r="AE12">
            <v>16392402</v>
          </cell>
        </row>
        <row r="13">
          <cell r="AB13">
            <v>12</v>
          </cell>
          <cell r="AJ13">
            <v>16731978</v>
          </cell>
        </row>
        <row r="14">
          <cell r="AJ14">
            <v>39608029</v>
          </cell>
        </row>
        <row r="25">
          <cell r="AB25">
            <v>41</v>
          </cell>
        </row>
        <row r="28">
          <cell r="AB28">
            <v>5</v>
          </cell>
          <cell r="AD28">
            <v>2198190</v>
          </cell>
        </row>
        <row r="41">
          <cell r="AB41">
            <v>48</v>
          </cell>
        </row>
      </sheetData>
      <sheetData sheetId="1"/>
      <sheetData sheetId="2"/>
      <sheetData sheetId="3">
        <row r="5">
          <cell r="B5">
            <v>106</v>
          </cell>
          <cell r="C5">
            <v>48</v>
          </cell>
          <cell r="D5">
            <v>53</v>
          </cell>
          <cell r="E5">
            <v>5</v>
          </cell>
        </row>
        <row r="6">
          <cell r="B6">
            <v>19</v>
          </cell>
          <cell r="C6">
            <v>5</v>
          </cell>
          <cell r="D6">
            <v>12</v>
          </cell>
          <cell r="E6">
            <v>2</v>
          </cell>
        </row>
        <row r="7">
          <cell r="B7">
            <v>18</v>
          </cell>
          <cell r="C7">
            <v>11</v>
          </cell>
          <cell r="D7">
            <v>4</v>
          </cell>
          <cell r="E7">
            <v>0</v>
          </cell>
        </row>
        <row r="8">
          <cell r="B8">
            <v>2</v>
          </cell>
          <cell r="C8">
            <v>2</v>
          </cell>
          <cell r="D8">
            <v>0</v>
          </cell>
          <cell r="E8">
            <v>0</v>
          </cell>
        </row>
        <row r="11">
          <cell r="C11">
            <v>74930599</v>
          </cell>
        </row>
        <row r="12">
          <cell r="C12">
            <v>2198190</v>
          </cell>
        </row>
        <row r="13">
          <cell r="C13">
            <v>34486143</v>
          </cell>
        </row>
        <row r="14">
          <cell r="C14">
            <v>38246266</v>
          </cell>
        </row>
        <row r="19">
          <cell r="B19">
            <v>3316594</v>
          </cell>
          <cell r="E19">
            <v>2760291</v>
          </cell>
        </row>
        <row r="20">
          <cell r="B20">
            <v>3561517</v>
          </cell>
          <cell r="E20">
            <v>3198043</v>
          </cell>
        </row>
        <row r="23">
          <cell r="E23">
            <v>3302</v>
          </cell>
        </row>
        <row r="24">
          <cell r="E24">
            <v>148485288</v>
          </cell>
        </row>
        <row r="25">
          <cell r="E25">
            <v>44932.218958207144</v>
          </cell>
        </row>
        <row r="26">
          <cell r="E26">
            <v>55677.478295693894</v>
          </cell>
        </row>
        <row r="27">
          <cell r="E27">
            <v>763068058</v>
          </cell>
        </row>
        <row r="30">
          <cell r="E30">
            <v>100554875</v>
          </cell>
        </row>
        <row r="31">
          <cell r="E31">
            <v>73329963</v>
          </cell>
        </row>
        <row r="32">
          <cell r="E32">
            <v>27224912</v>
          </cell>
        </row>
        <row r="35">
          <cell r="E35">
            <v>6046</v>
          </cell>
        </row>
        <row r="36">
          <cell r="E36">
            <v>802</v>
          </cell>
        </row>
        <row r="37">
          <cell r="E37">
            <v>3732</v>
          </cell>
        </row>
        <row r="38">
          <cell r="E38">
            <v>7836</v>
          </cell>
        </row>
        <row r="39">
          <cell r="E39">
            <v>45729925.181093894</v>
          </cell>
        </row>
        <row r="40">
          <cell r="E40">
            <v>0.70843749999999994</v>
          </cell>
        </row>
        <row r="41">
          <cell r="E41">
            <v>180055648</v>
          </cell>
        </row>
        <row r="45">
          <cell r="C45">
            <v>3</v>
          </cell>
          <cell r="E45">
            <v>12</v>
          </cell>
        </row>
        <row r="46">
          <cell r="C46">
            <v>2</v>
          </cell>
          <cell r="E46">
            <v>7</v>
          </cell>
        </row>
        <row r="47">
          <cell r="C47">
            <v>6</v>
          </cell>
          <cell r="E47">
            <v>7</v>
          </cell>
        </row>
        <row r="48">
          <cell r="C48">
            <v>37</v>
          </cell>
          <cell r="E48">
            <v>2</v>
          </cell>
        </row>
        <row r="49">
          <cell r="E49">
            <v>6</v>
          </cell>
        </row>
        <row r="50">
          <cell r="C50">
            <v>7</v>
          </cell>
          <cell r="E50">
            <v>3</v>
          </cell>
        </row>
        <row r="51">
          <cell r="C51">
            <v>14</v>
          </cell>
          <cell r="E51">
            <v>6</v>
          </cell>
        </row>
        <row r="52">
          <cell r="C52">
            <v>20</v>
          </cell>
          <cell r="E52">
            <v>5</v>
          </cell>
        </row>
        <row r="53">
          <cell r="C53">
            <v>7</v>
          </cell>
        </row>
      </sheetData>
      <sheetData sheetId="4">
        <row r="5">
          <cell r="G5">
            <v>1</v>
          </cell>
          <cell r="H5">
            <v>11</v>
          </cell>
          <cell r="I5">
            <v>1</v>
          </cell>
        </row>
        <row r="6">
          <cell r="G6">
            <v>1</v>
          </cell>
          <cell r="H6">
            <v>8</v>
          </cell>
          <cell r="I6">
            <v>2</v>
          </cell>
        </row>
        <row r="7">
          <cell r="G7">
            <v>3</v>
          </cell>
          <cell r="H7">
            <v>10</v>
          </cell>
          <cell r="I7">
            <v>0</v>
          </cell>
        </row>
        <row r="8">
          <cell r="G8">
            <v>3</v>
          </cell>
          <cell r="H8">
            <v>8</v>
          </cell>
          <cell r="I8">
            <v>1</v>
          </cell>
        </row>
        <row r="9">
          <cell r="G9">
            <v>4</v>
          </cell>
          <cell r="H9">
            <v>7</v>
          </cell>
          <cell r="I9">
            <v>0</v>
          </cell>
        </row>
        <row r="12">
          <cell r="G12">
            <v>5</v>
          </cell>
          <cell r="H12">
            <v>3</v>
          </cell>
          <cell r="I12">
            <v>1</v>
          </cell>
        </row>
        <row r="13">
          <cell r="G13">
            <v>5</v>
          </cell>
          <cell r="H13">
            <v>2</v>
          </cell>
          <cell r="I13">
            <v>0</v>
          </cell>
        </row>
        <row r="14">
          <cell r="G14">
            <v>4</v>
          </cell>
          <cell r="H14">
            <v>2</v>
          </cell>
          <cell r="I14">
            <v>0</v>
          </cell>
        </row>
        <row r="15">
          <cell r="G15">
            <v>9</v>
          </cell>
          <cell r="H15">
            <v>0</v>
          </cell>
          <cell r="I15">
            <v>0</v>
          </cell>
        </row>
        <row r="16">
          <cell r="G16">
            <v>9</v>
          </cell>
          <cell r="H16">
            <v>2</v>
          </cell>
          <cell r="I16">
            <v>0</v>
          </cell>
        </row>
        <row r="17">
          <cell r="G17">
            <v>4</v>
          </cell>
          <cell r="H17">
            <v>0</v>
          </cell>
          <cell r="I17">
            <v>0</v>
          </cell>
        </row>
        <row r="27">
          <cell r="A27">
            <v>12</v>
          </cell>
        </row>
        <row r="28">
          <cell r="A28">
            <v>18</v>
          </cell>
        </row>
        <row r="29">
          <cell r="A29">
            <v>8</v>
          </cell>
        </row>
        <row r="30">
          <cell r="A30">
            <v>15</v>
          </cell>
        </row>
        <row r="34">
          <cell r="D34">
            <v>5</v>
          </cell>
        </row>
        <row r="35">
          <cell r="D35">
            <v>2</v>
          </cell>
        </row>
        <row r="36">
          <cell r="D36">
            <v>3</v>
          </cell>
        </row>
        <row r="37">
          <cell r="D37">
            <v>2</v>
          </cell>
        </row>
        <row r="40">
          <cell r="D40">
            <v>21</v>
          </cell>
        </row>
        <row r="41">
          <cell r="E41">
            <v>10</v>
          </cell>
        </row>
        <row r="42">
          <cell r="E42">
            <v>11</v>
          </cell>
        </row>
        <row r="43">
          <cell r="D43">
            <v>6</v>
          </cell>
        </row>
        <row r="44">
          <cell r="E44">
            <v>0</v>
          </cell>
        </row>
        <row r="45">
          <cell r="E45">
            <v>5</v>
          </cell>
        </row>
        <row r="46">
          <cell r="E46">
            <v>1</v>
          </cell>
        </row>
        <row r="47">
          <cell r="D47">
            <v>14</v>
          </cell>
        </row>
        <row r="48">
          <cell r="E48">
            <v>0</v>
          </cell>
        </row>
        <row r="49">
          <cell r="E49">
            <v>14</v>
          </cell>
        </row>
      </sheetData>
      <sheetData sheetId="5">
        <row r="4">
          <cell r="J4">
            <v>4078156</v>
          </cell>
          <cell r="N4">
            <v>0</v>
          </cell>
        </row>
        <row r="5">
          <cell r="J5">
            <v>6830959</v>
          </cell>
          <cell r="N5">
            <v>1000000</v>
          </cell>
        </row>
        <row r="6">
          <cell r="J6">
            <v>1786828</v>
          </cell>
          <cell r="N6">
            <v>0</v>
          </cell>
        </row>
        <row r="9">
          <cell r="J9">
            <v>4809164</v>
          </cell>
          <cell r="N9">
            <v>0</v>
          </cell>
        </row>
        <row r="10">
          <cell r="J10">
            <v>2183738</v>
          </cell>
          <cell r="N10">
            <v>1000000</v>
          </cell>
        </row>
        <row r="11">
          <cell r="J11">
            <v>206737</v>
          </cell>
          <cell r="N11">
            <v>0</v>
          </cell>
        </row>
        <row r="14">
          <cell r="J14">
            <v>5425247</v>
          </cell>
          <cell r="N14">
            <v>0</v>
          </cell>
        </row>
        <row r="15">
          <cell r="J15">
            <v>5539089</v>
          </cell>
          <cell r="N15">
            <v>1000000</v>
          </cell>
        </row>
        <row r="16">
          <cell r="J16">
            <v>2124320</v>
          </cell>
          <cell r="N16">
            <v>0</v>
          </cell>
        </row>
        <row r="19">
          <cell r="J19">
            <v>8566823</v>
          </cell>
          <cell r="N19">
            <v>228459</v>
          </cell>
        </row>
        <row r="20">
          <cell r="J20">
            <v>10360059</v>
          </cell>
          <cell r="N20">
            <v>771541</v>
          </cell>
        </row>
        <row r="21">
          <cell r="J21">
            <v>5450915</v>
          </cell>
          <cell r="N21">
            <v>0</v>
          </cell>
        </row>
        <row r="24">
          <cell r="J24">
            <v>14532959</v>
          </cell>
          <cell r="N24">
            <v>322655</v>
          </cell>
        </row>
        <row r="25">
          <cell r="J25">
            <v>8322697</v>
          </cell>
          <cell r="N25">
            <v>677345</v>
          </cell>
        </row>
        <row r="26">
          <cell r="J26">
            <v>5832519</v>
          </cell>
          <cell r="N26">
            <v>322655</v>
          </cell>
        </row>
        <row r="29">
          <cell r="J29">
            <v>8127120</v>
          </cell>
          <cell r="N29">
            <v>313144</v>
          </cell>
        </row>
        <row r="30">
          <cell r="J30">
            <v>7358936</v>
          </cell>
          <cell r="N30">
            <v>686856</v>
          </cell>
        </row>
        <row r="31">
          <cell r="J31">
            <v>7358936</v>
          </cell>
          <cell r="N31">
            <v>247632</v>
          </cell>
        </row>
        <row r="34">
          <cell r="J34">
            <v>4391060</v>
          </cell>
          <cell r="N34">
            <v>133606</v>
          </cell>
        </row>
        <row r="35">
          <cell r="J35">
            <v>2542897</v>
          </cell>
          <cell r="N35">
            <v>866394</v>
          </cell>
        </row>
        <row r="36">
          <cell r="J36">
            <v>2284379</v>
          </cell>
          <cell r="N36">
            <v>57074</v>
          </cell>
        </row>
        <row r="39">
          <cell r="J39">
            <v>4381342</v>
          </cell>
          <cell r="N39">
            <v>90833</v>
          </cell>
        </row>
        <row r="40">
          <cell r="J40">
            <v>2490968</v>
          </cell>
          <cell r="N40">
            <v>909167</v>
          </cell>
        </row>
        <row r="41">
          <cell r="J41">
            <v>2490968</v>
          </cell>
          <cell r="N41">
            <v>90833</v>
          </cell>
        </row>
        <row r="44">
          <cell r="J44">
            <v>4331442</v>
          </cell>
          <cell r="N44">
            <v>946733</v>
          </cell>
        </row>
        <row r="45">
          <cell r="J45">
            <v>4344838</v>
          </cell>
          <cell r="N45">
            <v>253267</v>
          </cell>
        </row>
        <row r="46">
          <cell r="J46">
            <v>4344838</v>
          </cell>
          <cell r="N46">
            <v>946733</v>
          </cell>
        </row>
        <row r="49">
          <cell r="J49">
            <v>6058943</v>
          </cell>
          <cell r="N49">
            <v>1359763</v>
          </cell>
        </row>
        <row r="50">
          <cell r="J50">
            <v>4880102</v>
          </cell>
          <cell r="N50">
            <v>140237</v>
          </cell>
        </row>
        <row r="51">
          <cell r="J51">
            <v>4880103</v>
          </cell>
          <cell r="N51">
            <v>1359763</v>
          </cell>
        </row>
        <row r="54">
          <cell r="J54">
            <v>1485723</v>
          </cell>
          <cell r="N54">
            <v>166324</v>
          </cell>
        </row>
        <row r="55">
          <cell r="J55">
            <v>0</v>
          </cell>
          <cell r="N55">
            <v>833676</v>
          </cell>
        </row>
        <row r="56">
          <cell r="J56">
            <v>1485723</v>
          </cell>
          <cell r="N56">
            <v>166324</v>
          </cell>
        </row>
      </sheetData>
      <sheetData sheetId="6"/>
      <sheetData sheetId="7">
        <row r="5">
          <cell r="B5">
            <v>0</v>
          </cell>
          <cell r="P5">
            <v>0</v>
          </cell>
        </row>
        <row r="6">
          <cell r="B6">
            <v>2</v>
          </cell>
          <cell r="P6">
            <v>409113</v>
          </cell>
        </row>
        <row r="7">
          <cell r="B7">
            <v>2</v>
          </cell>
          <cell r="P7">
            <v>840986</v>
          </cell>
        </row>
        <row r="8">
          <cell r="B8">
            <v>19</v>
          </cell>
          <cell r="P8">
            <v>17214958</v>
          </cell>
        </row>
        <row r="9">
          <cell r="B9">
            <v>1</v>
          </cell>
          <cell r="P9">
            <v>337914</v>
          </cell>
        </row>
        <row r="10">
          <cell r="B10">
            <v>3</v>
          </cell>
          <cell r="P10">
            <v>6191346</v>
          </cell>
        </row>
        <row r="11">
          <cell r="B11">
            <v>0</v>
          </cell>
          <cell r="P11">
            <v>0</v>
          </cell>
        </row>
        <row r="12">
          <cell r="B12">
            <v>1</v>
          </cell>
          <cell r="P12">
            <v>267762</v>
          </cell>
        </row>
        <row r="13">
          <cell r="B13">
            <v>2</v>
          </cell>
          <cell r="P13">
            <v>1353088</v>
          </cell>
        </row>
        <row r="14">
          <cell r="B14">
            <v>2</v>
          </cell>
          <cell r="P14">
            <v>882947</v>
          </cell>
        </row>
        <row r="15">
          <cell r="B15">
            <v>4</v>
          </cell>
          <cell r="P15">
            <v>4013791</v>
          </cell>
        </row>
        <row r="16">
          <cell r="B16">
            <v>6</v>
          </cell>
          <cell r="P16">
            <v>4195905</v>
          </cell>
        </row>
        <row r="17">
          <cell r="B17">
            <v>6</v>
          </cell>
          <cell r="P17">
            <v>2538456</v>
          </cell>
        </row>
      </sheetData>
      <sheetData sheetId="8"/>
      <sheetData sheetId="9"/>
      <sheetData sheetId="10">
        <row r="364">
          <cell r="F364">
            <v>3438000</v>
          </cell>
          <cell r="G364">
            <v>6942837</v>
          </cell>
          <cell r="H364">
            <v>3849800</v>
          </cell>
          <cell r="I364">
            <v>12703748</v>
          </cell>
          <cell r="J364">
            <v>16659450</v>
          </cell>
          <cell r="K364">
            <v>26325908</v>
          </cell>
          <cell r="L364">
            <v>18791423</v>
          </cell>
          <cell r="M364">
            <v>14482251</v>
          </cell>
          <cell r="N364">
            <v>13372683</v>
          </cell>
        </row>
      </sheetData>
      <sheetData sheetId="11">
        <row r="364">
          <cell r="H364">
            <v>101</v>
          </cell>
          <cell r="I364">
            <v>213</v>
          </cell>
          <cell r="J364">
            <v>64</v>
          </cell>
          <cell r="K364">
            <v>220</v>
          </cell>
          <cell r="L364">
            <v>361</v>
          </cell>
          <cell r="M364">
            <v>548</v>
          </cell>
          <cell r="N364">
            <v>414</v>
          </cell>
          <cell r="O364">
            <v>327</v>
          </cell>
          <cell r="P364">
            <v>278</v>
          </cell>
        </row>
        <row r="374">
          <cell r="I374">
            <v>0</v>
          </cell>
        </row>
        <row r="375">
          <cell r="I375">
            <v>1.4233797698364628E-2</v>
          </cell>
        </row>
        <row r="376">
          <cell r="I376">
            <v>4.633555420956996E-2</v>
          </cell>
        </row>
        <row r="377">
          <cell r="I377">
            <v>0.56420351302241067</v>
          </cell>
        </row>
        <row r="378">
          <cell r="I378">
            <v>6.6929133858267723E-2</v>
          </cell>
        </row>
        <row r="379">
          <cell r="I379">
            <v>0</v>
          </cell>
        </row>
        <row r="380">
          <cell r="I380">
            <v>3.0284675953967293E-3</v>
          </cell>
        </row>
        <row r="381">
          <cell r="I381">
            <v>2.2713506965475468E-2</v>
          </cell>
        </row>
        <row r="382">
          <cell r="I382">
            <v>1.1205330102967898E-2</v>
          </cell>
        </row>
        <row r="383">
          <cell r="I383">
            <v>0.16141732283464566</v>
          </cell>
        </row>
        <row r="384">
          <cell r="I384">
            <v>6.7837674136886739E-2</v>
          </cell>
        </row>
        <row r="385">
          <cell r="I385">
            <v>4.2095699576014535E-2</v>
          </cell>
        </row>
      </sheetData>
      <sheetData sheetId="12"/>
      <sheetData sheetId="13">
        <row r="331">
          <cell r="D331">
            <v>1007</v>
          </cell>
        </row>
        <row r="332">
          <cell r="D332">
            <v>779</v>
          </cell>
        </row>
        <row r="333">
          <cell r="D333">
            <v>498</v>
          </cell>
        </row>
        <row r="334">
          <cell r="D334">
            <v>308</v>
          </cell>
        </row>
        <row r="335">
          <cell r="D335">
            <v>278</v>
          </cell>
        </row>
        <row r="336">
          <cell r="D336">
            <v>153</v>
          </cell>
        </row>
        <row r="337">
          <cell r="D337">
            <v>209</v>
          </cell>
        </row>
        <row r="338">
          <cell r="D338">
            <v>70</v>
          </cell>
        </row>
        <row r="697">
          <cell r="D697">
            <v>92</v>
          </cell>
        </row>
        <row r="698">
          <cell r="D698">
            <v>159</v>
          </cell>
        </row>
        <row r="699">
          <cell r="D699">
            <v>177</v>
          </cell>
        </row>
        <row r="700">
          <cell r="D700">
            <v>171</v>
          </cell>
        </row>
        <row r="701">
          <cell r="D701">
            <v>30</v>
          </cell>
        </row>
        <row r="702">
          <cell r="D702">
            <v>266</v>
          </cell>
        </row>
        <row r="703">
          <cell r="D703">
            <v>174</v>
          </cell>
        </row>
        <row r="704">
          <cell r="D704">
            <v>66</v>
          </cell>
        </row>
        <row r="705">
          <cell r="D705">
            <v>153</v>
          </cell>
        </row>
        <row r="706">
          <cell r="D706">
            <v>1811</v>
          </cell>
        </row>
        <row r="707">
          <cell r="D707">
            <v>95</v>
          </cell>
        </row>
        <row r="708">
          <cell r="D708">
            <v>61</v>
          </cell>
        </row>
        <row r="709">
          <cell r="D709">
            <v>47</v>
          </cell>
        </row>
      </sheetData>
      <sheetData sheetId="14"/>
      <sheetData sheetId="15">
        <row r="58">
          <cell r="N58">
            <v>41</v>
          </cell>
          <cell r="Q58">
            <v>19</v>
          </cell>
        </row>
        <row r="59">
          <cell r="C59">
            <v>1</v>
          </cell>
          <cell r="E59">
            <v>0.77083333333333337</v>
          </cell>
          <cell r="F59">
            <v>0.58333333333333337</v>
          </cell>
          <cell r="G59">
            <v>0.75</v>
          </cell>
          <cell r="I59">
            <v>0.6875</v>
          </cell>
          <cell r="K59">
            <v>0.22916666666666666</v>
          </cell>
          <cell r="L59">
            <v>0.72916666666666663</v>
          </cell>
          <cell r="N59">
            <v>0.85416666666666663</v>
          </cell>
          <cell r="Q59">
            <v>0.39583333333333331</v>
          </cell>
        </row>
        <row r="61">
          <cell r="X61">
            <v>1</v>
          </cell>
        </row>
        <row r="62">
          <cell r="C62">
            <v>1</v>
          </cell>
        </row>
        <row r="63">
          <cell r="C63">
            <v>0</v>
          </cell>
          <cell r="X63">
            <v>0.77083333333333337</v>
          </cell>
        </row>
        <row r="64">
          <cell r="C64">
            <v>18</v>
          </cell>
          <cell r="X64">
            <v>0.58333333333333337</v>
          </cell>
        </row>
        <row r="65">
          <cell r="C65">
            <v>29</v>
          </cell>
          <cell r="X65">
            <v>0.75</v>
          </cell>
        </row>
        <row r="66">
          <cell r="C66">
            <v>48</v>
          </cell>
          <cell r="E66">
            <v>37</v>
          </cell>
          <cell r="F66">
            <v>28</v>
          </cell>
          <cell r="G66">
            <v>36</v>
          </cell>
          <cell r="I66">
            <v>33</v>
          </cell>
          <cell r="K66">
            <v>11</v>
          </cell>
          <cell r="L66">
            <v>35</v>
          </cell>
          <cell r="X66">
            <v>0.6875</v>
          </cell>
        </row>
        <row r="68">
          <cell r="X68">
            <v>0.72916666666666663</v>
          </cell>
        </row>
        <row r="69">
          <cell r="X69">
            <v>0.75</v>
          </cell>
        </row>
        <row r="70">
          <cell r="X70">
            <v>0.64583333333333337</v>
          </cell>
        </row>
      </sheetData>
      <sheetData sheetId="16">
        <row r="380">
          <cell r="H380">
            <v>13677077</v>
          </cell>
          <cell r="I380">
            <v>11786270</v>
          </cell>
          <cell r="J380">
            <v>14171000</v>
          </cell>
          <cell r="K380">
            <v>20763000</v>
          </cell>
          <cell r="L380">
            <v>63192599</v>
          </cell>
          <cell r="M380">
            <v>166153840</v>
          </cell>
          <cell r="N380">
            <v>133237344</v>
          </cell>
          <cell r="O380">
            <v>128593320</v>
          </cell>
          <cell r="P380">
            <v>28611664</v>
          </cell>
        </row>
      </sheetData>
      <sheetData sheetId="17"/>
      <sheetData sheetId="18"/>
      <sheetData sheetId="19">
        <row r="351">
          <cell r="F351">
            <v>123712</v>
          </cell>
          <cell r="G351">
            <v>398712.4</v>
          </cell>
          <cell r="H351">
            <v>497036.26</v>
          </cell>
          <cell r="I351">
            <v>1031380.1147205125</v>
          </cell>
          <cell r="J351">
            <v>1590095.7920605591</v>
          </cell>
          <cell r="K351">
            <v>3016478.6456820588</v>
          </cell>
          <cell r="L351">
            <v>4137979.6190983797</v>
          </cell>
          <cell r="M351">
            <v>4573359.4865829833</v>
          </cell>
          <cell r="N351">
            <v>4625032.1902715806</v>
          </cell>
        </row>
      </sheetData>
      <sheetData sheetId="20"/>
      <sheetData sheetId="21"/>
      <sheetData sheetId="22"/>
      <sheetData sheetId="23">
        <row r="12">
          <cell r="K12">
            <v>2441259.4044725145</v>
          </cell>
          <cell r="L12">
            <v>2026856.9309129831</v>
          </cell>
          <cell r="M12">
            <v>2180285.455610957</v>
          </cell>
          <cell r="N12">
            <v>1803926.8085292366</v>
          </cell>
          <cell r="O12">
            <v>490331.4608316035</v>
          </cell>
        </row>
        <row r="13">
          <cell r="C13">
            <v>365421.81864572637</v>
          </cell>
          <cell r="D13">
            <v>871614.617520347</v>
          </cell>
          <cell r="E13">
            <v>1349255.8264007051</v>
          </cell>
          <cell r="F13">
            <v>2122358.2250572033</v>
          </cell>
          <cell r="G13">
            <v>3456467.5083639743</v>
          </cell>
          <cell r="H13">
            <v>5575626.7407451198</v>
          </cell>
          <cell r="I13">
            <v>5034123.0920713646</v>
          </cell>
          <cell r="J13">
            <v>3814927.6281367047</v>
          </cell>
          <cell r="K13">
            <v>2441259.4044725145</v>
          </cell>
        </row>
        <row r="14">
          <cell r="L14"/>
          <cell r="M14"/>
          <cell r="N14"/>
          <cell r="O14"/>
          <cell r="P14"/>
          <cell r="Q14"/>
        </row>
        <row r="23">
          <cell r="L23">
            <v>4665662.9279001951</v>
          </cell>
          <cell r="M23">
            <v>3773150.2503777565</v>
          </cell>
          <cell r="N23">
            <v>2802616.5965585536</v>
          </cell>
          <cell r="O23">
            <v>2484320.3231138606</v>
          </cell>
          <cell r="P23">
            <v>1981971.6420892924</v>
          </cell>
          <cell r="Q23">
            <v>1393495.4222764568</v>
          </cell>
        </row>
        <row r="32">
          <cell r="K32">
            <v>195</v>
          </cell>
          <cell r="L32">
            <v>193</v>
          </cell>
          <cell r="M32">
            <v>196</v>
          </cell>
          <cell r="N32">
            <v>116</v>
          </cell>
          <cell r="O32">
            <v>65</v>
          </cell>
          <cell r="P32">
            <v>11</v>
          </cell>
        </row>
        <row r="33">
          <cell r="K33">
            <v>9422086</v>
          </cell>
          <cell r="L33">
            <v>8415275</v>
          </cell>
          <cell r="M33">
            <v>6779631</v>
          </cell>
        </row>
        <row r="34">
          <cell r="K34">
            <v>51885184</v>
          </cell>
          <cell r="L34">
            <v>50214260</v>
          </cell>
          <cell r="M34">
            <v>35067500</v>
          </cell>
          <cell r="N34">
            <v>22112000</v>
          </cell>
          <cell r="O34">
            <v>16103000</v>
          </cell>
          <cell r="P34">
            <v>7500000</v>
          </cell>
        </row>
      </sheetData>
      <sheetData sheetId="24"/>
      <sheetData sheetId="25"/>
      <sheetData sheetId="26"/>
      <sheetData sheetId="27">
        <row r="18">
          <cell r="AZ18">
            <v>1361763</v>
          </cell>
        </row>
      </sheetData>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8">
          <cell r="B28">
            <v>7</v>
          </cell>
          <cell r="C28">
            <v>14</v>
          </cell>
          <cell r="D28">
            <v>22</v>
          </cell>
          <cell r="E28">
            <v>28</v>
          </cell>
          <cell r="F28">
            <v>34</v>
          </cell>
          <cell r="G28">
            <v>32</v>
          </cell>
          <cell r="H28">
            <v>34</v>
          </cell>
          <cell r="I28">
            <v>36</v>
          </cell>
          <cell r="J28">
            <v>39</v>
          </cell>
        </row>
        <row r="29">
          <cell r="B29">
            <v>0</v>
          </cell>
          <cell r="C29">
            <v>4</v>
          </cell>
          <cell r="D29">
            <v>4</v>
          </cell>
          <cell r="E29">
            <v>6</v>
          </cell>
          <cell r="F29">
            <v>6</v>
          </cell>
          <cell r="G29">
            <v>2</v>
          </cell>
          <cell r="H29">
            <v>1</v>
          </cell>
          <cell r="I29">
            <v>3</v>
          </cell>
          <cell r="J29">
            <v>1</v>
          </cell>
        </row>
        <row r="30">
          <cell r="B30">
            <v>7</v>
          </cell>
          <cell r="C30">
            <v>10</v>
          </cell>
          <cell r="D30">
            <v>18</v>
          </cell>
          <cell r="E30">
            <v>22</v>
          </cell>
          <cell r="F30">
            <v>28</v>
          </cell>
          <cell r="G30">
            <v>30</v>
          </cell>
          <cell r="H30">
            <v>33</v>
          </cell>
          <cell r="I30">
            <v>33</v>
          </cell>
          <cell r="J30">
            <v>38</v>
          </cell>
        </row>
        <row r="33">
          <cell r="B33">
            <v>262</v>
          </cell>
          <cell r="C33">
            <v>255</v>
          </cell>
          <cell r="D33">
            <v>265</v>
          </cell>
          <cell r="E33">
            <v>606</v>
          </cell>
          <cell r="F33">
            <v>844</v>
          </cell>
          <cell r="G33">
            <v>806</v>
          </cell>
          <cell r="H33">
            <v>859</v>
          </cell>
          <cell r="I33">
            <v>853</v>
          </cell>
          <cell r="J33">
            <v>773</v>
          </cell>
        </row>
        <row r="34">
          <cell r="B34">
            <v>10621976</v>
          </cell>
          <cell r="C34">
            <v>9214052</v>
          </cell>
          <cell r="D34">
            <v>16137468</v>
          </cell>
          <cell r="E34">
            <v>34555726</v>
          </cell>
          <cell r="F34">
            <v>54269760</v>
          </cell>
          <cell r="G34">
            <v>62298865</v>
          </cell>
          <cell r="H34">
            <v>55490232</v>
          </cell>
          <cell r="I34">
            <v>50955135</v>
          </cell>
          <cell r="J34">
            <v>39177270</v>
          </cell>
        </row>
        <row r="35">
          <cell r="B35">
            <v>22546350</v>
          </cell>
          <cell r="C35">
            <v>13388586</v>
          </cell>
          <cell r="D35">
            <v>28100875</v>
          </cell>
          <cell r="E35">
            <v>47475449</v>
          </cell>
          <cell r="F35">
            <v>121412913</v>
          </cell>
          <cell r="G35">
            <v>262489273</v>
          </cell>
          <cell r="H35">
            <v>128030075</v>
          </cell>
          <cell r="I35">
            <v>59241141</v>
          </cell>
          <cell r="J35">
            <v>88946890</v>
          </cell>
        </row>
        <row r="36">
          <cell r="B36">
            <v>208653</v>
          </cell>
          <cell r="C36">
            <v>544110</v>
          </cell>
          <cell r="D36">
            <v>654370</v>
          </cell>
          <cell r="E36">
            <v>1249733</v>
          </cell>
          <cell r="F36">
            <v>1852263</v>
          </cell>
          <cell r="G36">
            <v>2903935</v>
          </cell>
          <cell r="H36">
            <v>3751728</v>
          </cell>
          <cell r="I36">
            <v>4217057</v>
          </cell>
          <cell r="J36">
            <v>3473616</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B15">
            <v>7</v>
          </cell>
          <cell r="C15">
            <v>10</v>
          </cell>
          <cell r="D15">
            <v>18</v>
          </cell>
          <cell r="E15">
            <v>23</v>
          </cell>
          <cell r="F15">
            <v>28</v>
          </cell>
          <cell r="G15">
            <v>30</v>
          </cell>
          <cell r="H15">
            <v>33</v>
          </cell>
          <cell r="I15">
            <v>33</v>
          </cell>
        </row>
        <row r="17">
          <cell r="B17">
            <v>4</v>
          </cell>
          <cell r="C17">
            <v>4</v>
          </cell>
          <cell r="D17">
            <v>12</v>
          </cell>
          <cell r="E17">
            <v>16</v>
          </cell>
          <cell r="F17">
            <v>19</v>
          </cell>
          <cell r="G17">
            <v>21</v>
          </cell>
          <cell r="H17">
            <v>20</v>
          </cell>
          <cell r="I17">
            <v>19</v>
          </cell>
        </row>
        <row r="18">
          <cell r="B18">
            <v>0</v>
          </cell>
          <cell r="C18">
            <v>0</v>
          </cell>
          <cell r="D18">
            <v>0</v>
          </cell>
          <cell r="E18">
            <v>0</v>
          </cell>
          <cell r="F18">
            <v>0</v>
          </cell>
          <cell r="G18">
            <v>0</v>
          </cell>
          <cell r="H18">
            <v>4</v>
          </cell>
          <cell r="I18">
            <v>11</v>
          </cell>
        </row>
        <row r="19">
          <cell r="B19">
            <v>3</v>
          </cell>
          <cell r="C19">
            <v>6</v>
          </cell>
          <cell r="D19">
            <v>6</v>
          </cell>
          <cell r="E19">
            <v>7</v>
          </cell>
          <cell r="F19">
            <v>9</v>
          </cell>
          <cell r="G19">
            <v>9</v>
          </cell>
          <cell r="H19">
            <v>9</v>
          </cell>
          <cell r="I19">
            <v>3</v>
          </cell>
        </row>
        <row r="20">
          <cell r="B20">
            <v>0</v>
          </cell>
          <cell r="C20">
            <v>4</v>
          </cell>
          <cell r="D20">
            <v>4</v>
          </cell>
          <cell r="E20">
            <v>5</v>
          </cell>
          <cell r="F20">
            <v>7</v>
          </cell>
          <cell r="G20">
            <v>3</v>
          </cell>
          <cell r="H20">
            <v>1</v>
          </cell>
          <cell r="I20">
            <v>3</v>
          </cell>
        </row>
        <row r="21">
          <cell r="B21">
            <v>0</v>
          </cell>
          <cell r="C21">
            <v>0</v>
          </cell>
          <cell r="D21">
            <v>0</v>
          </cell>
          <cell r="E21">
            <v>0</v>
          </cell>
          <cell r="F21">
            <v>0</v>
          </cell>
          <cell r="G21">
            <v>1</v>
          </cell>
          <cell r="H21">
            <v>1</v>
          </cell>
          <cell r="I21">
            <v>3</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NA"/>
      <sheetName val="TABLE 5"/>
      <sheetName val="TABLE 6"/>
      <sheetName val="Charts 6-10"/>
      <sheetName val="DNU"/>
      <sheetName val="Charts 11-21"/>
      <sheetName val="5b. Job and Wage Analysis"/>
      <sheetName val="1. Summary"/>
      <sheetName val="1a. By Code"/>
      <sheetName val="2. Detailed Summary"/>
      <sheetName val="3. Distribution"/>
      <sheetName val="4. Jobs"/>
      <sheetName val="5. Payroll"/>
      <sheetName val="5a. Weighted Avg Wage"/>
      <sheetName val="6. Capex"/>
      <sheetName val="7. Cost-Benefit"/>
      <sheetName val="8. Incentives- Max"/>
      <sheetName val="9. Incentives- Est"/>
      <sheetName val="10. Misc"/>
      <sheetName val="11. Aggregate"/>
      <sheetName val="Incentives earned"/>
      <sheetName val="Footnotes"/>
      <sheetName val="Year 2007"/>
      <sheetName val="Year 2008"/>
      <sheetName val="Actuals Summary"/>
      <sheetName val="Perf Exp"/>
      <sheetName val="Actual Average Wage, etc"/>
    </sheetNames>
    <sheetDataSet>
      <sheetData sheetId="0"/>
      <sheetData sheetId="1"/>
      <sheetData sheetId="2"/>
      <sheetData sheetId="3"/>
      <sheetData sheetId="4"/>
      <sheetData sheetId="5"/>
      <sheetData sheetId="6">
        <row r="26">
          <cell r="C26">
            <v>107660</v>
          </cell>
          <cell r="D26">
            <v>215320</v>
          </cell>
          <cell r="E26">
            <v>753620</v>
          </cell>
          <cell r="F26">
            <v>1643100</v>
          </cell>
          <cell r="G26">
            <v>2580700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ingApplicants"/>
      <sheetName val="SummaryData"/>
      <sheetName val="NetCapInfo"/>
      <sheetName val="AllCapInfo"/>
      <sheetName val="App Status"/>
      <sheetName val="1a. By Code"/>
      <sheetName val="Name Changes"/>
      <sheetName val="Subsection 5"/>
      <sheetName val="Green VEGI"/>
      <sheetName val="2. Detailed Summary"/>
      <sheetName val="3. Distribution"/>
      <sheetName val="4. Jobs"/>
      <sheetName val="5. Payroll"/>
      <sheetName val="5a. Weighted Avg Wage"/>
      <sheetName val="5b. Job and Wage Analysis"/>
      <sheetName val="5c. Median wage"/>
      <sheetName val="5d. Employee Benefits"/>
      <sheetName val="6. Capex"/>
      <sheetName val="7. Cost-Benefit"/>
      <sheetName val="8. Incentives- Est"/>
      <sheetName val="9. Incentives- Max"/>
      <sheetName val="10. Misc"/>
      <sheetName val="11. Aggregate"/>
      <sheetName val="VOTE Tracking"/>
      <sheetName val="Attendance"/>
      <sheetName val="App Volume"/>
      <sheetName val="Term&amp;Incentives"/>
      <sheetName val="TermJobsPayCap"/>
      <sheetName val="TermCostBenefit"/>
      <sheetName val="Claim Status"/>
      <sheetName val="Instr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3">
          <cell r="J33">
            <v>13672683</v>
          </cell>
          <cell r="K33">
            <v>8043889</v>
          </cell>
          <cell r="L33">
            <v>7453269</v>
          </cell>
          <cell r="M33">
            <v>5727737</v>
          </cell>
          <cell r="N33">
            <v>2824905</v>
          </cell>
          <cell r="O33">
            <v>1032780</v>
          </cell>
        </row>
        <row r="34">
          <cell r="J34">
            <v>28711664</v>
          </cell>
        </row>
      </sheetData>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W120"/>
  <sheetViews>
    <sheetView workbookViewId="0">
      <selection activeCell="R10" sqref="R10"/>
    </sheetView>
  </sheetViews>
  <sheetFormatPr defaultRowHeight="12.75" x14ac:dyDescent="0.2"/>
  <cols>
    <col min="1" max="1" width="45.7109375" customWidth="1"/>
    <col min="2" max="2" width="10.28515625" bestFit="1" customWidth="1"/>
    <col min="3" max="3" width="10.85546875" style="31" bestFit="1" customWidth="1"/>
    <col min="4" max="4" width="11.7109375" style="31" bestFit="1" customWidth="1"/>
    <col min="5" max="5" width="27.28515625" style="463" bestFit="1" customWidth="1"/>
    <col min="6" max="6" width="7.7109375" style="463" bestFit="1" customWidth="1"/>
    <col min="7" max="7" width="14.5703125" style="31" bestFit="1" customWidth="1"/>
    <col min="8" max="8" width="11" style="882" bestFit="1" customWidth="1"/>
    <col min="9" max="9" width="14.28515625" style="84" customWidth="1"/>
    <col min="10" max="10" width="14.28515625" style="2986" bestFit="1" customWidth="1"/>
    <col min="11" max="11" width="15.7109375" style="463" bestFit="1" customWidth="1"/>
    <col min="12" max="12" width="20.5703125" bestFit="1" customWidth="1"/>
    <col min="13" max="13" width="13.85546875" style="39" customWidth="1"/>
    <col min="14" max="14" width="12.28515625" customWidth="1"/>
    <col min="15" max="15" width="9.7109375" bestFit="1" customWidth="1"/>
    <col min="16" max="16" width="10.7109375" customWidth="1"/>
    <col min="17" max="17" width="12.28515625" customWidth="1"/>
    <col min="24" max="24" width="11.140625" bestFit="1" customWidth="1"/>
    <col min="25" max="25" width="9.42578125" bestFit="1" customWidth="1"/>
    <col min="26" max="28" width="11.140625" bestFit="1" customWidth="1"/>
  </cols>
  <sheetData>
    <row r="1" spans="1:49" s="2224" customFormat="1" ht="17.25" customHeight="1" x14ac:dyDescent="0.2">
      <c r="A1" s="4042" t="s">
        <v>1684</v>
      </c>
      <c r="B1" s="4043"/>
      <c r="C1" s="4043"/>
      <c r="D1" s="4043"/>
      <c r="E1" s="4043"/>
      <c r="F1" s="4043"/>
      <c r="G1" s="4043"/>
      <c r="H1" s="4043"/>
      <c r="I1" s="4043"/>
      <c r="J1" s="4043"/>
      <c r="K1" s="4043"/>
      <c r="L1" s="4044"/>
      <c r="M1" s="3702"/>
      <c r="N1" s="3703"/>
      <c r="O1" s="3703"/>
      <c r="P1" s="3703"/>
      <c r="Q1" s="3704"/>
      <c r="R1" s="3705"/>
      <c r="S1" s="3705"/>
      <c r="T1" s="3705"/>
      <c r="U1" s="3705"/>
      <c r="V1" s="3705"/>
      <c r="W1" s="3705"/>
      <c r="X1" s="3705"/>
      <c r="Y1" s="3705"/>
      <c r="Z1" s="3705"/>
      <c r="AA1" s="3705"/>
      <c r="AB1" s="3705"/>
      <c r="AC1" s="3705"/>
      <c r="AD1" s="3705"/>
      <c r="AE1" s="3705"/>
      <c r="AF1" s="3705"/>
      <c r="AG1" s="3705"/>
      <c r="AH1" s="3705"/>
      <c r="AI1" s="3705"/>
      <c r="AJ1" s="3705"/>
      <c r="AK1" s="3705"/>
      <c r="AL1" s="3705"/>
      <c r="AM1" s="3705"/>
      <c r="AN1" s="3705"/>
      <c r="AO1" s="3705"/>
      <c r="AP1" s="3705"/>
      <c r="AQ1" s="3706"/>
      <c r="AR1" s="3707"/>
      <c r="AS1" s="3708"/>
      <c r="AT1" s="3709"/>
      <c r="AU1" s="3710"/>
      <c r="AV1" s="3711" t="s">
        <v>71</v>
      </c>
      <c r="AW1" s="3712" t="s">
        <v>84</v>
      </c>
    </row>
    <row r="2" spans="1:49" s="2224" customFormat="1" ht="17.25" customHeight="1" x14ac:dyDescent="0.2">
      <c r="A2" s="4045"/>
      <c r="B2" s="4046"/>
      <c r="C2" s="4046"/>
      <c r="D2" s="4046"/>
      <c r="E2" s="4046"/>
      <c r="F2" s="4046"/>
      <c r="G2" s="4046"/>
      <c r="H2" s="4046"/>
      <c r="I2" s="4046"/>
      <c r="J2" s="4046"/>
      <c r="K2" s="4046"/>
      <c r="L2" s="4047"/>
      <c r="M2" s="3702"/>
      <c r="N2" s="4040"/>
      <c r="O2" s="4039"/>
      <c r="P2" s="3821"/>
      <c r="Q2" s="4041"/>
      <c r="R2" s="3705"/>
      <c r="S2" s="3705"/>
      <c r="T2" s="3705"/>
      <c r="U2" s="3705"/>
      <c r="V2" s="3705"/>
      <c r="W2" s="3705"/>
      <c r="X2" s="3705"/>
      <c r="Y2" s="3705"/>
      <c r="Z2" s="3705"/>
      <c r="AA2" s="3705"/>
      <c r="AB2" s="3713"/>
      <c r="AC2" s="3713"/>
      <c r="AD2" s="3713"/>
      <c r="AE2" s="3713"/>
      <c r="AF2" s="3713"/>
      <c r="AG2" s="3713"/>
      <c r="AH2" s="3713"/>
      <c r="AI2" s="3713"/>
      <c r="AJ2" s="3713"/>
      <c r="AK2" s="3713"/>
      <c r="AL2" s="3713"/>
      <c r="AM2" s="3713"/>
      <c r="AN2" s="3713"/>
      <c r="AO2" s="3713"/>
      <c r="AP2" s="3713"/>
      <c r="AQ2" s="3714"/>
      <c r="AR2" s="3707"/>
      <c r="AS2" s="3708"/>
      <c r="AT2" s="3709"/>
      <c r="AU2" s="3710"/>
      <c r="AV2" s="3711" t="s">
        <v>82</v>
      </c>
      <c r="AW2" s="3712" t="s">
        <v>85</v>
      </c>
    </row>
    <row r="3" spans="1:49" s="2224" customFormat="1" ht="24.6" customHeight="1" thickBot="1" x14ac:dyDescent="0.25">
      <c r="A3" s="4048" t="s">
        <v>1709</v>
      </c>
      <c r="B3" s="4049"/>
      <c r="C3" s="4049"/>
      <c r="D3" s="4049"/>
      <c r="E3" s="4049"/>
      <c r="F3" s="4049"/>
      <c r="G3" s="4049"/>
      <c r="H3" s="4049"/>
      <c r="I3" s="4049"/>
      <c r="J3" s="4049"/>
      <c r="K3" s="4049"/>
      <c r="L3" s="4050"/>
      <c r="M3" s="4067"/>
      <c r="N3" s="4068"/>
      <c r="O3" s="4068"/>
      <c r="P3" s="4069"/>
      <c r="Q3" s="3704"/>
      <c r="R3" s="3705"/>
      <c r="S3" s="3705"/>
      <c r="T3" s="3705"/>
      <c r="U3" s="3705"/>
      <c r="V3" s="3705"/>
      <c r="W3" s="3705"/>
      <c r="X3" s="3705"/>
      <c r="Y3" s="3705"/>
      <c r="Z3" s="3705"/>
      <c r="AA3" s="3705"/>
      <c r="AB3" s="3705"/>
      <c r="AC3" s="3705"/>
      <c r="AD3" s="3705"/>
      <c r="AE3" s="3705"/>
      <c r="AF3" s="3705"/>
      <c r="AG3" s="3705"/>
      <c r="AH3" s="3705"/>
      <c r="AI3" s="3705"/>
      <c r="AJ3" s="3705"/>
      <c r="AK3" s="3705"/>
      <c r="AL3" s="3705"/>
      <c r="AM3" s="3705"/>
      <c r="AN3" s="3705"/>
      <c r="AO3" s="3705"/>
      <c r="AQ3" s="3707"/>
    </row>
    <row r="4" spans="1:49" s="2224" customFormat="1" ht="10.5" customHeight="1" thickTop="1" x14ac:dyDescent="0.2">
      <c r="A4" s="4051" t="s">
        <v>241</v>
      </c>
      <c r="B4" s="4054" t="s">
        <v>1710</v>
      </c>
      <c r="C4" s="4054" t="s">
        <v>1804</v>
      </c>
      <c r="D4" s="4054" t="s">
        <v>1621</v>
      </c>
      <c r="E4" s="4057" t="s">
        <v>5</v>
      </c>
      <c r="F4" s="4054" t="s">
        <v>1651</v>
      </c>
      <c r="G4" s="4054" t="s">
        <v>1808</v>
      </c>
      <c r="H4" s="4060" t="s">
        <v>1534</v>
      </c>
      <c r="I4" s="4060" t="s">
        <v>1649</v>
      </c>
      <c r="J4" s="4057" t="s">
        <v>1652</v>
      </c>
      <c r="K4" s="4057" t="s">
        <v>261</v>
      </c>
      <c r="L4" s="4063" t="s">
        <v>1623</v>
      </c>
      <c r="M4" s="3805"/>
      <c r="N4" s="3806"/>
      <c r="O4" s="3806"/>
      <c r="P4" s="3807"/>
      <c r="Q4" s="3807"/>
      <c r="R4" s="3705"/>
      <c r="S4" s="3705"/>
      <c r="T4" s="3705"/>
      <c r="U4" s="3705"/>
      <c r="V4" s="3705"/>
      <c r="W4" s="3705"/>
      <c r="X4" s="3705"/>
      <c r="Y4" s="3705"/>
      <c r="Z4" s="3705"/>
      <c r="AA4" s="3705"/>
      <c r="AB4" s="3705"/>
      <c r="AC4" s="3705"/>
      <c r="AD4" s="3705"/>
      <c r="AE4" s="3705"/>
      <c r="AF4" s="3705"/>
      <c r="AG4" s="3705"/>
      <c r="AH4" s="3705"/>
      <c r="AI4" s="3705"/>
      <c r="AJ4" s="3705"/>
      <c r="AK4" s="3705"/>
      <c r="AL4" s="3705"/>
      <c r="AM4" s="3705"/>
      <c r="AN4" s="3705"/>
      <c r="AO4" s="3705"/>
      <c r="AQ4" s="3707"/>
    </row>
    <row r="5" spans="1:49" s="2224" customFormat="1" ht="10.5" customHeight="1" x14ac:dyDescent="0.2">
      <c r="A5" s="4052"/>
      <c r="B5" s="4055"/>
      <c r="C5" s="4055"/>
      <c r="D5" s="4055"/>
      <c r="E5" s="4058"/>
      <c r="F5" s="4055"/>
      <c r="G5" s="4055"/>
      <c r="H5" s="4061"/>
      <c r="I5" s="4061"/>
      <c r="J5" s="4058"/>
      <c r="K5" s="4058"/>
      <c r="L5" s="4064"/>
      <c r="M5" s="3890"/>
      <c r="N5" s="4040"/>
      <c r="O5" s="4039"/>
      <c r="P5" s="3821"/>
      <c r="Q5" s="4041"/>
      <c r="R5" s="3705"/>
      <c r="S5" s="3705"/>
      <c r="T5" s="3705"/>
      <c r="U5" s="3705"/>
      <c r="V5" s="3705"/>
      <c r="W5" s="3705"/>
      <c r="X5" s="3705"/>
      <c r="Y5" s="3705"/>
      <c r="Z5" s="3705"/>
      <c r="AA5" s="3705"/>
      <c r="AB5" s="3705"/>
      <c r="AC5" s="3705"/>
      <c r="AD5" s="3705"/>
      <c r="AE5" s="3705"/>
      <c r="AF5" s="3705"/>
      <c r="AG5" s="3705"/>
      <c r="AH5" s="3705"/>
      <c r="AI5" s="3705"/>
      <c r="AJ5" s="3705"/>
      <c r="AK5" s="3705"/>
      <c r="AL5" s="3705"/>
      <c r="AM5" s="3705"/>
      <c r="AN5" s="3705"/>
      <c r="AO5" s="3705"/>
    </row>
    <row r="6" spans="1:49" s="2224" customFormat="1" ht="10.5" customHeight="1" x14ac:dyDescent="0.2">
      <c r="A6" s="4052"/>
      <c r="B6" s="4055"/>
      <c r="C6" s="4055"/>
      <c r="D6" s="4055"/>
      <c r="E6" s="4058"/>
      <c r="F6" s="4055"/>
      <c r="G6" s="4055"/>
      <c r="H6" s="4061"/>
      <c r="I6" s="4061"/>
      <c r="J6" s="4058"/>
      <c r="K6" s="4058"/>
      <c r="L6" s="4064"/>
      <c r="M6" s="3820"/>
      <c r="N6" s="4040"/>
      <c r="O6" s="4039"/>
      <c r="P6" s="3821"/>
      <c r="Q6" s="4041"/>
      <c r="R6" s="3705"/>
      <c r="S6" s="3705"/>
      <c r="T6" s="3705"/>
      <c r="U6" s="3705"/>
      <c r="V6" s="3705"/>
      <c r="W6" s="3822"/>
      <c r="X6" s="3822"/>
      <c r="Y6" s="3822"/>
      <c r="Z6" s="3822"/>
      <c r="AA6" s="3822"/>
      <c r="AB6" s="3705"/>
      <c r="AC6" s="3705"/>
      <c r="AD6" s="3705"/>
      <c r="AE6" s="3705"/>
      <c r="AF6" s="3705"/>
      <c r="AG6" s="3705"/>
      <c r="AH6" s="3705"/>
      <c r="AI6" s="3705"/>
      <c r="AJ6" s="3705"/>
      <c r="AK6" s="3705"/>
      <c r="AL6" s="3705"/>
      <c r="AM6" s="3705"/>
      <c r="AN6" s="3705"/>
      <c r="AO6" s="3705"/>
    </row>
    <row r="7" spans="1:49" s="2224" customFormat="1" ht="10.5" customHeight="1" thickBot="1" x14ac:dyDescent="0.25">
      <c r="A7" s="4053"/>
      <c r="B7" s="4056"/>
      <c r="C7" s="4056"/>
      <c r="D7" s="4056"/>
      <c r="E7" s="4059"/>
      <c r="F7" s="4056"/>
      <c r="G7" s="4056"/>
      <c r="H7" s="4062"/>
      <c r="I7" s="4062"/>
      <c r="J7" s="4059"/>
      <c r="K7" s="4059"/>
      <c r="L7" s="4065"/>
      <c r="M7" s="3820"/>
      <c r="N7" s="3806"/>
      <c r="O7" s="3820"/>
      <c r="P7" s="3821"/>
      <c r="Q7" s="3807"/>
      <c r="R7" s="3705"/>
      <c r="S7" s="3705"/>
      <c r="T7" s="3705"/>
      <c r="U7" s="3705"/>
      <c r="V7" s="3705"/>
      <c r="W7" s="3822"/>
      <c r="X7" s="3822"/>
      <c r="Y7" s="3822"/>
      <c r="Z7" s="3822"/>
      <c r="AA7" s="3822"/>
      <c r="AB7" s="3705"/>
      <c r="AC7" s="3705"/>
      <c r="AD7" s="3705"/>
      <c r="AE7" s="3705"/>
      <c r="AF7" s="3705"/>
      <c r="AG7" s="3705"/>
      <c r="AH7" s="3705"/>
      <c r="AI7" s="3705"/>
      <c r="AJ7" s="3705"/>
      <c r="AK7" s="3705"/>
      <c r="AL7" s="3705"/>
      <c r="AM7" s="3705"/>
      <c r="AN7" s="3705"/>
      <c r="AO7" s="3705"/>
    </row>
    <row r="8" spans="1:49" s="2224" customFormat="1" ht="15.95" customHeight="1" x14ac:dyDescent="0.2">
      <c r="A8" s="3812" t="s">
        <v>39</v>
      </c>
      <c r="B8" s="3813" t="s">
        <v>454</v>
      </c>
      <c r="C8" s="3814">
        <v>39107</v>
      </c>
      <c r="D8" s="3813" t="s">
        <v>454</v>
      </c>
      <c r="E8" s="3688" t="s">
        <v>1441</v>
      </c>
      <c r="F8" s="3815">
        <v>4</v>
      </c>
      <c r="G8" s="3688" t="s">
        <v>1278</v>
      </c>
      <c r="H8" s="3816">
        <v>336055</v>
      </c>
      <c r="I8" s="3816">
        <v>0</v>
      </c>
      <c r="J8" s="3817" t="s">
        <v>454</v>
      </c>
      <c r="K8" s="3818" t="s">
        <v>32</v>
      </c>
      <c r="L8" s="3819" t="s">
        <v>59</v>
      </c>
      <c r="M8" s="3820"/>
      <c r="N8" s="3806"/>
      <c r="O8" s="3820"/>
      <c r="P8" s="3821"/>
      <c r="Q8" s="3807"/>
      <c r="R8" s="3705"/>
      <c r="S8" s="3705"/>
      <c r="T8" s="3705"/>
      <c r="U8" s="3705"/>
      <c r="V8" s="3705"/>
      <c r="W8" s="3822"/>
      <c r="X8" s="3822"/>
      <c r="Y8" s="3822"/>
      <c r="Z8" s="3822"/>
      <c r="AA8" s="3822"/>
      <c r="AB8" s="3705"/>
      <c r="AC8" s="3705"/>
      <c r="AD8" s="3705"/>
      <c r="AE8" s="3705"/>
      <c r="AF8" s="3705"/>
      <c r="AG8" s="3705"/>
      <c r="AH8" s="3705"/>
      <c r="AI8" s="3705"/>
      <c r="AJ8" s="3705"/>
      <c r="AK8" s="3705"/>
      <c r="AL8" s="3705"/>
      <c r="AM8" s="3705"/>
      <c r="AN8" s="3705"/>
      <c r="AO8" s="3705"/>
    </row>
    <row r="9" spans="1:49" s="2224" customFormat="1" ht="15.95" customHeight="1" x14ac:dyDescent="0.2">
      <c r="A9" s="3692" t="s">
        <v>247</v>
      </c>
      <c r="B9" s="3809" t="s">
        <v>454</v>
      </c>
      <c r="C9" s="3823">
        <v>39107</v>
      </c>
      <c r="D9" s="3809" t="s">
        <v>454</v>
      </c>
      <c r="E9" s="3687" t="s">
        <v>1442</v>
      </c>
      <c r="F9" s="3684">
        <v>4</v>
      </c>
      <c r="G9" s="3687" t="s">
        <v>1278</v>
      </c>
      <c r="H9" s="3681">
        <v>474428</v>
      </c>
      <c r="I9" s="3681">
        <v>0</v>
      </c>
      <c r="J9" s="3682" t="s">
        <v>454</v>
      </c>
      <c r="K9" s="3824" t="s">
        <v>34</v>
      </c>
      <c r="L9" s="3825" t="s">
        <v>67</v>
      </c>
      <c r="M9" s="3820"/>
      <c r="N9" s="3806"/>
      <c r="O9" s="3820"/>
      <c r="P9" s="3821"/>
      <c r="Q9" s="3807"/>
      <c r="R9" s="3705"/>
      <c r="S9" s="3705"/>
      <c r="T9" s="3705"/>
      <c r="U9" s="3705"/>
      <c r="V9" s="3705"/>
      <c r="W9" s="3822"/>
      <c r="X9" s="3822"/>
      <c r="Y9" s="3822"/>
      <c r="Z9" s="3822"/>
      <c r="AA9" s="3822"/>
      <c r="AB9" s="3705"/>
      <c r="AC9" s="3705"/>
      <c r="AD9" s="3705"/>
      <c r="AE9" s="3705"/>
      <c r="AF9" s="3705"/>
      <c r="AG9" s="3705"/>
      <c r="AH9" s="3705"/>
      <c r="AI9" s="3705"/>
      <c r="AJ9" s="3705"/>
      <c r="AK9" s="3705"/>
      <c r="AL9" s="3705"/>
      <c r="AM9" s="3705"/>
      <c r="AN9" s="3705"/>
      <c r="AO9" s="3705"/>
    </row>
    <row r="10" spans="1:49" s="2224" customFormat="1" ht="15.95" customHeight="1" x14ac:dyDescent="0.2">
      <c r="A10" s="3692" t="s">
        <v>13</v>
      </c>
      <c r="B10" s="3809">
        <v>39107</v>
      </c>
      <c r="C10" s="3823">
        <v>39128</v>
      </c>
      <c r="D10" s="3809" t="s">
        <v>454</v>
      </c>
      <c r="E10" s="3687" t="s">
        <v>1443</v>
      </c>
      <c r="F10" s="3826">
        <v>3</v>
      </c>
      <c r="G10" s="3687" t="s">
        <v>1806</v>
      </c>
      <c r="H10" s="3681">
        <v>791277</v>
      </c>
      <c r="I10" s="3681">
        <v>0</v>
      </c>
      <c r="J10" s="3682" t="s">
        <v>454</v>
      </c>
      <c r="K10" s="3824" t="s">
        <v>33</v>
      </c>
      <c r="L10" s="3825" t="s">
        <v>60</v>
      </c>
      <c r="M10" s="4070"/>
      <c r="N10" s="4070"/>
      <c r="O10" s="4070"/>
      <c r="P10" s="4070"/>
      <c r="Q10" s="3807"/>
      <c r="R10" s="3705"/>
      <c r="S10" s="3705"/>
      <c r="T10" s="3705"/>
      <c r="U10" s="3705"/>
      <c r="V10" s="3705"/>
      <c r="W10" s="3822"/>
      <c r="X10" s="3822"/>
      <c r="Y10" s="3822"/>
      <c r="Z10" s="3822"/>
      <c r="AA10" s="3822"/>
      <c r="AB10" s="3705"/>
      <c r="AC10" s="3705"/>
      <c r="AD10" s="3705"/>
      <c r="AE10" s="3705"/>
      <c r="AF10" s="3705"/>
      <c r="AG10" s="3705"/>
      <c r="AH10" s="3705"/>
      <c r="AI10" s="3705"/>
      <c r="AJ10" s="3705"/>
      <c r="AK10" s="3705"/>
      <c r="AL10" s="3705"/>
      <c r="AM10" s="3705"/>
      <c r="AN10" s="3705"/>
      <c r="AO10" s="3705"/>
    </row>
    <row r="11" spans="1:49" s="2224" customFormat="1" ht="15.95" customHeight="1" x14ac:dyDescent="0.2">
      <c r="A11" s="3692" t="s">
        <v>52</v>
      </c>
      <c r="B11" s="3809" t="s">
        <v>454</v>
      </c>
      <c r="C11" s="3823">
        <v>39128</v>
      </c>
      <c r="D11" s="3809" t="s">
        <v>454</v>
      </c>
      <c r="E11" s="3687" t="s">
        <v>504</v>
      </c>
      <c r="F11" s="3684">
        <v>1</v>
      </c>
      <c r="G11" s="3687" t="s">
        <v>1278</v>
      </c>
      <c r="H11" s="3681">
        <v>229672</v>
      </c>
      <c r="I11" s="3681">
        <v>0</v>
      </c>
      <c r="J11" s="3682" t="s">
        <v>454</v>
      </c>
      <c r="K11" s="3824" t="s">
        <v>284</v>
      </c>
      <c r="L11" s="3825" t="s">
        <v>440</v>
      </c>
      <c r="M11" s="4066"/>
      <c r="N11" s="4066"/>
      <c r="O11" s="3807"/>
      <c r="P11" s="3827"/>
      <c r="Q11" s="3807"/>
      <c r="R11" s="3705"/>
      <c r="S11" s="3705"/>
      <c r="T11" s="3705"/>
      <c r="U11" s="3705"/>
      <c r="V11" s="3705"/>
      <c r="W11" s="3822"/>
      <c r="X11" s="3822"/>
      <c r="Y11" s="3822"/>
      <c r="Z11" s="3822"/>
      <c r="AA11" s="3822"/>
      <c r="AB11" s="3705"/>
      <c r="AC11" s="3705"/>
      <c r="AD11" s="3705"/>
      <c r="AE11" s="3705"/>
      <c r="AF11" s="3705"/>
      <c r="AG11" s="3705"/>
      <c r="AH11" s="3705"/>
      <c r="AI11" s="3705"/>
      <c r="AJ11" s="3705"/>
      <c r="AK11" s="3705"/>
      <c r="AL11" s="3705"/>
      <c r="AM11" s="3705"/>
      <c r="AN11" s="3705"/>
      <c r="AO11" s="3705"/>
    </row>
    <row r="12" spans="1:49" s="2224" customFormat="1" ht="15.95" customHeight="1" x14ac:dyDescent="0.2">
      <c r="A12" s="3692" t="s">
        <v>245</v>
      </c>
      <c r="B12" s="3809" t="s">
        <v>454</v>
      </c>
      <c r="C12" s="3823">
        <v>39163</v>
      </c>
      <c r="D12" s="3809" t="s">
        <v>454</v>
      </c>
      <c r="E12" s="3687" t="s">
        <v>46</v>
      </c>
      <c r="F12" s="3684">
        <v>5</v>
      </c>
      <c r="G12" s="3687" t="s">
        <v>1278</v>
      </c>
      <c r="H12" s="3681">
        <v>255439</v>
      </c>
      <c r="I12" s="3681">
        <v>0</v>
      </c>
      <c r="J12" s="3682" t="s">
        <v>454</v>
      </c>
      <c r="K12" s="3824" t="s">
        <v>41</v>
      </c>
      <c r="L12" s="3825" t="s">
        <v>440</v>
      </c>
      <c r="M12" s="4066"/>
      <c r="N12" s="4066"/>
      <c r="O12" s="3807"/>
      <c r="P12" s="3827"/>
      <c r="Q12" s="3807"/>
      <c r="R12" s="3705"/>
      <c r="S12" s="3705"/>
      <c r="T12" s="3705"/>
      <c r="U12" s="3705"/>
      <c r="V12" s="3705"/>
      <c r="W12" s="3822"/>
      <c r="X12" s="3822"/>
      <c r="Y12" s="3822"/>
      <c r="Z12" s="3822"/>
      <c r="AA12" s="3822"/>
      <c r="AB12" s="3705"/>
      <c r="AC12" s="3705"/>
      <c r="AD12" s="3705"/>
      <c r="AE12" s="3705"/>
      <c r="AF12" s="3705"/>
      <c r="AG12" s="3705"/>
      <c r="AH12" s="3705"/>
      <c r="AI12" s="3705"/>
      <c r="AJ12" s="3705"/>
      <c r="AK12" s="3705"/>
      <c r="AL12" s="3705"/>
      <c r="AM12" s="3705"/>
      <c r="AN12" s="3705"/>
      <c r="AO12" s="3705"/>
    </row>
    <row r="13" spans="1:49" s="2224" customFormat="1" ht="15.95" customHeight="1" x14ac:dyDescent="0.2">
      <c r="A13" s="3692" t="s">
        <v>61</v>
      </c>
      <c r="B13" s="3809" t="s">
        <v>454</v>
      </c>
      <c r="C13" s="3823">
        <v>39205</v>
      </c>
      <c r="D13" s="3809" t="s">
        <v>454</v>
      </c>
      <c r="E13" s="3687" t="s">
        <v>1444</v>
      </c>
      <c r="F13" s="3684">
        <v>4</v>
      </c>
      <c r="G13" s="3687" t="s">
        <v>1278</v>
      </c>
      <c r="H13" s="3681">
        <v>85539</v>
      </c>
      <c r="I13" s="3681">
        <v>0</v>
      </c>
      <c r="J13" s="3682" t="s">
        <v>454</v>
      </c>
      <c r="K13" s="3824" t="s">
        <v>64</v>
      </c>
      <c r="L13" s="3825" t="s">
        <v>67</v>
      </c>
      <c r="M13" s="4066"/>
      <c r="N13" s="4066"/>
      <c r="O13" s="3807"/>
      <c r="P13" s="3827"/>
      <c r="Q13" s="3807"/>
      <c r="R13" s="3705"/>
      <c r="S13" s="3705"/>
      <c r="T13" s="3705"/>
      <c r="U13" s="3705"/>
      <c r="V13" s="3705"/>
      <c r="W13" s="3822"/>
      <c r="X13" s="3822"/>
      <c r="Y13" s="3822"/>
      <c r="Z13" s="3822"/>
      <c r="AA13" s="3822"/>
      <c r="AB13" s="3705"/>
      <c r="AC13" s="3705"/>
      <c r="AD13" s="3705"/>
      <c r="AE13" s="3705"/>
      <c r="AF13" s="3705"/>
      <c r="AG13" s="3705"/>
      <c r="AH13" s="3705"/>
      <c r="AI13" s="3705"/>
      <c r="AJ13" s="3705"/>
      <c r="AK13" s="3705"/>
      <c r="AL13" s="3705"/>
      <c r="AM13" s="3705"/>
      <c r="AN13" s="3705"/>
      <c r="AO13" s="3705"/>
    </row>
    <row r="14" spans="1:49" s="2224" customFormat="1" ht="15.95" customHeight="1" x14ac:dyDescent="0.2">
      <c r="A14" s="3692" t="s">
        <v>62</v>
      </c>
      <c r="B14" s="3809" t="s">
        <v>454</v>
      </c>
      <c r="C14" s="3823">
        <v>39205</v>
      </c>
      <c r="D14" s="3809" t="s">
        <v>454</v>
      </c>
      <c r="E14" s="3687" t="s">
        <v>1445</v>
      </c>
      <c r="F14" s="3684">
        <v>4</v>
      </c>
      <c r="G14" s="3687" t="s">
        <v>1805</v>
      </c>
      <c r="H14" s="3681">
        <v>677944</v>
      </c>
      <c r="I14" s="3681">
        <v>0</v>
      </c>
      <c r="J14" s="3682" t="s">
        <v>454</v>
      </c>
      <c r="K14" s="3824" t="s">
        <v>65</v>
      </c>
      <c r="L14" s="3825" t="s">
        <v>440</v>
      </c>
      <c r="M14" s="3820"/>
      <c r="N14" s="3807"/>
      <c r="O14" s="3807"/>
      <c r="P14" s="3827"/>
      <c r="Q14" s="3705"/>
      <c r="R14" s="3705"/>
      <c r="S14" s="3705"/>
      <c r="T14" s="3705"/>
      <c r="U14" s="3705"/>
      <c r="V14" s="3705"/>
      <c r="W14" s="3822"/>
      <c r="X14" s="3822"/>
      <c r="Y14" s="3822"/>
      <c r="Z14" s="3822"/>
      <c r="AA14" s="3822"/>
      <c r="AB14" s="3705"/>
      <c r="AC14" s="3705"/>
      <c r="AD14" s="3705"/>
      <c r="AE14" s="3705"/>
      <c r="AF14" s="3705"/>
      <c r="AG14" s="3705"/>
      <c r="AH14" s="3705"/>
      <c r="AI14" s="3705"/>
      <c r="AJ14" s="3705"/>
      <c r="AK14" s="3705"/>
      <c r="AL14" s="3705"/>
      <c r="AM14" s="3705"/>
      <c r="AN14" s="3705"/>
      <c r="AO14" s="3705"/>
    </row>
    <row r="15" spans="1:49" s="2224" customFormat="1" ht="15.95" customHeight="1" x14ac:dyDescent="0.2">
      <c r="A15" s="3692" t="s">
        <v>63</v>
      </c>
      <c r="B15" s="3809" t="s">
        <v>454</v>
      </c>
      <c r="C15" s="3683">
        <v>39205</v>
      </c>
      <c r="D15" s="3809" t="s">
        <v>454</v>
      </c>
      <c r="E15" s="3687" t="s">
        <v>1446</v>
      </c>
      <c r="F15" s="3684">
        <v>2</v>
      </c>
      <c r="G15" s="3687" t="s">
        <v>1805</v>
      </c>
      <c r="H15" s="3681">
        <v>156126</v>
      </c>
      <c r="I15" s="3681">
        <v>0</v>
      </c>
      <c r="J15" s="3682" t="s">
        <v>454</v>
      </c>
      <c r="K15" s="3824" t="s">
        <v>66</v>
      </c>
      <c r="L15" s="3825" t="s">
        <v>1447</v>
      </c>
      <c r="M15" s="3820"/>
      <c r="N15" s="3807"/>
      <c r="O15" s="3807"/>
      <c r="P15" s="3827"/>
      <c r="Q15" s="3705"/>
      <c r="R15" s="3705"/>
      <c r="S15" s="3705"/>
      <c r="T15" s="3705"/>
      <c r="U15" s="3705"/>
      <c r="V15" s="3705"/>
      <c r="W15" s="3822"/>
      <c r="X15" s="3822"/>
      <c r="Y15" s="3822"/>
      <c r="Z15" s="3822"/>
      <c r="AA15" s="3822"/>
      <c r="AB15" s="3705"/>
      <c r="AC15" s="3705"/>
      <c r="AD15" s="3705"/>
      <c r="AE15" s="3705"/>
      <c r="AF15" s="3705"/>
      <c r="AG15" s="3705"/>
      <c r="AH15" s="3705"/>
      <c r="AI15" s="3705"/>
      <c r="AJ15" s="3705"/>
      <c r="AK15" s="3705"/>
      <c r="AL15" s="3705"/>
      <c r="AM15" s="3705"/>
      <c r="AN15" s="3705"/>
      <c r="AO15" s="3705"/>
    </row>
    <row r="16" spans="1:49" s="2224" customFormat="1" ht="15.95" customHeight="1" x14ac:dyDescent="0.2">
      <c r="A16" s="3692" t="s">
        <v>134</v>
      </c>
      <c r="B16" s="3809" t="s">
        <v>454</v>
      </c>
      <c r="C16" s="3683">
        <v>39261</v>
      </c>
      <c r="D16" s="3809" t="s">
        <v>454</v>
      </c>
      <c r="E16" s="3687" t="s">
        <v>1448</v>
      </c>
      <c r="F16" s="3684">
        <v>4</v>
      </c>
      <c r="G16" s="3687" t="s">
        <v>1278</v>
      </c>
      <c r="H16" s="3681">
        <v>79054</v>
      </c>
      <c r="I16" s="3681">
        <v>0</v>
      </c>
      <c r="J16" s="3682" t="s">
        <v>454</v>
      </c>
      <c r="K16" s="3824" t="s">
        <v>64</v>
      </c>
      <c r="L16" s="3825" t="s">
        <v>67</v>
      </c>
      <c r="M16" s="3820"/>
      <c r="N16" s="3807"/>
      <c r="O16" s="3807"/>
      <c r="P16" s="3827"/>
      <c r="Q16" s="3705"/>
      <c r="R16" s="3705"/>
      <c r="S16" s="3705"/>
      <c r="T16" s="3705"/>
      <c r="U16" s="3705"/>
      <c r="V16" s="3705"/>
      <c r="W16" s="3822"/>
      <c r="X16" s="3822"/>
      <c r="Y16" s="3822"/>
      <c r="Z16" s="3822"/>
      <c r="AA16" s="3822"/>
      <c r="AB16" s="3705"/>
      <c r="AC16" s="3705"/>
      <c r="AD16" s="3705"/>
      <c r="AE16" s="3705"/>
      <c r="AF16" s="3705"/>
      <c r="AG16" s="3705"/>
      <c r="AH16" s="3705"/>
      <c r="AI16" s="3705"/>
      <c r="AJ16" s="3705"/>
      <c r="AK16" s="3705"/>
      <c r="AL16" s="3705"/>
      <c r="AM16" s="3705"/>
      <c r="AN16" s="3705"/>
      <c r="AO16" s="3705"/>
    </row>
    <row r="17" spans="1:41" s="2224" customFormat="1" ht="15.95" customHeight="1" x14ac:dyDescent="0.2">
      <c r="A17" s="3692" t="s">
        <v>50</v>
      </c>
      <c r="B17" s="3809">
        <v>39128</v>
      </c>
      <c r="C17" s="3823">
        <v>39261</v>
      </c>
      <c r="D17" s="3809" t="s">
        <v>454</v>
      </c>
      <c r="E17" s="3687" t="s">
        <v>1445</v>
      </c>
      <c r="F17" s="3684">
        <v>4</v>
      </c>
      <c r="G17" s="3687" t="s">
        <v>1278</v>
      </c>
      <c r="H17" s="3681">
        <v>1653965</v>
      </c>
      <c r="I17" s="3681">
        <v>0</v>
      </c>
      <c r="J17" s="3682" t="s">
        <v>454</v>
      </c>
      <c r="K17" s="3824" t="s">
        <v>36</v>
      </c>
      <c r="L17" s="3825" t="s">
        <v>440</v>
      </c>
      <c r="M17" s="3820"/>
      <c r="N17" s="3806"/>
      <c r="O17" s="3820"/>
      <c r="P17" s="3821"/>
      <c r="Q17" s="3807"/>
      <c r="R17" s="3705"/>
      <c r="S17" s="3705"/>
      <c r="T17" s="3705"/>
      <c r="U17" s="3705"/>
      <c r="V17" s="3705"/>
      <c r="W17" s="3822"/>
      <c r="X17" s="3822"/>
      <c r="Y17" s="3822"/>
      <c r="Z17" s="3822"/>
      <c r="AA17" s="3822"/>
      <c r="AB17" s="3705"/>
      <c r="AC17" s="3705"/>
      <c r="AD17" s="3705"/>
      <c r="AE17" s="3705"/>
      <c r="AF17" s="3705"/>
      <c r="AG17" s="3705"/>
      <c r="AH17" s="3705"/>
      <c r="AI17" s="3705"/>
      <c r="AJ17" s="3705"/>
      <c r="AK17" s="3705"/>
      <c r="AL17" s="3705"/>
      <c r="AM17" s="3705"/>
      <c r="AN17" s="3705"/>
      <c r="AO17" s="3705"/>
    </row>
    <row r="18" spans="1:41" s="2224" customFormat="1" ht="15.95" customHeight="1" x14ac:dyDescent="0.2">
      <c r="A18" s="3692" t="s">
        <v>188</v>
      </c>
      <c r="B18" s="3809" t="s">
        <v>454</v>
      </c>
      <c r="C18" s="3823">
        <v>39289</v>
      </c>
      <c r="D18" s="3809" t="s">
        <v>454</v>
      </c>
      <c r="E18" s="3687" t="s">
        <v>1449</v>
      </c>
      <c r="F18" s="3684">
        <v>4</v>
      </c>
      <c r="G18" s="3687" t="s">
        <v>1278</v>
      </c>
      <c r="H18" s="3681">
        <v>607347</v>
      </c>
      <c r="I18" s="3681">
        <v>0</v>
      </c>
      <c r="J18" s="3682" t="s">
        <v>454</v>
      </c>
      <c r="K18" s="3824" t="s">
        <v>189</v>
      </c>
      <c r="L18" s="3825" t="s">
        <v>440</v>
      </c>
      <c r="M18" s="3820"/>
      <c r="N18" s="3807"/>
      <c r="O18" s="3807"/>
      <c r="P18" s="3827"/>
      <c r="Q18" s="3807"/>
      <c r="R18" s="3705"/>
      <c r="S18" s="3705"/>
      <c r="T18" s="3705"/>
      <c r="U18" s="3705"/>
      <c r="V18" s="3705"/>
      <c r="W18" s="3822"/>
      <c r="X18" s="3822"/>
      <c r="Y18" s="3822"/>
      <c r="Z18" s="3822"/>
      <c r="AA18" s="3822"/>
      <c r="AB18" s="3705"/>
      <c r="AC18" s="3705"/>
      <c r="AD18" s="3705"/>
      <c r="AE18" s="3705"/>
      <c r="AF18" s="3705"/>
      <c r="AG18" s="3705"/>
      <c r="AH18" s="3705"/>
      <c r="AI18" s="3705"/>
      <c r="AJ18" s="3705"/>
      <c r="AK18" s="3705"/>
      <c r="AL18" s="3705"/>
      <c r="AM18" s="3705"/>
      <c r="AN18" s="3705"/>
      <c r="AO18" s="3705"/>
    </row>
    <row r="19" spans="1:41" s="3705" customFormat="1" ht="15.95" customHeight="1" x14ac:dyDescent="0.2">
      <c r="A19" s="3692" t="s">
        <v>51</v>
      </c>
      <c r="B19" s="3809">
        <v>39128</v>
      </c>
      <c r="C19" s="3823">
        <v>39380</v>
      </c>
      <c r="D19" s="3809" t="s">
        <v>454</v>
      </c>
      <c r="E19" s="3687" t="s">
        <v>1450</v>
      </c>
      <c r="F19" s="3684">
        <v>2</v>
      </c>
      <c r="G19" s="3687" t="s">
        <v>1278</v>
      </c>
      <c r="H19" s="3681">
        <v>182396</v>
      </c>
      <c r="I19" s="3681">
        <v>0</v>
      </c>
      <c r="J19" s="3682" t="s">
        <v>454</v>
      </c>
      <c r="K19" s="3824" t="s">
        <v>37</v>
      </c>
      <c r="L19" s="3825" t="s">
        <v>440</v>
      </c>
      <c r="M19" s="3820"/>
      <c r="N19" s="3807"/>
      <c r="O19" s="3807"/>
      <c r="P19" s="3827"/>
      <c r="W19" s="3822"/>
      <c r="X19" s="3822"/>
      <c r="Y19" s="3822"/>
      <c r="Z19" s="3822"/>
      <c r="AA19" s="3822"/>
    </row>
    <row r="20" spans="1:41" s="3705" customFormat="1" ht="15.95" customHeight="1" x14ac:dyDescent="0.2">
      <c r="A20" s="3692" t="s">
        <v>877</v>
      </c>
      <c r="B20" s="3809">
        <v>39226</v>
      </c>
      <c r="C20" s="3823">
        <v>39380</v>
      </c>
      <c r="D20" s="3809" t="s">
        <v>1624</v>
      </c>
      <c r="E20" s="3687" t="s">
        <v>1625</v>
      </c>
      <c r="F20" s="3684" t="s">
        <v>454</v>
      </c>
      <c r="G20" s="3687" t="s">
        <v>1277</v>
      </c>
      <c r="H20" s="3681">
        <v>1786828</v>
      </c>
      <c r="I20" s="3681">
        <v>2129672</v>
      </c>
      <c r="J20" s="3682" t="s">
        <v>454</v>
      </c>
      <c r="K20" s="3824" t="s">
        <v>372</v>
      </c>
      <c r="L20" s="3825" t="s">
        <v>440</v>
      </c>
      <c r="M20" s="3820"/>
      <c r="N20" s="3807"/>
      <c r="O20" s="3807"/>
      <c r="P20" s="3827"/>
      <c r="W20" s="3822"/>
      <c r="X20" s="3822"/>
      <c r="Y20" s="3822"/>
      <c r="Z20" s="3822"/>
      <c r="AA20" s="3822"/>
    </row>
    <row r="21" spans="1:41" s="2224" customFormat="1" ht="15.95" customHeight="1" x14ac:dyDescent="0.2">
      <c r="A21" s="3692" t="s">
        <v>417</v>
      </c>
      <c r="B21" s="3809" t="s">
        <v>1711</v>
      </c>
      <c r="C21" s="3683" t="s">
        <v>454</v>
      </c>
      <c r="D21" s="3687" t="s">
        <v>454</v>
      </c>
      <c r="E21" s="3687" t="s">
        <v>46</v>
      </c>
      <c r="F21" s="3684">
        <v>5</v>
      </c>
      <c r="G21" s="3687" t="s">
        <v>1278</v>
      </c>
      <c r="H21" s="3681">
        <v>71302</v>
      </c>
      <c r="I21" s="3681">
        <v>0</v>
      </c>
      <c r="J21" s="3682" t="s">
        <v>454</v>
      </c>
      <c r="K21" s="3824" t="s">
        <v>36</v>
      </c>
      <c r="L21" s="3828" t="s">
        <v>390</v>
      </c>
      <c r="M21" s="3820"/>
      <c r="N21" s="3807"/>
      <c r="O21" s="3807"/>
      <c r="P21" s="3827"/>
      <c r="Q21" s="3705"/>
      <c r="R21" s="3705"/>
      <c r="S21" s="3705"/>
      <c r="T21" s="3705"/>
      <c r="U21" s="3705"/>
      <c r="V21" s="3705"/>
      <c r="W21" s="3822"/>
      <c r="X21" s="3822"/>
      <c r="Y21" s="3822"/>
      <c r="Z21" s="3822"/>
      <c r="AA21" s="3822"/>
      <c r="AB21" s="3705"/>
      <c r="AC21" s="3705"/>
      <c r="AD21" s="3705"/>
      <c r="AE21" s="3705"/>
      <c r="AF21" s="3705"/>
      <c r="AG21" s="3705"/>
      <c r="AH21" s="3705"/>
      <c r="AI21" s="3705"/>
      <c r="AJ21" s="3705"/>
      <c r="AK21" s="3705"/>
      <c r="AL21" s="3705"/>
      <c r="AM21" s="3705"/>
      <c r="AN21" s="3705"/>
      <c r="AO21" s="3705"/>
    </row>
    <row r="22" spans="1:41" s="2224" customFormat="1" ht="15.95" customHeight="1" x14ac:dyDescent="0.2">
      <c r="A22" s="3692" t="s">
        <v>1452</v>
      </c>
      <c r="B22" s="3809">
        <v>39380</v>
      </c>
      <c r="C22" s="3683" t="s">
        <v>454</v>
      </c>
      <c r="D22" s="3687" t="s">
        <v>454</v>
      </c>
      <c r="E22" s="3687" t="s">
        <v>552</v>
      </c>
      <c r="F22" s="3684">
        <v>1</v>
      </c>
      <c r="G22" s="3687" t="s">
        <v>1278</v>
      </c>
      <c r="H22" s="3681">
        <v>1942989</v>
      </c>
      <c r="I22" s="3681">
        <v>0</v>
      </c>
      <c r="J22" s="3682" t="s">
        <v>1453</v>
      </c>
      <c r="K22" s="3824" t="s">
        <v>302</v>
      </c>
      <c r="L22" s="3828" t="s">
        <v>1447</v>
      </c>
      <c r="M22" s="3820"/>
      <c r="N22" s="3807"/>
      <c r="O22" s="3807"/>
      <c r="P22" s="3827"/>
      <c r="Q22" s="3705"/>
      <c r="R22" s="3705"/>
      <c r="S22" s="3705"/>
      <c r="T22" s="3705"/>
      <c r="U22" s="3705"/>
      <c r="V22" s="3705"/>
      <c r="W22" s="3822"/>
      <c r="X22" s="3822"/>
      <c r="Y22" s="3822"/>
      <c r="Z22" s="3822"/>
      <c r="AA22" s="3822"/>
      <c r="AB22" s="3705"/>
      <c r="AC22" s="3705"/>
      <c r="AD22" s="3705"/>
      <c r="AE22" s="3705"/>
      <c r="AF22" s="3705"/>
      <c r="AG22" s="3705"/>
      <c r="AH22" s="3705"/>
      <c r="AI22" s="3705"/>
      <c r="AJ22" s="3705"/>
      <c r="AK22" s="3705"/>
      <c r="AL22" s="3705"/>
      <c r="AM22" s="3705"/>
      <c r="AN22" s="3705"/>
      <c r="AO22" s="3705"/>
    </row>
    <row r="23" spans="1:41" s="2224" customFormat="1" ht="15.95" customHeight="1" x14ac:dyDescent="0.2">
      <c r="A23" s="3692" t="s">
        <v>466</v>
      </c>
      <c r="B23" s="3809">
        <v>39471</v>
      </c>
      <c r="C23" s="3683">
        <v>39513</v>
      </c>
      <c r="D23" s="3687" t="s">
        <v>454</v>
      </c>
      <c r="E23" s="3687" t="s">
        <v>1445</v>
      </c>
      <c r="F23" s="3684">
        <v>4</v>
      </c>
      <c r="G23" s="3687" t="s">
        <v>1278</v>
      </c>
      <c r="H23" s="3681">
        <v>70533</v>
      </c>
      <c r="I23" s="3681">
        <v>0</v>
      </c>
      <c r="J23" s="3682" t="s">
        <v>454</v>
      </c>
      <c r="K23" s="3824" t="s">
        <v>467</v>
      </c>
      <c r="L23" s="3825" t="s">
        <v>440</v>
      </c>
      <c r="M23" s="3820"/>
      <c r="N23" s="3807"/>
      <c r="O23" s="3807"/>
      <c r="P23" s="3827"/>
      <c r="Q23" s="3705"/>
      <c r="R23" s="3705"/>
      <c r="S23" s="3705"/>
      <c r="T23" s="3705"/>
      <c r="U23" s="3705"/>
      <c r="V23" s="3705"/>
      <c r="W23" s="3822"/>
      <c r="X23" s="3822"/>
      <c r="Y23" s="3822"/>
      <c r="Z23" s="3822"/>
      <c r="AA23" s="3822"/>
      <c r="AB23" s="3705"/>
      <c r="AC23" s="3705"/>
      <c r="AD23" s="3705"/>
      <c r="AE23" s="3705"/>
      <c r="AF23" s="3705"/>
      <c r="AG23" s="3705"/>
      <c r="AH23" s="3705"/>
      <c r="AI23" s="3705"/>
      <c r="AJ23" s="3705"/>
      <c r="AK23" s="3705"/>
      <c r="AL23" s="3705"/>
      <c r="AM23" s="3705"/>
      <c r="AN23" s="3705"/>
      <c r="AO23" s="3705"/>
    </row>
    <row r="24" spans="1:41" s="2224" customFormat="1" ht="15.95" customHeight="1" x14ac:dyDescent="0.2">
      <c r="A24" s="3692" t="s">
        <v>521</v>
      </c>
      <c r="B24" s="3809" t="s">
        <v>454</v>
      </c>
      <c r="C24" s="3683">
        <v>39534</v>
      </c>
      <c r="D24" s="3687" t="s">
        <v>553</v>
      </c>
      <c r="E24" s="3687" t="s">
        <v>1625</v>
      </c>
      <c r="F24" s="3684" t="s">
        <v>454</v>
      </c>
      <c r="G24" s="3687" t="s">
        <v>1277</v>
      </c>
      <c r="H24" s="3681">
        <v>206737</v>
      </c>
      <c r="I24" s="3681">
        <v>126260</v>
      </c>
      <c r="J24" s="3682" t="s">
        <v>454</v>
      </c>
      <c r="K24" s="3691" t="s">
        <v>523</v>
      </c>
      <c r="L24" s="3693" t="s">
        <v>390</v>
      </c>
      <c r="M24" s="3820"/>
      <c r="N24" s="3807"/>
      <c r="O24" s="3807"/>
      <c r="P24" s="3827"/>
      <c r="Q24" s="3705"/>
      <c r="R24" s="3705"/>
      <c r="S24" s="3705"/>
      <c r="T24" s="3705"/>
      <c r="U24" s="3705"/>
      <c r="V24" s="3705"/>
      <c r="W24" s="3822"/>
      <c r="X24" s="3822"/>
      <c r="Y24" s="3822"/>
      <c r="Z24" s="3822"/>
      <c r="AA24" s="3822"/>
      <c r="AB24" s="3705"/>
      <c r="AC24" s="3705"/>
      <c r="AD24" s="3705"/>
      <c r="AE24" s="3705"/>
      <c r="AF24" s="3705"/>
      <c r="AG24" s="3705"/>
      <c r="AH24" s="3705"/>
      <c r="AI24" s="3705"/>
      <c r="AJ24" s="3705"/>
      <c r="AK24" s="3705"/>
      <c r="AL24" s="3705"/>
      <c r="AM24" s="3705"/>
      <c r="AN24" s="3705"/>
      <c r="AO24" s="3705"/>
    </row>
    <row r="25" spans="1:41" s="2224" customFormat="1" ht="15.95" customHeight="1" x14ac:dyDescent="0.2">
      <c r="A25" s="3692" t="s">
        <v>519</v>
      </c>
      <c r="B25" s="3809">
        <v>39534</v>
      </c>
      <c r="C25" s="3683">
        <v>39625</v>
      </c>
      <c r="D25" s="3687" t="s">
        <v>454</v>
      </c>
      <c r="E25" s="3687" t="s">
        <v>1449</v>
      </c>
      <c r="F25" s="3684">
        <v>4</v>
      </c>
      <c r="G25" s="3687" t="s">
        <v>1278</v>
      </c>
      <c r="H25" s="3681">
        <v>568330</v>
      </c>
      <c r="I25" s="3681">
        <v>0</v>
      </c>
      <c r="J25" s="3682" t="s">
        <v>454</v>
      </c>
      <c r="K25" s="3824" t="s">
        <v>520</v>
      </c>
      <c r="L25" s="3825" t="s">
        <v>440</v>
      </c>
      <c r="M25" s="3820"/>
      <c r="N25" s="3807"/>
      <c r="O25" s="3807"/>
      <c r="P25" s="3827"/>
      <c r="Q25" s="3705"/>
      <c r="R25" s="3705"/>
      <c r="S25" s="3705"/>
      <c r="T25" s="3705"/>
      <c r="U25" s="3705"/>
      <c r="V25" s="3705"/>
      <c r="W25" s="3822"/>
      <c r="X25" s="3822"/>
      <c r="Y25" s="3822"/>
      <c r="Z25" s="3822"/>
      <c r="AA25" s="3822"/>
      <c r="AB25" s="3705"/>
      <c r="AC25" s="3705"/>
      <c r="AD25" s="3705"/>
      <c r="AE25" s="3705"/>
      <c r="AF25" s="3705"/>
      <c r="AG25" s="3705"/>
      <c r="AH25" s="3705"/>
      <c r="AI25" s="3705"/>
      <c r="AJ25" s="3705"/>
      <c r="AK25" s="3705"/>
      <c r="AL25" s="3705"/>
      <c r="AM25" s="3705"/>
      <c r="AN25" s="3705"/>
      <c r="AO25" s="3705"/>
    </row>
    <row r="26" spans="1:41" s="2224" customFormat="1" ht="15.95" customHeight="1" x14ac:dyDescent="0.2">
      <c r="A26" s="3692" t="s">
        <v>1454</v>
      </c>
      <c r="B26" s="3809" t="s">
        <v>454</v>
      </c>
      <c r="C26" s="3683">
        <v>39709</v>
      </c>
      <c r="D26" s="3687" t="s">
        <v>454</v>
      </c>
      <c r="E26" s="3687" t="s">
        <v>1449</v>
      </c>
      <c r="F26" s="3684">
        <v>4</v>
      </c>
      <c r="G26" s="3687" t="s">
        <v>1278</v>
      </c>
      <c r="H26" s="3681">
        <v>488000</v>
      </c>
      <c r="I26" s="3681">
        <v>0</v>
      </c>
      <c r="J26" s="3682" t="s">
        <v>1453</v>
      </c>
      <c r="K26" s="3691" t="s">
        <v>601</v>
      </c>
      <c r="L26" s="3693" t="s">
        <v>440</v>
      </c>
      <c r="M26" s="3820"/>
      <c r="N26" s="3807"/>
      <c r="O26" s="3807"/>
      <c r="P26" s="3827"/>
      <c r="Q26" s="3705"/>
      <c r="R26" s="3705"/>
      <c r="S26" s="3705"/>
      <c r="T26" s="3705"/>
      <c r="U26" s="3705"/>
      <c r="V26" s="3705"/>
      <c r="W26" s="3822"/>
      <c r="X26" s="3822"/>
      <c r="Y26" s="3822"/>
      <c r="Z26" s="3822"/>
      <c r="AA26" s="3822"/>
      <c r="AB26" s="3705"/>
      <c r="AC26" s="3705"/>
      <c r="AD26" s="3705"/>
      <c r="AE26" s="3705"/>
      <c r="AF26" s="3705"/>
      <c r="AG26" s="3705"/>
      <c r="AH26" s="3705"/>
      <c r="AI26" s="3705"/>
      <c r="AJ26" s="3705"/>
      <c r="AK26" s="3705"/>
      <c r="AL26" s="3705"/>
      <c r="AM26" s="3705"/>
      <c r="AN26" s="3705"/>
      <c r="AO26" s="3705"/>
    </row>
    <row r="27" spans="1:41" s="2224" customFormat="1" ht="15.95" customHeight="1" x14ac:dyDescent="0.2">
      <c r="A27" s="3692" t="s">
        <v>608</v>
      </c>
      <c r="B27" s="3809" t="s">
        <v>454</v>
      </c>
      <c r="C27" s="3683">
        <v>39709</v>
      </c>
      <c r="D27" s="3687" t="s">
        <v>454</v>
      </c>
      <c r="E27" s="3687" t="s">
        <v>1455</v>
      </c>
      <c r="F27" s="3684">
        <v>2</v>
      </c>
      <c r="G27" s="3687" t="s">
        <v>1278</v>
      </c>
      <c r="H27" s="3681">
        <v>241236</v>
      </c>
      <c r="I27" s="3681">
        <v>0</v>
      </c>
      <c r="J27" s="3682" t="s">
        <v>454</v>
      </c>
      <c r="K27" s="3691" t="s">
        <v>602</v>
      </c>
      <c r="L27" s="3693" t="s">
        <v>440</v>
      </c>
      <c r="M27" s="3820"/>
      <c r="N27" s="3807"/>
      <c r="O27" s="3807"/>
      <c r="P27" s="3827"/>
      <c r="Q27" s="3705"/>
      <c r="R27" s="3705"/>
      <c r="S27" s="3705"/>
      <c r="T27" s="3705"/>
      <c r="U27" s="3705"/>
      <c r="V27" s="3705"/>
      <c r="W27" s="3822"/>
      <c r="X27" s="3822"/>
      <c r="Y27" s="3822"/>
      <c r="Z27" s="3822"/>
      <c r="AA27" s="3822"/>
      <c r="AB27" s="3705"/>
      <c r="AC27" s="3705"/>
      <c r="AD27" s="3705"/>
      <c r="AE27" s="3705"/>
      <c r="AF27" s="3705"/>
      <c r="AG27" s="3705"/>
      <c r="AH27" s="3705"/>
      <c r="AI27" s="3705"/>
      <c r="AJ27" s="3705"/>
      <c r="AK27" s="3705"/>
      <c r="AL27" s="3705"/>
      <c r="AM27" s="3705"/>
      <c r="AN27" s="3705"/>
      <c r="AO27" s="3705"/>
    </row>
    <row r="28" spans="1:41" s="2224" customFormat="1" ht="15.95" customHeight="1" x14ac:dyDescent="0.2">
      <c r="A28" s="3692" t="s">
        <v>556</v>
      </c>
      <c r="B28" s="3809">
        <v>39625</v>
      </c>
      <c r="C28" s="3683">
        <v>39744</v>
      </c>
      <c r="D28" s="3687" t="s">
        <v>454</v>
      </c>
      <c r="E28" s="3687" t="s">
        <v>1712</v>
      </c>
      <c r="F28" s="3684">
        <v>3</v>
      </c>
      <c r="G28" s="3687" t="s">
        <v>1806</v>
      </c>
      <c r="H28" s="3681">
        <v>377371</v>
      </c>
      <c r="I28" s="3681">
        <v>0</v>
      </c>
      <c r="J28" s="3682" t="s">
        <v>454</v>
      </c>
      <c r="K28" s="3691" t="s">
        <v>554</v>
      </c>
      <c r="L28" s="3693" t="s">
        <v>1456</v>
      </c>
      <c r="M28" s="3820"/>
      <c r="N28" s="3807"/>
      <c r="O28" s="3807"/>
      <c r="P28" s="3827"/>
      <c r="Q28" s="3705"/>
      <c r="R28" s="3705"/>
      <c r="S28" s="3705"/>
      <c r="T28" s="3705"/>
      <c r="U28" s="3705"/>
      <c r="V28" s="3705"/>
      <c r="W28" s="3822"/>
      <c r="X28" s="3822"/>
      <c r="Y28" s="3822"/>
      <c r="Z28" s="3822"/>
      <c r="AA28" s="3822"/>
      <c r="AB28" s="3705"/>
      <c r="AC28" s="3705"/>
      <c r="AD28" s="3705"/>
      <c r="AE28" s="3705"/>
      <c r="AF28" s="3705"/>
      <c r="AG28" s="3705"/>
      <c r="AH28" s="3705"/>
      <c r="AI28" s="3705"/>
      <c r="AJ28" s="3705"/>
      <c r="AK28" s="3705"/>
      <c r="AL28" s="3705"/>
      <c r="AM28" s="3705"/>
      <c r="AN28" s="3705"/>
      <c r="AO28" s="3705"/>
    </row>
    <row r="29" spans="1:41" s="2224" customFormat="1" ht="15.95" customHeight="1" x14ac:dyDescent="0.2">
      <c r="A29" s="3692" t="s">
        <v>505</v>
      </c>
      <c r="B29" s="3809">
        <v>39513</v>
      </c>
      <c r="C29" s="3683" t="s">
        <v>454</v>
      </c>
      <c r="D29" s="3687" t="s">
        <v>454</v>
      </c>
      <c r="E29" s="3687" t="s">
        <v>667</v>
      </c>
      <c r="F29" s="3684">
        <v>1</v>
      </c>
      <c r="G29" s="3687" t="s">
        <v>1278</v>
      </c>
      <c r="H29" s="3681">
        <v>53739</v>
      </c>
      <c r="I29" s="3681">
        <v>0</v>
      </c>
      <c r="J29" s="3682" t="s">
        <v>454</v>
      </c>
      <c r="K29" s="3824" t="s">
        <v>628</v>
      </c>
      <c r="L29" s="3825" t="s">
        <v>1447</v>
      </c>
      <c r="M29" s="3820"/>
      <c r="N29" s="3807"/>
      <c r="O29" s="3807"/>
      <c r="P29" s="3827"/>
      <c r="Q29" s="3705"/>
      <c r="R29" s="3705"/>
      <c r="S29" s="3705"/>
      <c r="T29" s="3705"/>
      <c r="U29" s="3705"/>
      <c r="V29" s="3705"/>
      <c r="W29" s="3822"/>
      <c r="X29" s="3822"/>
      <c r="Y29" s="3822"/>
      <c r="Z29" s="3822"/>
      <c r="AA29" s="3822"/>
      <c r="AB29" s="3705"/>
      <c r="AC29" s="3705"/>
      <c r="AD29" s="3705"/>
      <c r="AE29" s="3705"/>
      <c r="AF29" s="3705"/>
      <c r="AG29" s="3705"/>
      <c r="AH29" s="3705"/>
      <c r="AI29" s="3705"/>
      <c r="AJ29" s="3705"/>
      <c r="AK29" s="3705"/>
      <c r="AL29" s="3705"/>
      <c r="AM29" s="3705"/>
      <c r="AN29" s="3705"/>
      <c r="AO29" s="3705"/>
    </row>
    <row r="30" spans="1:41" s="2224" customFormat="1" ht="15.95" customHeight="1" x14ac:dyDescent="0.2">
      <c r="A30" s="3692" t="s">
        <v>1457</v>
      </c>
      <c r="B30" s="3809">
        <v>39653</v>
      </c>
      <c r="C30" s="3683">
        <v>39786</v>
      </c>
      <c r="D30" s="3687" t="s">
        <v>454</v>
      </c>
      <c r="E30" s="3687" t="s">
        <v>46</v>
      </c>
      <c r="F30" s="3684">
        <v>5</v>
      </c>
      <c r="G30" s="3687" t="s">
        <v>1278</v>
      </c>
      <c r="H30" s="3681">
        <v>293967</v>
      </c>
      <c r="I30" s="3681">
        <v>0</v>
      </c>
      <c r="J30" s="3682" t="s">
        <v>1453</v>
      </c>
      <c r="K30" s="3691" t="s">
        <v>520</v>
      </c>
      <c r="L30" s="3693" t="s">
        <v>390</v>
      </c>
      <c r="M30" s="3820"/>
      <c r="N30" s="3807"/>
      <c r="O30" s="3807"/>
      <c r="P30" s="3827"/>
      <c r="Q30" s="3705"/>
      <c r="R30" s="3705"/>
      <c r="S30" s="3705"/>
      <c r="T30" s="3705"/>
      <c r="U30" s="3705"/>
      <c r="V30" s="3705"/>
      <c r="W30" s="3822"/>
      <c r="X30" s="3822"/>
      <c r="Y30" s="3822"/>
      <c r="Z30" s="3822"/>
      <c r="AA30" s="3822"/>
      <c r="AB30" s="3705"/>
      <c r="AC30" s="3705"/>
      <c r="AD30" s="3705"/>
      <c r="AE30" s="3705"/>
      <c r="AF30" s="3705"/>
      <c r="AG30" s="3705"/>
      <c r="AH30" s="3705"/>
      <c r="AI30" s="3705"/>
      <c r="AJ30" s="3705"/>
      <c r="AK30" s="3705"/>
      <c r="AL30" s="3705"/>
      <c r="AM30" s="3705"/>
      <c r="AN30" s="3705"/>
      <c r="AO30" s="3705"/>
    </row>
    <row r="31" spans="1:41" s="2224" customFormat="1" ht="15.95" customHeight="1" x14ac:dyDescent="0.2">
      <c r="A31" s="3692" t="s">
        <v>465</v>
      </c>
      <c r="B31" s="3809">
        <v>39422</v>
      </c>
      <c r="C31" s="3683">
        <v>39786</v>
      </c>
      <c r="D31" s="3687" t="s">
        <v>454</v>
      </c>
      <c r="E31" s="3687" t="s">
        <v>1445</v>
      </c>
      <c r="F31" s="3684">
        <v>4</v>
      </c>
      <c r="G31" s="3687" t="s">
        <v>1278</v>
      </c>
      <c r="H31" s="3681">
        <v>231531</v>
      </c>
      <c r="I31" s="3681">
        <v>0</v>
      </c>
      <c r="J31" s="3682" t="s">
        <v>454</v>
      </c>
      <c r="K31" s="3824" t="s">
        <v>386</v>
      </c>
      <c r="L31" s="3828" t="s">
        <v>390</v>
      </c>
      <c r="M31" s="3820"/>
      <c r="N31" s="3807"/>
      <c r="O31" s="3807"/>
      <c r="P31" s="3827"/>
      <c r="Q31" s="3705"/>
      <c r="R31" s="3705"/>
      <c r="S31" s="3705"/>
      <c r="T31" s="3705"/>
      <c r="U31" s="3705"/>
      <c r="V31" s="3705"/>
      <c r="W31" s="3822"/>
      <c r="X31" s="3822"/>
      <c r="Y31" s="3822"/>
      <c r="Z31" s="3822"/>
      <c r="AA31" s="3822"/>
      <c r="AB31" s="3705"/>
      <c r="AC31" s="3705"/>
      <c r="AD31" s="3705"/>
      <c r="AE31" s="3705"/>
      <c r="AF31" s="3705"/>
      <c r="AG31" s="3705"/>
      <c r="AH31" s="3705"/>
      <c r="AI31" s="3705"/>
      <c r="AJ31" s="3705"/>
      <c r="AK31" s="3705"/>
      <c r="AL31" s="3705"/>
      <c r="AM31" s="3705"/>
      <c r="AN31" s="3705"/>
      <c r="AO31" s="3705"/>
    </row>
    <row r="32" spans="1:41" s="2224" customFormat="1" ht="15.95" customHeight="1" x14ac:dyDescent="0.2">
      <c r="A32" s="3692" t="s">
        <v>672</v>
      </c>
      <c r="B32" s="3809" t="s">
        <v>454</v>
      </c>
      <c r="C32" s="3683">
        <v>39786</v>
      </c>
      <c r="D32" s="3687" t="s">
        <v>454</v>
      </c>
      <c r="E32" s="3687" t="s">
        <v>1537</v>
      </c>
      <c r="F32" s="3684">
        <v>2</v>
      </c>
      <c r="G32" s="3687" t="s">
        <v>1805</v>
      </c>
      <c r="H32" s="3685">
        <v>692854</v>
      </c>
      <c r="I32" s="3681">
        <v>0</v>
      </c>
      <c r="J32" s="3682" t="s">
        <v>454</v>
      </c>
      <c r="K32" s="3691" t="s">
        <v>673</v>
      </c>
      <c r="L32" s="3693" t="s">
        <v>440</v>
      </c>
      <c r="M32" s="3820"/>
      <c r="N32" s="3807"/>
      <c r="O32" s="3807"/>
      <c r="P32" s="3827"/>
      <c r="Q32" s="3705"/>
      <c r="R32" s="3705"/>
      <c r="S32" s="3705"/>
      <c r="T32" s="3705"/>
      <c r="U32" s="3705"/>
      <c r="V32" s="3705"/>
      <c r="W32" s="3822"/>
      <c r="X32" s="3822"/>
      <c r="Y32" s="3822"/>
      <c r="Z32" s="3822"/>
      <c r="AA32" s="3822"/>
      <c r="AB32" s="3705"/>
      <c r="AC32" s="3705"/>
      <c r="AD32" s="3705"/>
      <c r="AE32" s="3705"/>
      <c r="AF32" s="3705"/>
      <c r="AG32" s="3705"/>
      <c r="AH32" s="3705"/>
      <c r="AI32" s="3705"/>
      <c r="AJ32" s="3705"/>
      <c r="AK32" s="3705"/>
      <c r="AL32" s="3705"/>
      <c r="AM32" s="3705"/>
      <c r="AN32" s="3705"/>
      <c r="AO32" s="3705"/>
    </row>
    <row r="33" spans="1:41" s="2224" customFormat="1" ht="15.95" customHeight="1" x14ac:dyDescent="0.2">
      <c r="A33" s="3692" t="s">
        <v>626</v>
      </c>
      <c r="B33" s="3809">
        <v>39744</v>
      </c>
      <c r="C33" s="3683">
        <v>39835</v>
      </c>
      <c r="D33" s="3687" t="s">
        <v>454</v>
      </c>
      <c r="E33" s="3687" t="s">
        <v>1455</v>
      </c>
      <c r="F33" s="3684">
        <v>2</v>
      </c>
      <c r="G33" s="3687" t="s">
        <v>1278</v>
      </c>
      <c r="H33" s="3681">
        <v>103300</v>
      </c>
      <c r="I33" s="3681">
        <v>0</v>
      </c>
      <c r="J33" s="3682" t="s">
        <v>454</v>
      </c>
      <c r="K33" s="3691" t="s">
        <v>37</v>
      </c>
      <c r="L33" s="3693" t="s">
        <v>1447</v>
      </c>
      <c r="M33" s="3820"/>
      <c r="N33" s="3807"/>
      <c r="O33" s="3807"/>
      <c r="P33" s="3827"/>
      <c r="Q33" s="3705"/>
      <c r="R33" s="3705"/>
      <c r="S33" s="3705"/>
      <c r="T33" s="3705"/>
      <c r="U33" s="3705"/>
      <c r="V33" s="3705"/>
      <c r="W33" s="3822"/>
      <c r="X33" s="3822"/>
      <c r="Y33" s="3822"/>
      <c r="Z33" s="3822"/>
      <c r="AA33" s="3822"/>
      <c r="AB33" s="3705"/>
      <c r="AC33" s="3705"/>
      <c r="AD33" s="3705"/>
      <c r="AE33" s="3705"/>
      <c r="AF33" s="3705"/>
      <c r="AG33" s="3705"/>
      <c r="AH33" s="3705"/>
      <c r="AI33" s="3705"/>
      <c r="AJ33" s="3705"/>
      <c r="AK33" s="3705"/>
      <c r="AL33" s="3705"/>
      <c r="AM33" s="3705"/>
      <c r="AN33" s="3705"/>
      <c r="AO33" s="3705"/>
    </row>
    <row r="34" spans="1:41" s="2224" customFormat="1" ht="15.95" customHeight="1" x14ac:dyDescent="0.2">
      <c r="A34" s="3692" t="s">
        <v>416</v>
      </c>
      <c r="B34" s="3809">
        <v>39422</v>
      </c>
      <c r="C34" s="3683">
        <v>39835</v>
      </c>
      <c r="D34" s="3687" t="s">
        <v>627</v>
      </c>
      <c r="E34" s="3687" t="s">
        <v>1625</v>
      </c>
      <c r="F34" s="3684" t="s">
        <v>454</v>
      </c>
      <c r="G34" s="3687" t="s">
        <v>1277</v>
      </c>
      <c r="H34" s="3681">
        <v>630859</v>
      </c>
      <c r="I34" s="3681">
        <v>345717</v>
      </c>
      <c r="J34" s="3682" t="s">
        <v>454</v>
      </c>
      <c r="K34" s="3824" t="s">
        <v>41</v>
      </c>
      <c r="L34" s="3825" t="s">
        <v>1447</v>
      </c>
      <c r="M34" s="3820"/>
      <c r="N34" s="3807"/>
      <c r="O34" s="3807"/>
      <c r="P34" s="3827"/>
      <c r="Q34" s="3705"/>
      <c r="R34" s="3705"/>
      <c r="S34" s="3705"/>
      <c r="T34" s="3705"/>
      <c r="U34" s="3705"/>
      <c r="V34" s="3705"/>
      <c r="W34" s="3822"/>
      <c r="X34" s="3822"/>
      <c r="Y34" s="3822"/>
      <c r="Z34" s="3822"/>
      <c r="AA34" s="3822"/>
      <c r="AB34" s="3705"/>
      <c r="AC34" s="3705"/>
      <c r="AD34" s="3705"/>
      <c r="AE34" s="3705"/>
      <c r="AF34" s="3705"/>
      <c r="AG34" s="3705"/>
      <c r="AH34" s="3705"/>
      <c r="AI34" s="3705"/>
      <c r="AJ34" s="3705"/>
      <c r="AK34" s="3705"/>
      <c r="AL34" s="3705"/>
      <c r="AM34" s="3705"/>
      <c r="AN34" s="3705"/>
      <c r="AO34" s="3705"/>
    </row>
    <row r="35" spans="1:41" s="2224" customFormat="1" ht="15.95" customHeight="1" x14ac:dyDescent="0.2">
      <c r="A35" s="3692" t="s">
        <v>802</v>
      </c>
      <c r="B35" s="3809">
        <v>39786</v>
      </c>
      <c r="C35" s="3683">
        <v>39898</v>
      </c>
      <c r="D35" s="3687" t="s">
        <v>454</v>
      </c>
      <c r="E35" s="3687" t="s">
        <v>1458</v>
      </c>
      <c r="F35" s="3684">
        <v>2</v>
      </c>
      <c r="G35" s="3687" t="s">
        <v>1805</v>
      </c>
      <c r="H35" s="3685">
        <v>553722</v>
      </c>
      <c r="I35" s="3681">
        <v>0</v>
      </c>
      <c r="J35" s="3682" t="s">
        <v>454</v>
      </c>
      <c r="K35" s="3691" t="s">
        <v>668</v>
      </c>
      <c r="L35" s="3693" t="s">
        <v>1459</v>
      </c>
      <c r="M35" s="3820"/>
      <c r="N35" s="3807"/>
      <c r="O35" s="3807"/>
      <c r="P35" s="3827"/>
      <c r="Q35" s="3705"/>
      <c r="R35" s="3705"/>
      <c r="S35" s="3705"/>
      <c r="T35" s="3705"/>
      <c r="U35" s="3705"/>
      <c r="V35" s="3705"/>
      <c r="W35" s="3822"/>
      <c r="X35" s="3822"/>
      <c r="Y35" s="3822"/>
      <c r="Z35" s="3822"/>
      <c r="AA35" s="3822"/>
      <c r="AB35" s="3705"/>
      <c r="AC35" s="3705"/>
      <c r="AD35" s="3705"/>
      <c r="AE35" s="3705"/>
      <c r="AF35" s="3705"/>
      <c r="AG35" s="3705"/>
      <c r="AH35" s="3705"/>
      <c r="AI35" s="3705"/>
      <c r="AJ35" s="3705"/>
      <c r="AK35" s="3705"/>
      <c r="AL35" s="3705"/>
      <c r="AM35" s="3705"/>
      <c r="AN35" s="3705"/>
      <c r="AO35" s="3705"/>
    </row>
    <row r="36" spans="1:41" s="2224" customFormat="1" ht="15.95" customHeight="1" x14ac:dyDescent="0.2">
      <c r="A36" s="3692" t="s">
        <v>1460</v>
      </c>
      <c r="B36" s="3809">
        <v>39786</v>
      </c>
      <c r="C36" s="3683">
        <v>39898</v>
      </c>
      <c r="D36" s="3687" t="s">
        <v>454</v>
      </c>
      <c r="E36" s="3687" t="s">
        <v>1461</v>
      </c>
      <c r="F36" s="3684">
        <v>3</v>
      </c>
      <c r="G36" s="3687" t="s">
        <v>1278</v>
      </c>
      <c r="H36" s="3685">
        <v>267569</v>
      </c>
      <c r="I36" s="3681">
        <v>0</v>
      </c>
      <c r="J36" s="3682" t="s">
        <v>1453</v>
      </c>
      <c r="K36" s="3691" t="s">
        <v>670</v>
      </c>
      <c r="L36" s="3693" t="s">
        <v>1447</v>
      </c>
      <c r="M36" s="3820"/>
      <c r="N36" s="3807"/>
      <c r="O36" s="3807"/>
      <c r="P36" s="3827"/>
      <c r="Q36" s="3705"/>
      <c r="R36" s="3705"/>
      <c r="S36" s="3705"/>
      <c r="T36" s="3705"/>
      <c r="U36" s="3705"/>
      <c r="V36" s="3705"/>
      <c r="W36" s="3822"/>
      <c r="X36" s="3822"/>
      <c r="Y36" s="3822"/>
      <c r="Z36" s="3822"/>
      <c r="AA36" s="3822"/>
      <c r="AB36" s="3705"/>
      <c r="AC36" s="3705"/>
      <c r="AD36" s="3705"/>
      <c r="AE36" s="3705"/>
      <c r="AF36" s="3705"/>
      <c r="AG36" s="3705"/>
      <c r="AH36" s="3705"/>
      <c r="AI36" s="3705"/>
      <c r="AJ36" s="3705"/>
      <c r="AK36" s="3705"/>
      <c r="AL36" s="3705"/>
      <c r="AM36" s="3705"/>
      <c r="AN36" s="3705"/>
      <c r="AO36" s="3705"/>
    </row>
    <row r="37" spans="1:41" s="2224" customFormat="1" ht="15.95" customHeight="1" x14ac:dyDescent="0.2">
      <c r="A37" s="3692" t="s">
        <v>741</v>
      </c>
      <c r="B37" s="3809">
        <v>39835</v>
      </c>
      <c r="C37" s="3683">
        <v>39926</v>
      </c>
      <c r="D37" s="3687" t="s">
        <v>454</v>
      </c>
      <c r="E37" s="3687" t="s">
        <v>1462</v>
      </c>
      <c r="F37" s="3684">
        <v>2</v>
      </c>
      <c r="G37" s="3687" t="s">
        <v>1278</v>
      </c>
      <c r="H37" s="3685">
        <v>230414</v>
      </c>
      <c r="I37" s="3681">
        <v>0</v>
      </c>
      <c r="J37" s="3682" t="s">
        <v>454</v>
      </c>
      <c r="K37" s="3691" t="s">
        <v>845</v>
      </c>
      <c r="L37" s="3693" t="s">
        <v>67</v>
      </c>
      <c r="M37" s="3820"/>
      <c r="N37" s="3807"/>
      <c r="O37" s="3807"/>
      <c r="P37" s="3827"/>
      <c r="Q37" s="3705"/>
      <c r="R37" s="3705"/>
      <c r="S37" s="3705"/>
      <c r="T37" s="3705"/>
      <c r="U37" s="3705"/>
      <c r="V37" s="3705"/>
      <c r="W37" s="3822"/>
      <c r="X37" s="3822"/>
      <c r="Y37" s="3822"/>
      <c r="Z37" s="3822"/>
      <c r="AA37" s="3822"/>
      <c r="AB37" s="3705"/>
      <c r="AC37" s="3705"/>
      <c r="AD37" s="3705"/>
      <c r="AE37" s="3705"/>
      <c r="AF37" s="3705"/>
      <c r="AG37" s="3705"/>
      <c r="AH37" s="3705"/>
      <c r="AI37" s="3705"/>
      <c r="AJ37" s="3705"/>
      <c r="AK37" s="3705"/>
      <c r="AL37" s="3705"/>
      <c r="AM37" s="3705"/>
      <c r="AN37" s="3705"/>
      <c r="AO37" s="3705"/>
    </row>
    <row r="38" spans="1:41" s="3830" customFormat="1" ht="15.95" customHeight="1" x14ac:dyDescent="0.2">
      <c r="A38" s="3692" t="s">
        <v>804</v>
      </c>
      <c r="B38" s="3809">
        <v>39898</v>
      </c>
      <c r="C38" s="3683">
        <v>39961</v>
      </c>
      <c r="D38" s="3687" t="s">
        <v>454</v>
      </c>
      <c r="E38" s="3687" t="s">
        <v>1445</v>
      </c>
      <c r="F38" s="3684">
        <v>4</v>
      </c>
      <c r="G38" s="3687" t="s">
        <v>1278</v>
      </c>
      <c r="H38" s="3685">
        <v>245795</v>
      </c>
      <c r="I38" s="3681">
        <v>0</v>
      </c>
      <c r="J38" s="3682" t="s">
        <v>454</v>
      </c>
      <c r="K38" s="3691" t="s">
        <v>33</v>
      </c>
      <c r="L38" s="3693" t="s">
        <v>440</v>
      </c>
      <c r="M38" s="3820"/>
      <c r="N38" s="3807"/>
      <c r="O38" s="3807"/>
      <c r="P38" s="3827"/>
      <c r="Q38" s="3807"/>
      <c r="R38" s="3807"/>
      <c r="S38" s="3807"/>
      <c r="T38" s="3807"/>
      <c r="U38" s="3807"/>
      <c r="V38" s="3807"/>
      <c r="W38" s="3829"/>
      <c r="X38" s="3829"/>
      <c r="Y38" s="3829"/>
      <c r="Z38" s="3829"/>
      <c r="AA38" s="3829"/>
      <c r="AB38" s="3807"/>
      <c r="AC38" s="3807"/>
      <c r="AD38" s="3807"/>
      <c r="AE38" s="3807"/>
      <c r="AF38" s="3807"/>
      <c r="AG38" s="3807"/>
      <c r="AH38" s="3807"/>
      <c r="AI38" s="3807"/>
      <c r="AJ38" s="3807"/>
      <c r="AK38" s="3807"/>
      <c r="AL38" s="3807"/>
      <c r="AM38" s="3807"/>
      <c r="AN38" s="3807"/>
      <c r="AO38" s="3807"/>
    </row>
    <row r="39" spans="1:41" s="3807" customFormat="1" ht="15.95" customHeight="1" x14ac:dyDescent="0.2">
      <c r="A39" s="3692" t="s">
        <v>555</v>
      </c>
      <c r="B39" s="3809">
        <v>39625</v>
      </c>
      <c r="C39" s="3683">
        <v>39989</v>
      </c>
      <c r="D39" s="3687" t="s">
        <v>627</v>
      </c>
      <c r="E39" s="3687" t="s">
        <v>1451</v>
      </c>
      <c r="F39" s="3684" t="s">
        <v>454</v>
      </c>
      <c r="G39" s="3687" t="s">
        <v>1277</v>
      </c>
      <c r="H39" s="3681">
        <v>1201154</v>
      </c>
      <c r="I39" s="3681">
        <v>614505</v>
      </c>
      <c r="J39" s="3682" t="s">
        <v>454</v>
      </c>
      <c r="K39" s="3824" t="s">
        <v>871</v>
      </c>
      <c r="L39" s="3825" t="s">
        <v>1459</v>
      </c>
      <c r="M39" s="3820"/>
      <c r="P39" s="3827"/>
      <c r="W39" s="3829"/>
      <c r="X39" s="3829"/>
      <c r="Y39" s="3829"/>
      <c r="Z39" s="3829"/>
      <c r="AA39" s="3829"/>
    </row>
    <row r="40" spans="1:41" s="2224" customFormat="1" ht="15.95" customHeight="1" x14ac:dyDescent="0.2">
      <c r="A40" s="3831" t="s">
        <v>846</v>
      </c>
      <c r="B40" s="3832">
        <v>39961</v>
      </c>
      <c r="C40" s="3683">
        <v>40080</v>
      </c>
      <c r="D40" s="3687" t="s">
        <v>454</v>
      </c>
      <c r="E40" s="3687" t="s">
        <v>1538</v>
      </c>
      <c r="F40" s="3684">
        <v>2</v>
      </c>
      <c r="G40" s="3687" t="s">
        <v>1805</v>
      </c>
      <c r="H40" s="3685">
        <v>243279</v>
      </c>
      <c r="I40" s="3681">
        <v>0</v>
      </c>
      <c r="J40" s="3682" t="s">
        <v>454</v>
      </c>
      <c r="K40" s="3691" t="s">
        <v>65</v>
      </c>
      <c r="L40" s="3833" t="s">
        <v>1447</v>
      </c>
      <c r="M40" s="3820"/>
      <c r="N40" s="3807"/>
      <c r="O40" s="3807"/>
      <c r="P40" s="3827"/>
      <c r="Q40" s="3705"/>
      <c r="R40" s="3705"/>
      <c r="S40" s="3705"/>
      <c r="T40" s="3705"/>
      <c r="U40" s="3705"/>
      <c r="V40" s="3705"/>
      <c r="W40" s="3822"/>
      <c r="X40" s="3822"/>
      <c r="Y40" s="3822"/>
      <c r="Z40" s="3822"/>
      <c r="AA40" s="3822"/>
      <c r="AB40" s="3705"/>
      <c r="AC40" s="3705"/>
      <c r="AD40" s="3705"/>
      <c r="AE40" s="3705"/>
      <c r="AF40" s="3705"/>
      <c r="AG40" s="3705"/>
      <c r="AH40" s="3705"/>
      <c r="AI40" s="3705"/>
      <c r="AJ40" s="3705"/>
      <c r="AK40" s="3705"/>
      <c r="AL40" s="3705"/>
      <c r="AM40" s="3705"/>
      <c r="AN40" s="3705"/>
      <c r="AO40" s="3705"/>
    </row>
    <row r="41" spans="1:41" s="2224" customFormat="1" ht="15.95" customHeight="1" x14ac:dyDescent="0.2">
      <c r="A41" s="3692" t="s">
        <v>805</v>
      </c>
      <c r="B41" s="3809">
        <v>39870</v>
      </c>
      <c r="C41" s="3683">
        <v>40164</v>
      </c>
      <c r="D41" s="3687" t="s">
        <v>454</v>
      </c>
      <c r="E41" s="3687" t="s">
        <v>1713</v>
      </c>
      <c r="F41" s="3684">
        <v>3</v>
      </c>
      <c r="G41" s="3687" t="s">
        <v>1806</v>
      </c>
      <c r="H41" s="3685">
        <v>143436</v>
      </c>
      <c r="I41" s="3681">
        <v>0</v>
      </c>
      <c r="J41" s="3682" t="s">
        <v>454</v>
      </c>
      <c r="K41" s="3691" t="s">
        <v>753</v>
      </c>
      <c r="L41" s="3693" t="s">
        <v>390</v>
      </c>
      <c r="M41" s="3820"/>
      <c r="N41" s="3807"/>
      <c r="O41" s="3807"/>
      <c r="P41" s="3827"/>
      <c r="Q41" s="3705"/>
      <c r="R41" s="3705"/>
      <c r="S41" s="3705"/>
      <c r="T41" s="3705"/>
      <c r="U41" s="3705"/>
      <c r="V41" s="3705"/>
      <c r="W41" s="3822"/>
      <c r="X41" s="3822"/>
      <c r="Y41" s="3822"/>
      <c r="Z41" s="3822"/>
      <c r="AA41" s="3822"/>
      <c r="AB41" s="3705"/>
      <c r="AC41" s="3705"/>
      <c r="AD41" s="3705"/>
      <c r="AE41" s="3705"/>
      <c r="AF41" s="3705"/>
      <c r="AG41" s="3705"/>
      <c r="AH41" s="3705"/>
      <c r="AI41" s="3705"/>
      <c r="AJ41" s="3705"/>
      <c r="AK41" s="3705"/>
      <c r="AL41" s="3705"/>
      <c r="AM41" s="3705"/>
      <c r="AN41" s="3705"/>
      <c r="AO41" s="3705"/>
    </row>
    <row r="42" spans="1:41" s="2224" customFormat="1" ht="15.95" customHeight="1" x14ac:dyDescent="0.2">
      <c r="A42" s="3692" t="s">
        <v>875</v>
      </c>
      <c r="B42" s="3809">
        <v>39989</v>
      </c>
      <c r="C42" s="3683">
        <v>40164</v>
      </c>
      <c r="D42" s="3687" t="s">
        <v>454</v>
      </c>
      <c r="E42" s="3687" t="s">
        <v>1458</v>
      </c>
      <c r="F42" s="3684">
        <v>2</v>
      </c>
      <c r="G42" s="3687" t="s">
        <v>1805</v>
      </c>
      <c r="H42" s="3681">
        <v>126296</v>
      </c>
      <c r="I42" s="3834">
        <v>0</v>
      </c>
      <c r="J42" s="3835" t="s">
        <v>454</v>
      </c>
      <c r="K42" s="3824" t="s">
        <v>36</v>
      </c>
      <c r="L42" s="3825" t="s">
        <v>1456</v>
      </c>
      <c r="M42" s="3820"/>
      <c r="N42" s="3807"/>
      <c r="O42" s="3807"/>
      <c r="P42" s="3827"/>
      <c r="Q42" s="3705"/>
      <c r="R42" s="3705"/>
      <c r="S42" s="3705"/>
      <c r="T42" s="3705"/>
      <c r="U42" s="3705"/>
      <c r="V42" s="3705"/>
      <c r="W42" s="3822"/>
      <c r="X42" s="3822"/>
      <c r="Y42" s="3822"/>
      <c r="Z42" s="3822"/>
      <c r="AA42" s="3822"/>
      <c r="AB42" s="3705"/>
      <c r="AC42" s="3705"/>
      <c r="AD42" s="3705"/>
      <c r="AE42" s="3705"/>
      <c r="AF42" s="3705"/>
      <c r="AG42" s="3705"/>
      <c r="AH42" s="3705"/>
      <c r="AI42" s="3705"/>
      <c r="AJ42" s="3705"/>
      <c r="AK42" s="3705"/>
      <c r="AL42" s="3705"/>
      <c r="AM42" s="3705"/>
      <c r="AN42" s="3705"/>
      <c r="AO42" s="3705"/>
    </row>
    <row r="43" spans="1:41" s="2224" customFormat="1" ht="15.95" customHeight="1" x14ac:dyDescent="0.2">
      <c r="A43" s="3692" t="s">
        <v>1360</v>
      </c>
      <c r="B43" s="3809">
        <v>40017</v>
      </c>
      <c r="C43" s="3683">
        <v>40164</v>
      </c>
      <c r="D43" s="3687" t="s">
        <v>454</v>
      </c>
      <c r="E43" s="3687" t="s">
        <v>1626</v>
      </c>
      <c r="F43" s="3684">
        <v>2</v>
      </c>
      <c r="G43" s="3687" t="s">
        <v>1805</v>
      </c>
      <c r="H43" s="3685">
        <v>808104</v>
      </c>
      <c r="I43" s="3834">
        <v>0</v>
      </c>
      <c r="J43" s="3835" t="s">
        <v>1453</v>
      </c>
      <c r="K43" s="3691" t="s">
        <v>874</v>
      </c>
      <c r="L43" s="3693" t="s">
        <v>440</v>
      </c>
      <c r="M43" s="3820"/>
      <c r="N43" s="3807"/>
      <c r="O43" s="3807"/>
      <c r="P43" s="3827"/>
      <c r="Q43" s="3705"/>
      <c r="R43" s="3705"/>
      <c r="S43" s="3705"/>
      <c r="T43" s="3705"/>
      <c r="U43" s="3705"/>
      <c r="V43" s="3705"/>
      <c r="W43" s="3822"/>
      <c r="X43" s="3822"/>
      <c r="Y43" s="3822"/>
      <c r="Z43" s="3822"/>
      <c r="AA43" s="3822"/>
      <c r="AB43" s="3705"/>
      <c r="AC43" s="3705"/>
      <c r="AD43" s="3705"/>
      <c r="AE43" s="3705"/>
      <c r="AF43" s="3705"/>
      <c r="AG43" s="3705"/>
      <c r="AH43" s="3705"/>
      <c r="AI43" s="3705"/>
      <c r="AJ43" s="3705"/>
      <c r="AK43" s="3705"/>
      <c r="AL43" s="3705"/>
      <c r="AM43" s="3705"/>
      <c r="AN43" s="3705"/>
      <c r="AO43" s="3705"/>
    </row>
    <row r="44" spans="1:41" s="2224" customFormat="1" ht="15.95" customHeight="1" x14ac:dyDescent="0.2">
      <c r="A44" s="3692" t="s">
        <v>877</v>
      </c>
      <c r="B44" s="3809">
        <v>40017</v>
      </c>
      <c r="C44" s="3683">
        <v>40164</v>
      </c>
      <c r="D44" s="3687" t="s">
        <v>627</v>
      </c>
      <c r="E44" s="3687" t="s">
        <v>1625</v>
      </c>
      <c r="F44" s="3684" t="s">
        <v>454</v>
      </c>
      <c r="G44" s="3687" t="s">
        <v>1277</v>
      </c>
      <c r="H44" s="3685">
        <v>292307</v>
      </c>
      <c r="I44" s="3834">
        <v>1736611</v>
      </c>
      <c r="J44" s="3835" t="s">
        <v>454</v>
      </c>
      <c r="K44" s="3691" t="s">
        <v>1058</v>
      </c>
      <c r="L44" s="3693" t="s">
        <v>440</v>
      </c>
      <c r="M44" s="3820"/>
      <c r="N44" s="3807"/>
      <c r="O44" s="3807"/>
      <c r="P44" s="3827"/>
      <c r="Q44" s="3705"/>
      <c r="R44" s="3705"/>
      <c r="S44" s="3705"/>
      <c r="T44" s="3705"/>
      <c r="U44" s="3705"/>
      <c r="V44" s="3705"/>
      <c r="W44" s="3822"/>
      <c r="X44" s="3822"/>
      <c r="Y44" s="3822"/>
      <c r="Z44" s="3822"/>
      <c r="AA44" s="3822"/>
      <c r="AB44" s="3705"/>
      <c r="AC44" s="3705"/>
      <c r="AD44" s="3705"/>
      <c r="AE44" s="3705"/>
      <c r="AF44" s="3705"/>
      <c r="AG44" s="3705"/>
      <c r="AH44" s="3705"/>
      <c r="AI44" s="3705"/>
      <c r="AJ44" s="3705"/>
      <c r="AK44" s="3705"/>
      <c r="AL44" s="3705"/>
      <c r="AM44" s="3705"/>
      <c r="AN44" s="3705"/>
      <c r="AO44" s="3705"/>
    </row>
    <row r="45" spans="1:41" s="3807" customFormat="1" ht="15.95" customHeight="1" x14ac:dyDescent="0.2">
      <c r="A45" s="3692" t="s">
        <v>1002</v>
      </c>
      <c r="B45" s="3809" t="s">
        <v>454</v>
      </c>
      <c r="C45" s="3683">
        <v>40108</v>
      </c>
      <c r="D45" s="3687" t="s">
        <v>872</v>
      </c>
      <c r="E45" s="3687" t="s">
        <v>1451</v>
      </c>
      <c r="F45" s="3684" t="s">
        <v>454</v>
      </c>
      <c r="G45" s="3687" t="s">
        <v>1277</v>
      </c>
      <c r="H45" s="3685">
        <v>453475</v>
      </c>
      <c r="I45" s="3681">
        <v>286567</v>
      </c>
      <c r="J45" s="3682" t="s">
        <v>454</v>
      </c>
      <c r="K45" s="3691" t="s">
        <v>41</v>
      </c>
      <c r="L45" s="3693" t="s">
        <v>440</v>
      </c>
      <c r="M45" s="3820"/>
      <c r="P45" s="3827"/>
      <c r="W45" s="3829"/>
      <c r="X45" s="3829"/>
      <c r="Y45" s="3829"/>
      <c r="Z45" s="3829"/>
      <c r="AA45" s="3829"/>
    </row>
    <row r="46" spans="1:41" s="2224" customFormat="1" ht="15.95" customHeight="1" x14ac:dyDescent="0.2">
      <c r="A46" s="3692" t="s">
        <v>1361</v>
      </c>
      <c r="B46" s="3809">
        <v>39989</v>
      </c>
      <c r="C46" s="3683">
        <v>40164</v>
      </c>
      <c r="D46" s="3687" t="s">
        <v>454</v>
      </c>
      <c r="E46" s="3687" t="s">
        <v>1537</v>
      </c>
      <c r="F46" s="3684">
        <v>2</v>
      </c>
      <c r="G46" s="3687" t="s">
        <v>1805</v>
      </c>
      <c r="H46" s="3681">
        <v>3048671</v>
      </c>
      <c r="I46" s="3834">
        <v>0</v>
      </c>
      <c r="J46" s="3835" t="s">
        <v>1453</v>
      </c>
      <c r="K46" s="3824" t="s">
        <v>874</v>
      </c>
      <c r="L46" s="3825" t="s">
        <v>440</v>
      </c>
      <c r="M46" s="3836"/>
      <c r="N46" s="3830"/>
      <c r="O46" s="3830"/>
      <c r="P46" s="3830"/>
      <c r="Q46" s="3705"/>
      <c r="R46" s="3705"/>
      <c r="S46" s="3705"/>
      <c r="T46" s="3705"/>
      <c r="U46" s="3705"/>
      <c r="V46" s="3705"/>
      <c r="W46" s="3822"/>
      <c r="X46" s="3822"/>
      <c r="Y46" s="3822"/>
      <c r="Z46" s="3822"/>
      <c r="AA46" s="3822"/>
      <c r="AB46" s="3705"/>
      <c r="AC46" s="3705"/>
      <c r="AD46" s="3705"/>
      <c r="AE46" s="3705"/>
      <c r="AF46" s="3705"/>
      <c r="AG46" s="3705"/>
      <c r="AH46" s="3705"/>
      <c r="AI46" s="3705"/>
      <c r="AJ46" s="3705"/>
      <c r="AK46" s="3705"/>
      <c r="AL46" s="3705"/>
      <c r="AM46" s="3705"/>
      <c r="AN46" s="3705"/>
      <c r="AO46" s="3705"/>
    </row>
    <row r="47" spans="1:41" s="2224" customFormat="1" ht="15.95" customHeight="1" x14ac:dyDescent="0.2">
      <c r="A47" s="3692" t="s">
        <v>1362</v>
      </c>
      <c r="B47" s="3809">
        <v>40052</v>
      </c>
      <c r="C47" s="3683">
        <v>40164</v>
      </c>
      <c r="D47" s="3687" t="s">
        <v>454</v>
      </c>
      <c r="E47" s="3687" t="s">
        <v>1463</v>
      </c>
      <c r="F47" s="3684">
        <v>2</v>
      </c>
      <c r="G47" s="3687" t="s">
        <v>1278</v>
      </c>
      <c r="H47" s="3685">
        <v>478396</v>
      </c>
      <c r="I47" s="3681">
        <v>0</v>
      </c>
      <c r="J47" s="3682" t="s">
        <v>1453</v>
      </c>
      <c r="K47" s="3691" t="s">
        <v>34</v>
      </c>
      <c r="L47" s="3693" t="s">
        <v>440</v>
      </c>
      <c r="M47" s="3836"/>
      <c r="N47" s="3830"/>
      <c r="O47" s="3830"/>
      <c r="P47" s="3830"/>
      <c r="Q47" s="3705"/>
      <c r="R47" s="3705"/>
      <c r="S47" s="3705"/>
      <c r="T47" s="3705"/>
      <c r="U47" s="3705"/>
      <c r="V47" s="3705"/>
      <c r="W47" s="3822"/>
      <c r="X47" s="3822"/>
      <c r="Y47" s="3822"/>
      <c r="Z47" s="3822"/>
      <c r="AA47" s="3822"/>
      <c r="AB47" s="3705"/>
      <c r="AC47" s="3705"/>
      <c r="AD47" s="3705"/>
      <c r="AE47" s="3705"/>
      <c r="AF47" s="3705"/>
      <c r="AG47" s="3705"/>
      <c r="AH47" s="3705"/>
      <c r="AI47" s="3705"/>
      <c r="AJ47" s="3705"/>
      <c r="AK47" s="3705"/>
      <c r="AL47" s="3705"/>
      <c r="AM47" s="3705"/>
      <c r="AN47" s="3705"/>
      <c r="AO47" s="3705"/>
    </row>
    <row r="48" spans="1:41" s="2224" customFormat="1" ht="15.95" customHeight="1" x14ac:dyDescent="0.2">
      <c r="A48" s="3692" t="s">
        <v>1464</v>
      </c>
      <c r="B48" s="3809">
        <v>40206</v>
      </c>
      <c r="C48" s="3683" t="s">
        <v>454</v>
      </c>
      <c r="D48" s="3687" t="s">
        <v>454</v>
      </c>
      <c r="E48" s="3687" t="s">
        <v>46</v>
      </c>
      <c r="F48" s="3684">
        <v>5</v>
      </c>
      <c r="G48" s="3687" t="s">
        <v>1278</v>
      </c>
      <c r="H48" s="3685">
        <v>162473</v>
      </c>
      <c r="I48" s="3681">
        <v>0</v>
      </c>
      <c r="J48" s="3682" t="s">
        <v>454</v>
      </c>
      <c r="K48" s="3691" t="s">
        <v>36</v>
      </c>
      <c r="L48" s="3693" t="s">
        <v>390</v>
      </c>
      <c r="M48" s="3836"/>
      <c r="N48" s="3830"/>
      <c r="O48" s="3830"/>
      <c r="P48" s="3830"/>
      <c r="Q48" s="3705"/>
      <c r="R48" s="3705"/>
      <c r="S48" s="3705"/>
      <c r="T48" s="3705"/>
      <c r="U48" s="3705"/>
      <c r="V48" s="3705"/>
      <c r="W48" s="3822"/>
      <c r="X48" s="3822"/>
      <c r="Y48" s="3822"/>
      <c r="Z48" s="3822"/>
      <c r="AA48" s="3822"/>
      <c r="AB48" s="3705"/>
      <c r="AC48" s="3705"/>
      <c r="AD48" s="3705"/>
      <c r="AE48" s="3705"/>
      <c r="AF48" s="3705"/>
      <c r="AG48" s="3705"/>
      <c r="AH48" s="3705"/>
      <c r="AI48" s="3705"/>
      <c r="AJ48" s="3705"/>
      <c r="AK48" s="3705"/>
      <c r="AL48" s="3705"/>
      <c r="AM48" s="3705"/>
      <c r="AN48" s="3705"/>
      <c r="AO48" s="3705"/>
    </row>
    <row r="49" spans="1:41" s="2224" customFormat="1" ht="15.95" customHeight="1" x14ac:dyDescent="0.2">
      <c r="A49" s="3692" t="s">
        <v>1350</v>
      </c>
      <c r="B49" s="3809" t="s">
        <v>454</v>
      </c>
      <c r="C49" s="3683">
        <v>40262</v>
      </c>
      <c r="D49" s="3687" t="s">
        <v>872</v>
      </c>
      <c r="E49" s="3687" t="s">
        <v>1451</v>
      </c>
      <c r="F49" s="3684" t="s">
        <v>454</v>
      </c>
      <c r="G49" s="3687" t="s">
        <v>1277</v>
      </c>
      <c r="H49" s="3685">
        <v>67953</v>
      </c>
      <c r="I49" s="3681">
        <v>36088</v>
      </c>
      <c r="J49" s="3682" t="s">
        <v>454</v>
      </c>
      <c r="K49" s="3691" t="s">
        <v>37</v>
      </c>
      <c r="L49" s="3693" t="s">
        <v>390</v>
      </c>
      <c r="M49" s="3836"/>
      <c r="N49" s="3830"/>
      <c r="O49" s="3830"/>
      <c r="P49" s="3830"/>
      <c r="Q49" s="3705"/>
      <c r="R49" s="3705"/>
      <c r="S49" s="3705"/>
      <c r="T49" s="3705"/>
      <c r="U49" s="3705"/>
      <c r="V49" s="3705"/>
      <c r="W49" s="3822"/>
      <c r="X49" s="3822"/>
      <c r="Y49" s="3822"/>
      <c r="Z49" s="3822"/>
      <c r="AA49" s="3822"/>
      <c r="AB49" s="3705"/>
      <c r="AC49" s="3705"/>
      <c r="AD49" s="3705"/>
      <c r="AE49" s="3705"/>
      <c r="AF49" s="3705"/>
      <c r="AG49" s="3705"/>
      <c r="AH49" s="3705"/>
      <c r="AI49" s="3705"/>
      <c r="AJ49" s="3705"/>
      <c r="AK49" s="3705"/>
      <c r="AL49" s="3705"/>
      <c r="AM49" s="3705"/>
      <c r="AN49" s="3705"/>
      <c r="AO49" s="3705"/>
    </row>
    <row r="50" spans="1:41" s="2224" customFormat="1" ht="15.95" customHeight="1" x14ac:dyDescent="0.2">
      <c r="A50" s="3692" t="s">
        <v>1465</v>
      </c>
      <c r="B50" s="3809" t="s">
        <v>454</v>
      </c>
      <c r="C50" s="3683">
        <v>40325</v>
      </c>
      <c r="D50" s="3687" t="s">
        <v>454</v>
      </c>
      <c r="E50" s="3687" t="s">
        <v>1450</v>
      </c>
      <c r="F50" s="3684">
        <v>3</v>
      </c>
      <c r="G50" s="3687" t="s">
        <v>1278</v>
      </c>
      <c r="H50" s="3685">
        <v>100604</v>
      </c>
      <c r="I50" s="3681">
        <v>0</v>
      </c>
      <c r="J50" s="3682" t="s">
        <v>1700</v>
      </c>
      <c r="K50" s="3691" t="s">
        <v>1488</v>
      </c>
      <c r="L50" s="3693" t="s">
        <v>1489</v>
      </c>
      <c r="M50" s="3836"/>
      <c r="N50" s="3830"/>
      <c r="O50" s="3830"/>
      <c r="P50" s="3830"/>
      <c r="Q50" s="3705"/>
      <c r="R50" s="3705"/>
      <c r="S50" s="3705"/>
      <c r="T50" s="3705"/>
      <c r="U50" s="3705"/>
      <c r="V50" s="3705"/>
      <c r="W50" s="3822"/>
      <c r="X50" s="3822"/>
      <c r="Y50" s="3822"/>
      <c r="Z50" s="3822"/>
      <c r="AA50" s="3822"/>
      <c r="AB50" s="3705"/>
      <c r="AC50" s="3705"/>
      <c r="AD50" s="3705"/>
      <c r="AE50" s="3705"/>
      <c r="AF50" s="3705"/>
      <c r="AG50" s="3705"/>
      <c r="AH50" s="3705"/>
      <c r="AI50" s="3705"/>
      <c r="AJ50" s="3705"/>
      <c r="AK50" s="3705"/>
      <c r="AL50" s="3705"/>
      <c r="AM50" s="3705"/>
      <c r="AN50" s="3705"/>
      <c r="AO50" s="3705"/>
    </row>
    <row r="51" spans="1:41" s="2224" customFormat="1" ht="15.95" customHeight="1" x14ac:dyDescent="0.2">
      <c r="A51" s="3692" t="s">
        <v>1351</v>
      </c>
      <c r="B51" s="3809" t="s">
        <v>454</v>
      </c>
      <c r="C51" s="3683">
        <v>40381</v>
      </c>
      <c r="D51" s="3687" t="s">
        <v>454</v>
      </c>
      <c r="E51" s="3687" t="s">
        <v>1540</v>
      </c>
      <c r="F51" s="3684">
        <v>2</v>
      </c>
      <c r="G51" s="3687" t="s">
        <v>1278</v>
      </c>
      <c r="H51" s="3685">
        <v>236246</v>
      </c>
      <c r="I51" s="3681">
        <v>0</v>
      </c>
      <c r="J51" s="3682" t="s">
        <v>1700</v>
      </c>
      <c r="K51" s="3691" t="s">
        <v>520</v>
      </c>
      <c r="L51" s="3693" t="s">
        <v>440</v>
      </c>
      <c r="M51" s="3836"/>
      <c r="N51" s="3830"/>
      <c r="O51" s="3830"/>
      <c r="P51" s="3830"/>
      <c r="Q51" s="3807"/>
      <c r="R51" s="3705"/>
      <c r="S51" s="3705"/>
      <c r="T51" s="3705"/>
      <c r="U51" s="3705"/>
      <c r="V51" s="3705"/>
      <c r="W51" s="3822"/>
      <c r="X51" s="3822"/>
      <c r="Y51" s="3822"/>
      <c r="Z51" s="3822"/>
      <c r="AA51" s="3822"/>
      <c r="AB51" s="3705"/>
      <c r="AC51" s="3705"/>
      <c r="AD51" s="3705"/>
      <c r="AE51" s="3705"/>
      <c r="AF51" s="3705"/>
      <c r="AG51" s="3705"/>
      <c r="AH51" s="3705"/>
      <c r="AI51" s="3705"/>
      <c r="AJ51" s="3705"/>
      <c r="AK51" s="3705"/>
      <c r="AL51" s="3705"/>
      <c r="AM51" s="3705"/>
      <c r="AN51" s="3705"/>
      <c r="AO51" s="3705"/>
    </row>
    <row r="52" spans="1:41" s="2224" customFormat="1" ht="15.95" customHeight="1" x14ac:dyDescent="0.2">
      <c r="A52" s="3831" t="s">
        <v>1019</v>
      </c>
      <c r="B52" s="3832" t="s">
        <v>454</v>
      </c>
      <c r="C52" s="3683">
        <v>40479</v>
      </c>
      <c r="D52" s="3832" t="s">
        <v>454</v>
      </c>
      <c r="E52" s="3687" t="s">
        <v>1714</v>
      </c>
      <c r="F52" s="3684">
        <v>2</v>
      </c>
      <c r="G52" s="3687" t="s">
        <v>1805</v>
      </c>
      <c r="H52" s="3685">
        <v>552193</v>
      </c>
      <c r="I52" s="3681">
        <v>0</v>
      </c>
      <c r="J52" s="3682" t="s">
        <v>454</v>
      </c>
      <c r="K52" s="3691" t="s">
        <v>668</v>
      </c>
      <c r="L52" s="3693" t="s">
        <v>440</v>
      </c>
      <c r="M52" s="3836"/>
      <c r="N52" s="3830"/>
      <c r="O52" s="3830"/>
      <c r="P52" s="3830"/>
      <c r="Q52" s="3807"/>
      <c r="R52" s="3705"/>
      <c r="S52" s="3705"/>
      <c r="T52" s="3705"/>
      <c r="U52" s="3705"/>
      <c r="V52" s="3705"/>
      <c r="W52" s="3822"/>
      <c r="X52" s="3822"/>
      <c r="Y52" s="3822"/>
      <c r="Z52" s="3822"/>
      <c r="AA52" s="3822"/>
      <c r="AB52" s="3705"/>
      <c r="AC52" s="3705"/>
      <c r="AD52" s="3705"/>
      <c r="AE52" s="3705"/>
      <c r="AF52" s="3705"/>
      <c r="AG52" s="3705"/>
      <c r="AH52" s="3705"/>
      <c r="AI52" s="3705"/>
      <c r="AJ52" s="3705"/>
      <c r="AK52" s="3705"/>
      <c r="AL52" s="3705"/>
      <c r="AM52" s="3705"/>
      <c r="AN52" s="3705"/>
      <c r="AO52" s="3705"/>
    </row>
    <row r="53" spans="1:41" s="2224" customFormat="1" ht="15.95" customHeight="1" x14ac:dyDescent="0.2">
      <c r="A53" s="3692" t="s">
        <v>1352</v>
      </c>
      <c r="B53" s="3809">
        <v>40386</v>
      </c>
      <c r="C53" s="3683">
        <v>40479</v>
      </c>
      <c r="D53" s="3687" t="s">
        <v>454</v>
      </c>
      <c r="E53" s="3687" t="s">
        <v>1462</v>
      </c>
      <c r="F53" s="3684">
        <v>4</v>
      </c>
      <c r="G53" s="3687" t="s">
        <v>1278</v>
      </c>
      <c r="H53" s="3685">
        <v>75569</v>
      </c>
      <c r="I53" s="3681">
        <v>0</v>
      </c>
      <c r="J53" s="3682" t="s">
        <v>454</v>
      </c>
      <c r="K53" s="3691" t="s">
        <v>871</v>
      </c>
      <c r="L53" s="3693" t="s">
        <v>1456</v>
      </c>
      <c r="M53" s="3836"/>
      <c r="N53" s="3830"/>
      <c r="O53" s="3830"/>
      <c r="P53" s="3830"/>
      <c r="Q53" s="3705"/>
      <c r="R53" s="3705"/>
      <c r="S53" s="3705"/>
      <c r="T53" s="3705"/>
      <c r="U53" s="3705"/>
      <c r="V53" s="3705"/>
      <c r="W53" s="3822"/>
      <c r="X53" s="3822"/>
      <c r="Y53" s="3822"/>
      <c r="Z53" s="3822"/>
      <c r="AA53" s="3822"/>
      <c r="AB53" s="3705"/>
      <c r="AC53" s="3705"/>
      <c r="AD53" s="3705"/>
      <c r="AE53" s="3705"/>
      <c r="AF53" s="3705"/>
      <c r="AG53" s="3705"/>
      <c r="AH53" s="3705"/>
      <c r="AI53" s="3705"/>
      <c r="AJ53" s="3705"/>
      <c r="AK53" s="3705"/>
      <c r="AL53" s="3705"/>
      <c r="AM53" s="3705"/>
      <c r="AN53" s="3705"/>
      <c r="AO53" s="3705"/>
    </row>
    <row r="54" spans="1:41" s="2224" customFormat="1" ht="15.95" customHeight="1" x14ac:dyDescent="0.2">
      <c r="A54" s="3837" t="s">
        <v>1353</v>
      </c>
      <c r="B54" s="3838">
        <v>40206</v>
      </c>
      <c r="C54" s="3839">
        <v>40528</v>
      </c>
      <c r="D54" s="3811" t="s">
        <v>872</v>
      </c>
      <c r="E54" s="3811" t="s">
        <v>1451</v>
      </c>
      <c r="F54" s="3840" t="s">
        <v>454</v>
      </c>
      <c r="G54" s="3811" t="s">
        <v>1277</v>
      </c>
      <c r="H54" s="3841">
        <v>4929487</v>
      </c>
      <c r="I54" s="3842">
        <v>2644928</v>
      </c>
      <c r="J54" s="3843" t="s">
        <v>454</v>
      </c>
      <c r="K54" s="3844" t="s">
        <v>36</v>
      </c>
      <c r="L54" s="3845" t="s">
        <v>440</v>
      </c>
      <c r="M54" s="3836"/>
      <c r="N54" s="3830"/>
      <c r="O54" s="3830"/>
      <c r="P54" s="3830"/>
      <c r="Q54" s="3705"/>
      <c r="R54" s="3705"/>
      <c r="S54" s="3705"/>
      <c r="T54" s="3705"/>
      <c r="U54" s="3705"/>
      <c r="V54" s="3705"/>
      <c r="W54" s="3705"/>
      <c r="X54" s="3705"/>
      <c r="Y54" s="3705"/>
      <c r="Z54" s="3705"/>
      <c r="AA54" s="3705"/>
      <c r="AB54" s="3705"/>
      <c r="AC54" s="3705"/>
      <c r="AD54" s="3705"/>
      <c r="AE54" s="3705"/>
      <c r="AF54" s="3705"/>
      <c r="AG54" s="3705"/>
      <c r="AH54" s="3705"/>
      <c r="AI54" s="3705"/>
      <c r="AJ54" s="3705"/>
      <c r="AK54" s="3705"/>
      <c r="AL54" s="3705"/>
      <c r="AM54" s="3705"/>
      <c r="AN54" s="3705"/>
      <c r="AO54" s="3705"/>
    </row>
    <row r="55" spans="1:41" s="2224" customFormat="1" ht="15.95" customHeight="1" x14ac:dyDescent="0.2">
      <c r="A55" s="3692" t="s">
        <v>1354</v>
      </c>
      <c r="B55" s="3809">
        <v>40325</v>
      </c>
      <c r="C55" s="3683">
        <v>40528</v>
      </c>
      <c r="D55" s="3687" t="s">
        <v>454</v>
      </c>
      <c r="E55" s="3687" t="s">
        <v>1715</v>
      </c>
      <c r="F55" s="3684">
        <v>3</v>
      </c>
      <c r="G55" s="3687" t="s">
        <v>1806</v>
      </c>
      <c r="H55" s="3685">
        <v>111635</v>
      </c>
      <c r="I55" s="3681">
        <v>0</v>
      </c>
      <c r="J55" s="3682" t="s">
        <v>454</v>
      </c>
      <c r="K55" s="3691" t="s">
        <v>36</v>
      </c>
      <c r="L55" s="3693" t="s">
        <v>1459</v>
      </c>
      <c r="M55" s="3836"/>
      <c r="N55" s="3830"/>
      <c r="O55" s="3830"/>
      <c r="P55" s="3830"/>
      <c r="Q55" s="3705"/>
      <c r="R55" s="3705"/>
      <c r="S55" s="3705"/>
      <c r="T55" s="3705"/>
      <c r="U55" s="3705"/>
      <c r="V55" s="3705"/>
      <c r="W55" s="3705"/>
      <c r="X55" s="3705"/>
      <c r="Y55" s="3705"/>
      <c r="Z55" s="3705"/>
      <c r="AA55" s="3705"/>
      <c r="AB55" s="3705"/>
      <c r="AC55" s="3705"/>
      <c r="AD55" s="3705"/>
      <c r="AE55" s="3705"/>
      <c r="AF55" s="3705"/>
      <c r="AG55" s="3705"/>
      <c r="AH55" s="3705"/>
      <c r="AI55" s="3705"/>
      <c r="AJ55" s="3705"/>
      <c r="AK55" s="3705"/>
      <c r="AL55" s="3705"/>
      <c r="AM55" s="3705"/>
      <c r="AN55" s="3705"/>
      <c r="AO55" s="3705"/>
    </row>
    <row r="56" spans="1:41" s="2224" customFormat="1" ht="15.95" customHeight="1" x14ac:dyDescent="0.2">
      <c r="A56" s="3692" t="s">
        <v>1363</v>
      </c>
      <c r="B56" s="3809">
        <v>40381</v>
      </c>
      <c r="C56" s="3683">
        <v>40528</v>
      </c>
      <c r="D56" s="3687" t="s">
        <v>454</v>
      </c>
      <c r="E56" s="3687" t="s">
        <v>1537</v>
      </c>
      <c r="F56" s="3684">
        <v>2</v>
      </c>
      <c r="G56" s="3687" t="s">
        <v>1805</v>
      </c>
      <c r="H56" s="3685">
        <v>305830</v>
      </c>
      <c r="I56" s="3846">
        <v>0</v>
      </c>
      <c r="J56" s="3682" t="s">
        <v>1700</v>
      </c>
      <c r="K56" s="3691" t="s">
        <v>1490</v>
      </c>
      <c r="L56" s="3693" t="s">
        <v>1491</v>
      </c>
      <c r="M56" s="3820"/>
      <c r="N56" s="3807"/>
      <c r="O56" s="3807"/>
      <c r="P56" s="3827"/>
      <c r="Q56" s="3705"/>
      <c r="R56" s="3705"/>
      <c r="S56" s="3705"/>
      <c r="T56" s="3705"/>
      <c r="U56" s="3705"/>
      <c r="V56" s="3705"/>
      <c r="W56" s="3822"/>
      <c r="X56" s="3822"/>
      <c r="Y56" s="3822"/>
      <c r="Z56" s="3822"/>
      <c r="AA56" s="3822"/>
      <c r="AB56" s="3705"/>
      <c r="AC56" s="3705"/>
      <c r="AD56" s="3705"/>
      <c r="AE56" s="3705"/>
      <c r="AF56" s="3705"/>
      <c r="AG56" s="3705"/>
      <c r="AH56" s="3705"/>
      <c r="AI56" s="3705"/>
      <c r="AJ56" s="3705"/>
      <c r="AK56" s="3705"/>
      <c r="AL56" s="3705"/>
      <c r="AM56" s="3705"/>
      <c r="AN56" s="3705"/>
      <c r="AO56" s="3705"/>
    </row>
    <row r="57" spans="1:41" s="2224" customFormat="1" ht="15.95" customHeight="1" x14ac:dyDescent="0.2">
      <c r="A57" s="3694" t="s">
        <v>1422</v>
      </c>
      <c r="B57" s="3810" t="s">
        <v>1716</v>
      </c>
      <c r="C57" s="3695">
        <v>40626</v>
      </c>
      <c r="D57" s="3689" t="s">
        <v>454</v>
      </c>
      <c r="E57" s="3689" t="s">
        <v>1541</v>
      </c>
      <c r="F57" s="3696">
        <v>4</v>
      </c>
      <c r="G57" s="3689" t="s">
        <v>1278</v>
      </c>
      <c r="H57" s="3697">
        <v>654438</v>
      </c>
      <c r="I57" s="3698">
        <v>0</v>
      </c>
      <c r="J57" s="3699" t="s">
        <v>1453</v>
      </c>
      <c r="K57" s="3700" t="s">
        <v>668</v>
      </c>
      <c r="L57" s="3701" t="s">
        <v>1447</v>
      </c>
      <c r="M57" s="3836"/>
      <c r="N57" s="3830"/>
      <c r="O57" s="3830"/>
      <c r="P57" s="3830"/>
    </row>
    <row r="58" spans="1:41" s="2224" customFormat="1" ht="15.95" customHeight="1" x14ac:dyDescent="0.2">
      <c r="A58" s="3694" t="s">
        <v>1423</v>
      </c>
      <c r="B58" s="3810">
        <v>40570</v>
      </c>
      <c r="C58" s="3695">
        <v>40626</v>
      </c>
      <c r="D58" s="3689" t="s">
        <v>454</v>
      </c>
      <c r="E58" s="3689" t="s">
        <v>1717</v>
      </c>
      <c r="F58" s="3696">
        <v>2</v>
      </c>
      <c r="G58" s="3689" t="s">
        <v>1805</v>
      </c>
      <c r="H58" s="3697">
        <v>135653</v>
      </c>
      <c r="I58" s="3698">
        <v>0</v>
      </c>
      <c r="J58" s="3699" t="s">
        <v>454</v>
      </c>
      <c r="K58" s="3700" t="s">
        <v>1492</v>
      </c>
      <c r="L58" s="3701" t="s">
        <v>440</v>
      </c>
      <c r="M58" s="3836"/>
      <c r="N58" s="3830"/>
      <c r="O58" s="3830"/>
      <c r="P58" s="3830"/>
    </row>
    <row r="59" spans="1:41" s="2224" customFormat="1" ht="15.95" customHeight="1" x14ac:dyDescent="0.2">
      <c r="A59" s="3692" t="s">
        <v>1467</v>
      </c>
      <c r="B59" s="3809">
        <v>40416</v>
      </c>
      <c r="C59" s="3683">
        <v>40688</v>
      </c>
      <c r="D59" s="3687" t="s">
        <v>454</v>
      </c>
      <c r="E59" s="3687" t="s">
        <v>1468</v>
      </c>
      <c r="F59" s="3684">
        <v>3</v>
      </c>
      <c r="G59" s="3687" t="s">
        <v>1278</v>
      </c>
      <c r="H59" s="3685">
        <v>464731</v>
      </c>
      <c r="I59" s="3681">
        <v>0</v>
      </c>
      <c r="J59" s="3682" t="s">
        <v>454</v>
      </c>
      <c r="K59" s="3691" t="s">
        <v>33</v>
      </c>
      <c r="L59" s="3693" t="s">
        <v>1447</v>
      </c>
      <c r="M59" s="3836"/>
      <c r="N59" s="3830"/>
      <c r="O59" s="3830"/>
      <c r="P59" s="3830"/>
    </row>
    <row r="60" spans="1:41" s="2224" customFormat="1" ht="15.95" customHeight="1" thickBot="1" x14ac:dyDescent="0.25">
      <c r="A60" s="3694" t="s">
        <v>1424</v>
      </c>
      <c r="B60" s="3810">
        <v>40752</v>
      </c>
      <c r="C60" s="3695">
        <v>40843</v>
      </c>
      <c r="D60" s="3689" t="s">
        <v>454</v>
      </c>
      <c r="E60" s="3689" t="s">
        <v>1627</v>
      </c>
      <c r="F60" s="3696">
        <v>2</v>
      </c>
      <c r="G60" s="3689" t="s">
        <v>1278</v>
      </c>
      <c r="H60" s="3697">
        <v>512449</v>
      </c>
      <c r="I60" s="3698">
        <v>0</v>
      </c>
      <c r="J60" s="3699" t="s">
        <v>454</v>
      </c>
      <c r="K60" s="3700" t="s">
        <v>64</v>
      </c>
      <c r="L60" s="3701" t="s">
        <v>1456</v>
      </c>
      <c r="M60" s="3820"/>
      <c r="N60" s="3836"/>
      <c r="O60" s="3830"/>
      <c r="P60" s="3830"/>
      <c r="Q60" s="3830"/>
    </row>
    <row r="61" spans="1:41" ht="15.95" customHeight="1" x14ac:dyDescent="0.2">
      <c r="A61" s="4042" t="s">
        <v>1685</v>
      </c>
      <c r="B61" s="4043"/>
      <c r="C61" s="4043"/>
      <c r="D61" s="4043"/>
      <c r="E61" s="4043"/>
      <c r="F61" s="4043"/>
      <c r="G61" s="4043"/>
      <c r="H61" s="4043"/>
      <c r="I61" s="4043"/>
      <c r="J61" s="4043"/>
      <c r="K61" s="4043"/>
      <c r="L61" s="4044"/>
      <c r="M61" s="3286"/>
      <c r="N61" s="3287"/>
      <c r="O61" s="82"/>
      <c r="P61" s="95"/>
      <c r="Q61" s="39"/>
      <c r="R61" s="39"/>
      <c r="S61" s="39"/>
      <c r="T61" s="39"/>
      <c r="U61" s="39"/>
      <c r="V61" s="39"/>
      <c r="W61" s="52"/>
      <c r="X61" s="52"/>
      <c r="Y61" s="52"/>
      <c r="Z61" s="52"/>
      <c r="AA61" s="52"/>
      <c r="AB61" s="39"/>
      <c r="AC61" s="39"/>
      <c r="AD61" s="39"/>
      <c r="AE61" s="39"/>
      <c r="AF61" s="39"/>
      <c r="AG61" s="39"/>
      <c r="AH61" s="39"/>
      <c r="AI61" s="39"/>
      <c r="AJ61" s="39"/>
      <c r="AK61" s="39"/>
      <c r="AL61" s="39"/>
      <c r="AM61" s="39"/>
      <c r="AN61" s="39"/>
      <c r="AO61" s="39"/>
    </row>
    <row r="62" spans="1:41" x14ac:dyDescent="0.2">
      <c r="A62" s="4045"/>
      <c r="B62" s="4046"/>
      <c r="C62" s="4046"/>
      <c r="D62" s="4046"/>
      <c r="E62" s="4046"/>
      <c r="F62" s="4046"/>
      <c r="G62" s="4046"/>
      <c r="H62" s="4046"/>
      <c r="I62" s="4046"/>
      <c r="J62" s="4046"/>
      <c r="K62" s="4046"/>
      <c r="L62" s="4047"/>
      <c r="M62" s="2945"/>
      <c r="N62" s="2946"/>
      <c r="O62" s="82"/>
      <c r="P62" s="95"/>
      <c r="Q62" s="39"/>
      <c r="R62" s="39"/>
      <c r="S62" s="39"/>
      <c r="T62" s="39"/>
      <c r="U62" s="39"/>
      <c r="V62" s="39"/>
      <c r="W62" s="52"/>
      <c r="X62" s="52"/>
      <c r="Y62" s="52"/>
      <c r="Z62" s="52"/>
      <c r="AA62" s="52"/>
      <c r="AB62" s="39"/>
      <c r="AC62" s="39"/>
      <c r="AD62" s="39"/>
      <c r="AE62" s="39"/>
      <c r="AF62" s="39"/>
      <c r="AG62" s="39"/>
      <c r="AH62" s="39"/>
      <c r="AI62" s="39"/>
      <c r="AJ62" s="39"/>
      <c r="AK62" s="39"/>
      <c r="AL62" s="39"/>
      <c r="AM62" s="39"/>
      <c r="AN62" s="39"/>
      <c r="AO62" s="39"/>
    </row>
    <row r="63" spans="1:41" ht="21" thickBot="1" x14ac:dyDescent="0.25">
      <c r="A63" s="4071" t="s">
        <v>1709</v>
      </c>
      <c r="B63" s="4072"/>
      <c r="C63" s="4072"/>
      <c r="D63" s="4072"/>
      <c r="E63" s="4072"/>
      <c r="F63" s="4072"/>
      <c r="G63" s="4072"/>
      <c r="H63" s="4072"/>
      <c r="I63" s="4072"/>
      <c r="J63" s="4072"/>
      <c r="K63" s="4072"/>
      <c r="L63" s="4073"/>
      <c r="M63" s="2945"/>
      <c r="N63" s="2946"/>
      <c r="O63" s="82"/>
      <c r="P63" s="95"/>
      <c r="Q63" s="39"/>
      <c r="R63" s="39"/>
      <c r="S63" s="39"/>
      <c r="T63" s="39"/>
      <c r="U63" s="39"/>
      <c r="V63" s="39"/>
      <c r="W63" s="52"/>
      <c r="X63" s="52"/>
      <c r="Y63" s="52"/>
      <c r="Z63" s="52"/>
      <c r="AA63" s="52"/>
      <c r="AB63" s="39"/>
      <c r="AC63" s="39"/>
      <c r="AD63" s="39"/>
      <c r="AE63" s="39"/>
      <c r="AF63" s="39"/>
      <c r="AG63" s="39"/>
      <c r="AH63" s="39"/>
      <c r="AI63" s="39"/>
      <c r="AJ63" s="39"/>
      <c r="AK63" s="39"/>
      <c r="AL63" s="39"/>
      <c r="AM63" s="39"/>
      <c r="AN63" s="39"/>
      <c r="AO63" s="39"/>
    </row>
    <row r="64" spans="1:41" s="2224" customFormat="1" ht="11.25" customHeight="1" thickTop="1" x14ac:dyDescent="0.2">
      <c r="A64" s="4051" t="s">
        <v>241</v>
      </c>
      <c r="B64" s="4054" t="s">
        <v>1710</v>
      </c>
      <c r="C64" s="4054" t="s">
        <v>1650</v>
      </c>
      <c r="D64" s="4054" t="s">
        <v>1621</v>
      </c>
      <c r="E64" s="4057" t="s">
        <v>5</v>
      </c>
      <c r="F64" s="4054" t="s">
        <v>1651</v>
      </c>
      <c r="G64" s="4054" t="s">
        <v>1622</v>
      </c>
      <c r="H64" s="4060" t="s">
        <v>1534</v>
      </c>
      <c r="I64" s="4060" t="s">
        <v>1649</v>
      </c>
      <c r="J64" s="4057" t="s">
        <v>1652</v>
      </c>
      <c r="K64" s="4057" t="s">
        <v>261</v>
      </c>
      <c r="L64" s="4063" t="s">
        <v>1623</v>
      </c>
      <c r="M64" s="3820"/>
      <c r="N64" s="3807"/>
      <c r="O64" s="3807"/>
      <c r="P64" s="3827"/>
      <c r="Q64" s="3705"/>
      <c r="R64" s="3705"/>
      <c r="S64" s="3705"/>
      <c r="T64" s="3705"/>
      <c r="U64" s="3705"/>
      <c r="V64" s="3705"/>
      <c r="W64" s="3822"/>
      <c r="X64" s="3822"/>
      <c r="Y64" s="3822"/>
      <c r="Z64" s="3822"/>
      <c r="AA64" s="3822"/>
      <c r="AB64" s="3705"/>
      <c r="AC64" s="3705"/>
      <c r="AD64" s="3705"/>
      <c r="AE64" s="3705"/>
      <c r="AF64" s="3705"/>
      <c r="AG64" s="3705"/>
      <c r="AH64" s="3705"/>
      <c r="AI64" s="3705"/>
      <c r="AJ64" s="3705"/>
      <c r="AK64" s="3705"/>
      <c r="AL64" s="3705"/>
      <c r="AM64" s="3705"/>
      <c r="AN64" s="3705"/>
      <c r="AO64" s="3705"/>
    </row>
    <row r="65" spans="1:41" s="2224" customFormat="1" ht="11.25" customHeight="1" x14ac:dyDescent="0.2">
      <c r="A65" s="4052"/>
      <c r="B65" s="4055"/>
      <c r="C65" s="4055"/>
      <c r="D65" s="4055"/>
      <c r="E65" s="4058"/>
      <c r="F65" s="4055"/>
      <c r="G65" s="4055"/>
      <c r="H65" s="4061"/>
      <c r="I65" s="4061"/>
      <c r="J65" s="4058"/>
      <c r="K65" s="4058"/>
      <c r="L65" s="4064"/>
      <c r="M65" s="3820"/>
      <c r="N65" s="3807"/>
      <c r="O65" s="3807"/>
      <c r="P65" s="3827"/>
      <c r="Q65" s="3705"/>
      <c r="R65" s="3705"/>
      <c r="S65" s="3705"/>
      <c r="T65" s="3705"/>
      <c r="U65" s="3705"/>
      <c r="V65" s="3705"/>
      <c r="W65" s="3822"/>
      <c r="X65" s="3822"/>
      <c r="Y65" s="3822"/>
      <c r="Z65" s="3822"/>
      <c r="AA65" s="3822"/>
      <c r="AB65" s="3705"/>
      <c r="AC65" s="3705"/>
      <c r="AD65" s="3705"/>
      <c r="AE65" s="3705"/>
      <c r="AF65" s="3705"/>
      <c r="AG65" s="3705"/>
      <c r="AH65" s="3705"/>
      <c r="AI65" s="3705"/>
      <c r="AJ65" s="3705"/>
      <c r="AK65" s="3705"/>
      <c r="AL65" s="3705"/>
      <c r="AM65" s="3705"/>
      <c r="AN65" s="3705"/>
      <c r="AO65" s="3705"/>
    </row>
    <row r="66" spans="1:41" s="2224" customFormat="1" ht="11.25" customHeight="1" x14ac:dyDescent="0.2">
      <c r="A66" s="4052"/>
      <c r="B66" s="4055"/>
      <c r="C66" s="4055"/>
      <c r="D66" s="4055"/>
      <c r="E66" s="4058"/>
      <c r="F66" s="4055"/>
      <c r="G66" s="4055"/>
      <c r="H66" s="4061"/>
      <c r="I66" s="4061"/>
      <c r="J66" s="4058"/>
      <c r="K66" s="4058"/>
      <c r="L66" s="4064"/>
      <c r="M66" s="3820"/>
      <c r="N66" s="3807"/>
      <c r="O66" s="3807"/>
      <c r="P66" s="3827"/>
      <c r="Q66" s="3705"/>
      <c r="R66" s="3705"/>
      <c r="S66" s="3705"/>
      <c r="T66" s="3705"/>
      <c r="U66" s="3705"/>
      <c r="V66" s="3705"/>
      <c r="W66" s="3822"/>
      <c r="X66" s="3822"/>
      <c r="Y66" s="3822"/>
      <c r="Z66" s="3822"/>
      <c r="AA66" s="3822"/>
      <c r="AB66" s="3705"/>
      <c r="AC66" s="3705"/>
      <c r="AD66" s="3705"/>
      <c r="AE66" s="3705"/>
      <c r="AF66" s="3705"/>
      <c r="AG66" s="3705"/>
      <c r="AH66" s="3705"/>
      <c r="AI66" s="3705"/>
      <c r="AJ66" s="3705"/>
      <c r="AK66" s="3705"/>
      <c r="AL66" s="3705"/>
      <c r="AM66" s="3705"/>
      <c r="AN66" s="3705"/>
      <c r="AO66" s="3705"/>
    </row>
    <row r="67" spans="1:41" s="2224" customFormat="1" ht="11.25" customHeight="1" thickBot="1" x14ac:dyDescent="0.25">
      <c r="A67" s="4053"/>
      <c r="B67" s="4056"/>
      <c r="C67" s="4056"/>
      <c r="D67" s="4056"/>
      <c r="E67" s="4059"/>
      <c r="F67" s="4056"/>
      <c r="G67" s="4056"/>
      <c r="H67" s="4062"/>
      <c r="I67" s="4062"/>
      <c r="J67" s="4059"/>
      <c r="K67" s="4059"/>
      <c r="L67" s="4065"/>
      <c r="M67" s="3836"/>
      <c r="N67" s="3830"/>
      <c r="O67" s="3830"/>
      <c r="P67" s="3830"/>
    </row>
    <row r="68" spans="1:41" s="2224" customFormat="1" ht="15.95" customHeight="1" x14ac:dyDescent="0.2">
      <c r="A68" s="3694" t="s">
        <v>1425</v>
      </c>
      <c r="B68" s="3810">
        <v>40598</v>
      </c>
      <c r="C68" s="3695">
        <v>40843</v>
      </c>
      <c r="D68" s="3689" t="s">
        <v>1466</v>
      </c>
      <c r="E68" s="3689" t="s">
        <v>1451</v>
      </c>
      <c r="F68" s="3696" t="s">
        <v>454</v>
      </c>
      <c r="G68" s="3689" t="s">
        <v>1277</v>
      </c>
      <c r="H68" s="3697">
        <v>156913</v>
      </c>
      <c r="I68" s="3698">
        <v>86727</v>
      </c>
      <c r="J68" s="3699" t="s">
        <v>454</v>
      </c>
      <c r="K68" s="3700" t="s">
        <v>1493</v>
      </c>
      <c r="L68" s="3701" t="s">
        <v>440</v>
      </c>
      <c r="M68" s="3847"/>
      <c r="N68" s="3836"/>
      <c r="O68" s="3830"/>
      <c r="P68" s="3830"/>
      <c r="Q68" s="3830"/>
    </row>
    <row r="69" spans="1:41" s="2224" customFormat="1" ht="15.95" customHeight="1" x14ac:dyDescent="0.2">
      <c r="A69" s="3692" t="s">
        <v>1469</v>
      </c>
      <c r="B69" s="3809">
        <v>40626</v>
      </c>
      <c r="C69" s="3683">
        <v>40885</v>
      </c>
      <c r="D69" s="3687" t="s">
        <v>454</v>
      </c>
      <c r="E69" s="3687" t="s">
        <v>1470</v>
      </c>
      <c r="F69" s="3684">
        <v>3</v>
      </c>
      <c r="G69" s="3687" t="s">
        <v>1278</v>
      </c>
      <c r="H69" s="3685">
        <v>568913</v>
      </c>
      <c r="I69" s="3681">
        <v>0</v>
      </c>
      <c r="J69" s="3682" t="s">
        <v>1453</v>
      </c>
      <c r="K69" s="3691" t="s">
        <v>1494</v>
      </c>
      <c r="L69" s="3693" t="s">
        <v>440</v>
      </c>
      <c r="M69" s="3847"/>
      <c r="N69" s="3836"/>
      <c r="O69" s="3830"/>
      <c r="P69" s="3830"/>
      <c r="Q69" s="3830"/>
    </row>
    <row r="70" spans="1:41" s="2224" customFormat="1" ht="15.95" customHeight="1" x14ac:dyDescent="0.2">
      <c r="A70" s="3837" t="s">
        <v>1426</v>
      </c>
      <c r="B70" s="3838">
        <v>40688</v>
      </c>
      <c r="C70" s="3839">
        <v>40885</v>
      </c>
      <c r="D70" s="3811" t="s">
        <v>1466</v>
      </c>
      <c r="E70" s="3811" t="s">
        <v>1451</v>
      </c>
      <c r="F70" s="3840" t="s">
        <v>454</v>
      </c>
      <c r="G70" s="3811" t="s">
        <v>1277</v>
      </c>
      <c r="H70" s="3841">
        <v>290335</v>
      </c>
      <c r="I70" s="3842">
        <v>117880</v>
      </c>
      <c r="J70" s="3843" t="s">
        <v>1495</v>
      </c>
      <c r="K70" s="3844" t="s">
        <v>1496</v>
      </c>
      <c r="L70" s="3845" t="s">
        <v>440</v>
      </c>
      <c r="M70" s="3847"/>
      <c r="N70" s="3848"/>
    </row>
    <row r="71" spans="1:41" s="2224" customFormat="1" ht="15.95" customHeight="1" x14ac:dyDescent="0.2">
      <c r="A71" s="3692" t="s">
        <v>1427</v>
      </c>
      <c r="B71" s="3809">
        <v>40688</v>
      </c>
      <c r="C71" s="3683">
        <v>40885</v>
      </c>
      <c r="D71" s="3687" t="s">
        <v>454</v>
      </c>
      <c r="E71" s="3687" t="s">
        <v>1717</v>
      </c>
      <c r="F71" s="3684">
        <v>2</v>
      </c>
      <c r="G71" s="3687" t="s">
        <v>1805</v>
      </c>
      <c r="H71" s="3685">
        <v>153994</v>
      </c>
      <c r="I71" s="3681">
        <v>0</v>
      </c>
      <c r="J71" s="3682" t="s">
        <v>1453</v>
      </c>
      <c r="K71" s="3691" t="s">
        <v>37</v>
      </c>
      <c r="L71" s="3693" t="s">
        <v>1459</v>
      </c>
      <c r="M71" s="3847"/>
      <c r="N71" s="3848"/>
    </row>
    <row r="72" spans="1:41" s="2224" customFormat="1" ht="15.95" customHeight="1" x14ac:dyDescent="0.2">
      <c r="A72" s="3692" t="s">
        <v>877</v>
      </c>
      <c r="B72" s="3809">
        <v>40752</v>
      </c>
      <c r="C72" s="3683">
        <v>40885</v>
      </c>
      <c r="D72" s="3687" t="s">
        <v>1466</v>
      </c>
      <c r="E72" s="3687" t="s">
        <v>1451</v>
      </c>
      <c r="F72" s="3684" t="s">
        <v>454</v>
      </c>
      <c r="G72" s="3687" t="s">
        <v>1277</v>
      </c>
      <c r="H72" s="3685">
        <v>4696809</v>
      </c>
      <c r="I72" s="3681">
        <v>6297553</v>
      </c>
      <c r="J72" s="3682" t="s">
        <v>454</v>
      </c>
      <c r="K72" s="3691" t="s">
        <v>668</v>
      </c>
      <c r="L72" s="3693" t="s">
        <v>440</v>
      </c>
      <c r="M72" s="3847"/>
      <c r="N72" s="3848"/>
    </row>
    <row r="73" spans="1:41" s="2224" customFormat="1" ht="15.95" customHeight="1" x14ac:dyDescent="0.2">
      <c r="A73" s="3694" t="s">
        <v>1428</v>
      </c>
      <c r="B73" s="3810">
        <v>40416</v>
      </c>
      <c r="C73" s="3695">
        <v>40885</v>
      </c>
      <c r="D73" s="3689" t="s">
        <v>1466</v>
      </c>
      <c r="E73" s="3687" t="s">
        <v>1625</v>
      </c>
      <c r="F73" s="3696" t="s">
        <v>454</v>
      </c>
      <c r="G73" s="3689" t="s">
        <v>1277</v>
      </c>
      <c r="H73" s="3697">
        <v>688462</v>
      </c>
      <c r="I73" s="3698">
        <v>289406</v>
      </c>
      <c r="J73" s="3699" t="s">
        <v>1700</v>
      </c>
      <c r="K73" s="3700" t="s">
        <v>520</v>
      </c>
      <c r="L73" s="3701" t="s">
        <v>440</v>
      </c>
      <c r="M73" s="3847"/>
      <c r="N73" s="3848"/>
    </row>
    <row r="74" spans="1:41" s="2224" customFormat="1" ht="15.95" customHeight="1" x14ac:dyDescent="0.2">
      <c r="A74" s="3694" t="s">
        <v>1471</v>
      </c>
      <c r="B74" s="3810">
        <v>40528</v>
      </c>
      <c r="C74" s="3695" t="s">
        <v>454</v>
      </c>
      <c r="D74" s="3689" t="s">
        <v>454</v>
      </c>
      <c r="E74" s="3689" t="s">
        <v>1472</v>
      </c>
      <c r="F74" s="3696">
        <v>1</v>
      </c>
      <c r="G74" s="3689" t="s">
        <v>1278</v>
      </c>
      <c r="H74" s="3697">
        <v>7900114</v>
      </c>
      <c r="I74" s="3698">
        <v>0</v>
      </c>
      <c r="J74" s="3699" t="s">
        <v>1453</v>
      </c>
      <c r="K74" s="3700" t="s">
        <v>36</v>
      </c>
      <c r="L74" s="3701" t="s">
        <v>1459</v>
      </c>
      <c r="M74" s="3847"/>
      <c r="N74" s="3848"/>
    </row>
    <row r="75" spans="1:41" s="2224" customFormat="1" ht="15.95" customHeight="1" x14ac:dyDescent="0.2">
      <c r="A75" s="3692" t="s">
        <v>1473</v>
      </c>
      <c r="B75" s="3809">
        <v>40843</v>
      </c>
      <c r="C75" s="3683" t="s">
        <v>454</v>
      </c>
      <c r="D75" s="3687" t="s">
        <v>454</v>
      </c>
      <c r="E75" s="3687" t="s">
        <v>1474</v>
      </c>
      <c r="F75" s="3684">
        <v>1</v>
      </c>
      <c r="G75" s="3687" t="s">
        <v>1278</v>
      </c>
      <c r="H75" s="3685">
        <v>246941</v>
      </c>
      <c r="I75" s="3681">
        <v>0</v>
      </c>
      <c r="J75" s="3682" t="s">
        <v>1701</v>
      </c>
      <c r="K75" s="3691" t="s">
        <v>479</v>
      </c>
      <c r="L75" s="3693" t="s">
        <v>1459</v>
      </c>
      <c r="M75" s="3847"/>
      <c r="N75" s="3848"/>
    </row>
    <row r="76" spans="1:41" s="2224" customFormat="1" ht="15.95" customHeight="1" x14ac:dyDescent="0.2">
      <c r="A76" s="3692" t="s">
        <v>1475</v>
      </c>
      <c r="B76" s="3809">
        <v>40885</v>
      </c>
      <c r="C76" s="3683" t="s">
        <v>454</v>
      </c>
      <c r="D76" s="3687" t="s">
        <v>454</v>
      </c>
      <c r="E76" s="3687" t="s">
        <v>1476</v>
      </c>
      <c r="F76" s="3684">
        <v>1</v>
      </c>
      <c r="G76" s="3687" t="s">
        <v>1278</v>
      </c>
      <c r="H76" s="3685">
        <v>516395</v>
      </c>
      <c r="I76" s="3681">
        <v>0</v>
      </c>
      <c r="J76" s="3682" t="s">
        <v>1453</v>
      </c>
      <c r="K76" s="3691" t="s">
        <v>66</v>
      </c>
      <c r="L76" s="3693" t="s">
        <v>440</v>
      </c>
      <c r="M76" s="3847"/>
      <c r="N76" s="3848"/>
    </row>
    <row r="77" spans="1:41" s="2224" customFormat="1" ht="15.95" customHeight="1" x14ac:dyDescent="0.2">
      <c r="A77" s="3692" t="s">
        <v>1477</v>
      </c>
      <c r="B77" s="3809">
        <v>40934</v>
      </c>
      <c r="C77" s="3683" t="s">
        <v>454</v>
      </c>
      <c r="D77" s="3687" t="s">
        <v>454</v>
      </c>
      <c r="E77" s="3687" t="s">
        <v>1474</v>
      </c>
      <c r="F77" s="3684">
        <v>1</v>
      </c>
      <c r="G77" s="3687" t="s">
        <v>1278</v>
      </c>
      <c r="H77" s="3685">
        <v>260176</v>
      </c>
      <c r="I77" s="3681">
        <v>0</v>
      </c>
      <c r="J77" s="3682" t="s">
        <v>454</v>
      </c>
      <c r="K77" s="3691" t="s">
        <v>33</v>
      </c>
      <c r="L77" s="3693" t="s">
        <v>440</v>
      </c>
      <c r="M77" s="3847"/>
      <c r="N77" s="3848"/>
    </row>
    <row r="78" spans="1:41" s="2224" customFormat="1" ht="15.95" customHeight="1" x14ac:dyDescent="0.2">
      <c r="A78" s="3692" t="s">
        <v>1628</v>
      </c>
      <c r="B78" s="3809">
        <v>40934</v>
      </c>
      <c r="C78" s="3683">
        <v>41054</v>
      </c>
      <c r="D78" s="3687" t="s">
        <v>1478</v>
      </c>
      <c r="E78" s="3687" t="s">
        <v>1451</v>
      </c>
      <c r="F78" s="3684" t="s">
        <v>454</v>
      </c>
      <c r="G78" s="3687" t="s">
        <v>1277</v>
      </c>
      <c r="H78" s="3685">
        <v>303004</v>
      </c>
      <c r="I78" s="3681">
        <v>277714</v>
      </c>
      <c r="J78" s="3682" t="s">
        <v>454</v>
      </c>
      <c r="K78" s="3691" t="s">
        <v>871</v>
      </c>
      <c r="L78" s="3693" t="s">
        <v>440</v>
      </c>
      <c r="M78" s="3847"/>
      <c r="N78" s="3848"/>
    </row>
    <row r="79" spans="1:41" s="2224" customFormat="1" ht="15.95" customHeight="1" x14ac:dyDescent="0.2">
      <c r="A79" s="3849" t="s">
        <v>1433</v>
      </c>
      <c r="B79" s="3850" t="s">
        <v>454</v>
      </c>
      <c r="C79" s="3851">
        <v>41207</v>
      </c>
      <c r="D79" s="3690" t="s">
        <v>1478</v>
      </c>
      <c r="E79" s="3690" t="s">
        <v>1451</v>
      </c>
      <c r="F79" s="3852" t="s">
        <v>454</v>
      </c>
      <c r="G79" s="3690" t="s">
        <v>1277</v>
      </c>
      <c r="H79" s="3853">
        <v>133617</v>
      </c>
      <c r="I79" s="3854">
        <v>62088</v>
      </c>
      <c r="J79" s="3855" t="s">
        <v>454</v>
      </c>
      <c r="K79" s="3856" t="s">
        <v>36</v>
      </c>
      <c r="L79" s="3857" t="s">
        <v>440</v>
      </c>
      <c r="M79" s="3847"/>
      <c r="N79" s="3848"/>
    </row>
    <row r="80" spans="1:41" s="2224" customFormat="1" ht="15.95" customHeight="1" x14ac:dyDescent="0.2">
      <c r="A80" s="3692" t="s">
        <v>1479</v>
      </c>
      <c r="B80" s="3809">
        <v>40990</v>
      </c>
      <c r="C80" s="3683">
        <v>41256</v>
      </c>
      <c r="D80" s="3683" t="s">
        <v>454</v>
      </c>
      <c r="E80" s="3687" t="s">
        <v>46</v>
      </c>
      <c r="F80" s="3684">
        <v>5</v>
      </c>
      <c r="G80" s="3687" t="s">
        <v>1278</v>
      </c>
      <c r="H80" s="3685">
        <v>1415009</v>
      </c>
      <c r="I80" s="3685">
        <v>0</v>
      </c>
      <c r="J80" s="3682" t="s">
        <v>1453</v>
      </c>
      <c r="K80" s="3682" t="s">
        <v>845</v>
      </c>
      <c r="L80" s="3858" t="s">
        <v>440</v>
      </c>
      <c r="M80" s="3847"/>
      <c r="N80" s="3848"/>
    </row>
    <row r="81" spans="1:14" s="2224" customFormat="1" ht="15.95" customHeight="1" x14ac:dyDescent="0.2">
      <c r="A81" s="3692" t="s">
        <v>1429</v>
      </c>
      <c r="B81" s="3809">
        <v>40934</v>
      </c>
      <c r="C81" s="3683">
        <v>41256</v>
      </c>
      <c r="D81" s="3687" t="s">
        <v>1478</v>
      </c>
      <c r="E81" s="3687" t="s">
        <v>1451</v>
      </c>
      <c r="F81" s="3684" t="s">
        <v>454</v>
      </c>
      <c r="G81" s="3687" t="s">
        <v>1277</v>
      </c>
      <c r="H81" s="3685">
        <v>5733506</v>
      </c>
      <c r="I81" s="3681">
        <v>2786740</v>
      </c>
      <c r="J81" s="3682" t="s">
        <v>454</v>
      </c>
      <c r="K81" s="3691" t="s">
        <v>670</v>
      </c>
      <c r="L81" s="3693" t="s">
        <v>440</v>
      </c>
      <c r="M81" s="3847"/>
      <c r="N81" s="3848"/>
    </row>
    <row r="82" spans="1:14" s="2224" customFormat="1" ht="15.95" customHeight="1" x14ac:dyDescent="0.2">
      <c r="A82" s="3692" t="s">
        <v>1431</v>
      </c>
      <c r="B82" s="3809">
        <v>41017</v>
      </c>
      <c r="C82" s="3683">
        <v>41256</v>
      </c>
      <c r="D82" s="3683" t="s">
        <v>1478</v>
      </c>
      <c r="E82" s="3687" t="s">
        <v>1451</v>
      </c>
      <c r="F82" s="3684" t="s">
        <v>454</v>
      </c>
      <c r="G82" s="3687" t="s">
        <v>1277</v>
      </c>
      <c r="H82" s="3685">
        <v>734081</v>
      </c>
      <c r="I82" s="3685">
        <v>0</v>
      </c>
      <c r="J82" s="3682" t="s">
        <v>1700</v>
      </c>
      <c r="K82" s="3682" t="s">
        <v>1497</v>
      </c>
      <c r="L82" s="3858" t="s">
        <v>1491</v>
      </c>
      <c r="M82" s="3847"/>
      <c r="N82" s="3848"/>
    </row>
    <row r="83" spans="1:14" s="2224" customFormat="1" ht="15.95" customHeight="1" x14ac:dyDescent="0.2">
      <c r="A83" s="3692" t="s">
        <v>1432</v>
      </c>
      <c r="B83" s="3809">
        <v>41025</v>
      </c>
      <c r="C83" s="3683">
        <v>41256</v>
      </c>
      <c r="D83" s="3683" t="s">
        <v>1478</v>
      </c>
      <c r="E83" s="3687" t="s">
        <v>1451</v>
      </c>
      <c r="F83" s="3684" t="s">
        <v>454</v>
      </c>
      <c r="G83" s="3687" t="s">
        <v>1277</v>
      </c>
      <c r="H83" s="3685">
        <v>454728</v>
      </c>
      <c r="I83" s="3685">
        <v>233150</v>
      </c>
      <c r="J83" s="3682" t="s">
        <v>1453</v>
      </c>
      <c r="K83" s="3682" t="s">
        <v>36</v>
      </c>
      <c r="L83" s="3858" t="s">
        <v>440</v>
      </c>
      <c r="M83" s="3847"/>
      <c r="N83" s="3848"/>
    </row>
    <row r="84" spans="1:14" s="2224" customFormat="1" ht="15.95" customHeight="1" x14ac:dyDescent="0.2">
      <c r="A84" s="3692" t="s">
        <v>1480</v>
      </c>
      <c r="B84" s="3809">
        <v>40626</v>
      </c>
      <c r="C84" s="3683" t="s">
        <v>454</v>
      </c>
      <c r="D84" s="3687" t="s">
        <v>454</v>
      </c>
      <c r="E84" s="3687" t="s">
        <v>1542</v>
      </c>
      <c r="F84" s="3684">
        <v>1</v>
      </c>
      <c r="G84" s="3687" t="s">
        <v>1278</v>
      </c>
      <c r="H84" s="3685">
        <v>1338444</v>
      </c>
      <c r="I84" s="3681">
        <v>0</v>
      </c>
      <c r="J84" s="3682" t="s">
        <v>454</v>
      </c>
      <c r="K84" s="3691" t="s">
        <v>479</v>
      </c>
      <c r="L84" s="3693" t="s">
        <v>1459</v>
      </c>
      <c r="M84" s="3705"/>
    </row>
    <row r="85" spans="1:14" s="2224" customFormat="1" ht="15.95" customHeight="1" x14ac:dyDescent="0.2">
      <c r="A85" s="3692" t="s">
        <v>1481</v>
      </c>
      <c r="B85" s="3809">
        <v>41256</v>
      </c>
      <c r="C85" s="3683">
        <v>41571</v>
      </c>
      <c r="D85" s="3687" t="s">
        <v>1482</v>
      </c>
      <c r="E85" s="3687" t="s">
        <v>1451</v>
      </c>
      <c r="F85" s="3684" t="s">
        <v>454</v>
      </c>
      <c r="G85" s="3687" t="s">
        <v>1277</v>
      </c>
      <c r="H85" s="3685">
        <v>267762</v>
      </c>
      <c r="I85" s="3681">
        <v>128639</v>
      </c>
      <c r="J85" s="3682" t="s">
        <v>1498</v>
      </c>
      <c r="K85" s="3691" t="s">
        <v>602</v>
      </c>
      <c r="L85" s="3693" t="s">
        <v>440</v>
      </c>
      <c r="M85" s="3705"/>
    </row>
    <row r="86" spans="1:14" s="2224" customFormat="1" ht="15.95" customHeight="1" x14ac:dyDescent="0.2">
      <c r="A86" s="3692" t="s">
        <v>1483</v>
      </c>
      <c r="B86" s="3809">
        <v>41389</v>
      </c>
      <c r="C86" s="3683">
        <v>41571</v>
      </c>
      <c r="D86" s="3687" t="s">
        <v>1482</v>
      </c>
      <c r="E86" s="3687" t="s">
        <v>1451</v>
      </c>
      <c r="F86" s="3684" t="s">
        <v>454</v>
      </c>
      <c r="G86" s="3687" t="s">
        <v>1277</v>
      </c>
      <c r="H86" s="3685">
        <v>352912</v>
      </c>
      <c r="I86" s="3681">
        <v>219038</v>
      </c>
      <c r="J86" s="3682" t="s">
        <v>454</v>
      </c>
      <c r="K86" s="3691" t="s">
        <v>1499</v>
      </c>
      <c r="L86" s="3693" t="s">
        <v>440</v>
      </c>
      <c r="M86" s="3705"/>
    </row>
    <row r="87" spans="1:14" s="2224" customFormat="1" ht="15.95" customHeight="1" x14ac:dyDescent="0.2">
      <c r="A87" s="3692" t="s">
        <v>1629</v>
      </c>
      <c r="B87" s="3809">
        <v>41361</v>
      </c>
      <c r="C87" s="3683">
        <v>41613</v>
      </c>
      <c r="D87" s="3687" t="s">
        <v>1482</v>
      </c>
      <c r="E87" s="3687" t="s">
        <v>1451</v>
      </c>
      <c r="F87" s="3684" t="s">
        <v>454</v>
      </c>
      <c r="G87" s="3687" t="s">
        <v>1277</v>
      </c>
      <c r="H87" s="3685">
        <v>325111</v>
      </c>
      <c r="I87" s="3681">
        <v>675788</v>
      </c>
      <c r="J87" s="3682" t="s">
        <v>454</v>
      </c>
      <c r="K87" s="3691" t="s">
        <v>673</v>
      </c>
      <c r="L87" s="3693" t="s">
        <v>440</v>
      </c>
      <c r="M87" s="3705"/>
    </row>
    <row r="88" spans="1:14" s="2224" customFormat="1" ht="15.95" customHeight="1" x14ac:dyDescent="0.2">
      <c r="A88" s="3692" t="s">
        <v>1630</v>
      </c>
      <c r="B88" s="3809">
        <v>41389</v>
      </c>
      <c r="C88" s="3683">
        <v>41613</v>
      </c>
      <c r="D88" s="3689" t="s">
        <v>1482</v>
      </c>
      <c r="E88" s="3689" t="s">
        <v>1451</v>
      </c>
      <c r="F88" s="3696" t="s">
        <v>454</v>
      </c>
      <c r="G88" s="3689" t="s">
        <v>1277</v>
      </c>
      <c r="H88" s="3685">
        <v>1201850</v>
      </c>
      <c r="I88" s="3681">
        <v>1970120</v>
      </c>
      <c r="J88" s="3682" t="s">
        <v>454</v>
      </c>
      <c r="K88" s="3691" t="s">
        <v>36</v>
      </c>
      <c r="L88" s="3693" t="s">
        <v>440</v>
      </c>
      <c r="M88" s="3705"/>
    </row>
    <row r="89" spans="1:14" s="2224" customFormat="1" ht="15.95" customHeight="1" x14ac:dyDescent="0.2">
      <c r="A89" s="3692" t="s">
        <v>1484</v>
      </c>
      <c r="B89" s="3809">
        <v>41480</v>
      </c>
      <c r="C89" s="3683">
        <v>41613</v>
      </c>
      <c r="D89" s="3687" t="s">
        <v>454</v>
      </c>
      <c r="E89" s="3687" t="s">
        <v>1631</v>
      </c>
      <c r="F89" s="3684">
        <v>4</v>
      </c>
      <c r="G89" s="3687" t="s">
        <v>1278</v>
      </c>
      <c r="H89" s="3685">
        <v>258518</v>
      </c>
      <c r="I89" s="3681">
        <v>0</v>
      </c>
      <c r="J89" s="3682" t="s">
        <v>1700</v>
      </c>
      <c r="K89" s="3691" t="s">
        <v>1500</v>
      </c>
      <c r="L89" s="3701" t="s">
        <v>1456</v>
      </c>
      <c r="M89" s="3705"/>
    </row>
    <row r="90" spans="1:14" s="2224" customFormat="1" ht="15.95" customHeight="1" x14ac:dyDescent="0.2">
      <c r="A90" s="3849" t="s">
        <v>1543</v>
      </c>
      <c r="B90" s="3850">
        <v>41508</v>
      </c>
      <c r="C90" s="3851">
        <v>41613</v>
      </c>
      <c r="D90" s="3690" t="s">
        <v>1482</v>
      </c>
      <c r="E90" s="3690" t="s">
        <v>1451</v>
      </c>
      <c r="F90" s="3852" t="s">
        <v>454</v>
      </c>
      <c r="G90" s="3690" t="s">
        <v>1277</v>
      </c>
      <c r="H90" s="3853">
        <v>136744</v>
      </c>
      <c r="I90" s="3854">
        <v>15938</v>
      </c>
      <c r="J90" s="3855" t="s">
        <v>1700</v>
      </c>
      <c r="K90" s="3856" t="s">
        <v>66</v>
      </c>
      <c r="L90" s="3693" t="s">
        <v>440</v>
      </c>
      <c r="M90" s="3705"/>
    </row>
    <row r="91" spans="1:14" s="2224" customFormat="1" ht="15.95" customHeight="1" x14ac:dyDescent="0.2">
      <c r="A91" s="3692" t="s">
        <v>1548</v>
      </c>
      <c r="B91" s="3809">
        <v>41717</v>
      </c>
      <c r="C91" s="3683">
        <v>41753</v>
      </c>
      <c r="D91" s="3687" t="s">
        <v>1485</v>
      </c>
      <c r="E91" s="3687" t="s">
        <v>1451</v>
      </c>
      <c r="F91" s="3684" t="s">
        <v>454</v>
      </c>
      <c r="G91" s="3684" t="s">
        <v>1277</v>
      </c>
      <c r="H91" s="3685">
        <v>971028</v>
      </c>
      <c r="I91" s="3681">
        <v>451047</v>
      </c>
      <c r="J91" s="3682" t="s">
        <v>454</v>
      </c>
      <c r="K91" s="3691" t="s">
        <v>37</v>
      </c>
      <c r="L91" s="3693" t="s">
        <v>440</v>
      </c>
      <c r="M91" s="3705"/>
    </row>
    <row r="92" spans="1:14" s="2224" customFormat="1" ht="15.95" customHeight="1" x14ac:dyDescent="0.2">
      <c r="A92" s="3692" t="s">
        <v>1487</v>
      </c>
      <c r="B92" s="3809">
        <v>41361</v>
      </c>
      <c r="C92" s="3683" t="s">
        <v>454</v>
      </c>
      <c r="D92" s="3687" t="s">
        <v>454</v>
      </c>
      <c r="E92" s="3687" t="s">
        <v>1545</v>
      </c>
      <c r="F92" s="3684">
        <v>1</v>
      </c>
      <c r="G92" s="3684" t="s">
        <v>1278</v>
      </c>
      <c r="H92" s="3685">
        <v>140049</v>
      </c>
      <c r="I92" s="3681">
        <v>0</v>
      </c>
      <c r="J92" s="3682" t="s">
        <v>454</v>
      </c>
      <c r="K92" s="3691" t="s">
        <v>66</v>
      </c>
      <c r="L92" s="3693" t="s">
        <v>1501</v>
      </c>
      <c r="M92" s="3705"/>
    </row>
    <row r="93" spans="1:14" s="2224" customFormat="1" ht="15.95" customHeight="1" x14ac:dyDescent="0.2">
      <c r="A93" s="3692" t="s">
        <v>1615</v>
      </c>
      <c r="B93" s="3809">
        <v>41543</v>
      </c>
      <c r="C93" s="3683" t="s">
        <v>454</v>
      </c>
      <c r="D93" s="3687" t="s">
        <v>454</v>
      </c>
      <c r="E93" s="3687" t="s">
        <v>1545</v>
      </c>
      <c r="F93" s="3684">
        <v>1</v>
      </c>
      <c r="G93" s="3684" t="s">
        <v>1278</v>
      </c>
      <c r="H93" s="3685">
        <v>2010364</v>
      </c>
      <c r="I93" s="3681">
        <v>0</v>
      </c>
      <c r="J93" s="3682" t="s">
        <v>1453</v>
      </c>
      <c r="K93" s="3691" t="s">
        <v>479</v>
      </c>
      <c r="L93" s="3693" t="s">
        <v>1546</v>
      </c>
      <c r="M93" s="3705"/>
    </row>
    <row r="94" spans="1:14" s="2224" customFormat="1" ht="15.95" customHeight="1" x14ac:dyDescent="0.2">
      <c r="A94" s="3692" t="s">
        <v>1544</v>
      </c>
      <c r="B94" s="3809">
        <v>41480</v>
      </c>
      <c r="C94" s="3683">
        <v>41990</v>
      </c>
      <c r="D94" s="3687" t="s">
        <v>1485</v>
      </c>
      <c r="E94" s="3687" t="s">
        <v>1451</v>
      </c>
      <c r="F94" s="3684" t="s">
        <v>454</v>
      </c>
      <c r="G94" s="3684" t="s">
        <v>1277</v>
      </c>
      <c r="H94" s="3685">
        <v>233252</v>
      </c>
      <c r="I94" s="3681">
        <v>0</v>
      </c>
      <c r="J94" s="3682" t="s">
        <v>1700</v>
      </c>
      <c r="K94" s="3691" t="s">
        <v>467</v>
      </c>
      <c r="L94" s="3693" t="s">
        <v>1459</v>
      </c>
      <c r="M94" s="3705"/>
    </row>
    <row r="95" spans="1:14" s="2224" customFormat="1" ht="15.95" customHeight="1" x14ac:dyDescent="0.2">
      <c r="A95" s="3692" t="s">
        <v>1547</v>
      </c>
      <c r="B95" s="3809">
        <v>41717</v>
      </c>
      <c r="C95" s="3683">
        <v>41990</v>
      </c>
      <c r="D95" s="3687" t="s">
        <v>1485</v>
      </c>
      <c r="E95" s="3687" t="s">
        <v>1451</v>
      </c>
      <c r="F95" s="3684" t="s">
        <v>454</v>
      </c>
      <c r="G95" s="3684" t="s">
        <v>1277</v>
      </c>
      <c r="H95" s="3685">
        <v>754104</v>
      </c>
      <c r="I95" s="3681">
        <v>410685</v>
      </c>
      <c r="J95" s="3682" t="s">
        <v>454</v>
      </c>
      <c r="K95" s="3691" t="s">
        <v>668</v>
      </c>
      <c r="L95" s="3693" t="s">
        <v>440</v>
      </c>
      <c r="M95" s="3705"/>
    </row>
    <row r="96" spans="1:14" s="2224" customFormat="1" ht="15.95" customHeight="1" x14ac:dyDescent="0.2">
      <c r="A96" s="3692" t="s">
        <v>1549</v>
      </c>
      <c r="B96" s="3809">
        <v>41479</v>
      </c>
      <c r="C96" s="3683">
        <v>41990</v>
      </c>
      <c r="D96" s="3687" t="s">
        <v>1485</v>
      </c>
      <c r="E96" s="3687" t="s">
        <v>1451</v>
      </c>
      <c r="F96" s="3684" t="s">
        <v>454</v>
      </c>
      <c r="G96" s="3684" t="s">
        <v>1277</v>
      </c>
      <c r="H96" s="3685">
        <v>532584</v>
      </c>
      <c r="I96" s="3681">
        <v>512840</v>
      </c>
      <c r="J96" s="3682" t="s">
        <v>1550</v>
      </c>
      <c r="K96" s="3691" t="s">
        <v>668</v>
      </c>
      <c r="L96" s="3693" t="s">
        <v>440</v>
      </c>
      <c r="M96" s="3705"/>
    </row>
    <row r="97" spans="1:13" s="2224" customFormat="1" ht="15.95" customHeight="1" x14ac:dyDescent="0.2">
      <c r="A97" s="3692" t="s">
        <v>1632</v>
      </c>
      <c r="B97" s="3809">
        <v>41990</v>
      </c>
      <c r="C97" s="3683">
        <v>42341</v>
      </c>
      <c r="D97" s="3687" t="s">
        <v>1551</v>
      </c>
      <c r="E97" s="3687" t="s">
        <v>1451</v>
      </c>
      <c r="F97" s="3684" t="s">
        <v>454</v>
      </c>
      <c r="G97" s="3687" t="s">
        <v>1278</v>
      </c>
      <c r="H97" s="3685">
        <v>1336191</v>
      </c>
      <c r="I97" s="3681">
        <v>543355</v>
      </c>
      <c r="J97" s="3682" t="s">
        <v>454</v>
      </c>
      <c r="K97" s="3691" t="s">
        <v>1552</v>
      </c>
      <c r="L97" s="3693" t="s">
        <v>440</v>
      </c>
      <c r="M97" s="3705"/>
    </row>
    <row r="98" spans="1:13" s="2224" customFormat="1" ht="15.95" customHeight="1" x14ac:dyDescent="0.2">
      <c r="A98" s="3692" t="s">
        <v>1553</v>
      </c>
      <c r="B98" s="3809">
        <v>41990</v>
      </c>
      <c r="C98" s="3683">
        <v>42341</v>
      </c>
      <c r="D98" s="3687" t="s">
        <v>1551</v>
      </c>
      <c r="E98" s="3687" t="s">
        <v>1451</v>
      </c>
      <c r="F98" s="3684" t="s">
        <v>454</v>
      </c>
      <c r="G98" s="3687" t="s">
        <v>1277</v>
      </c>
      <c r="H98" s="3685">
        <v>144998</v>
      </c>
      <c r="I98" s="3681">
        <v>208891</v>
      </c>
      <c r="J98" s="3682" t="s">
        <v>454</v>
      </c>
      <c r="K98" s="3691" t="s">
        <v>1554</v>
      </c>
      <c r="L98" s="3693" t="s">
        <v>440</v>
      </c>
      <c r="M98" s="3705"/>
    </row>
    <row r="99" spans="1:13" s="2224" customFormat="1" ht="15.95" customHeight="1" x14ac:dyDescent="0.2">
      <c r="A99" s="3692" t="s">
        <v>1555</v>
      </c>
      <c r="B99" s="3809">
        <v>41990</v>
      </c>
      <c r="C99" s="3683">
        <v>42269</v>
      </c>
      <c r="D99" s="3687" t="s">
        <v>1551</v>
      </c>
      <c r="E99" s="3687" t="s">
        <v>1451</v>
      </c>
      <c r="F99" s="3684" t="s">
        <v>454</v>
      </c>
      <c r="G99" s="3687" t="s">
        <v>1277</v>
      </c>
      <c r="H99" s="3685">
        <v>272369</v>
      </c>
      <c r="I99" s="3681">
        <v>41557</v>
      </c>
      <c r="J99" s="3682" t="s">
        <v>1700</v>
      </c>
      <c r="K99" s="3691" t="s">
        <v>1556</v>
      </c>
      <c r="L99" s="3693" t="s">
        <v>440</v>
      </c>
      <c r="M99" s="3705"/>
    </row>
    <row r="100" spans="1:13" s="2224" customFormat="1" ht="15.95" customHeight="1" x14ac:dyDescent="0.2">
      <c r="A100" s="3692" t="s">
        <v>1633</v>
      </c>
      <c r="B100" s="3809">
        <v>41990</v>
      </c>
      <c r="C100" s="3683">
        <v>42341</v>
      </c>
      <c r="D100" s="3687" t="s">
        <v>1551</v>
      </c>
      <c r="E100" s="3687" t="s">
        <v>1451</v>
      </c>
      <c r="F100" s="3684" t="s">
        <v>454</v>
      </c>
      <c r="G100" s="3687" t="s">
        <v>1278</v>
      </c>
      <c r="H100" s="3685">
        <v>378703</v>
      </c>
      <c r="I100" s="3681">
        <v>212590</v>
      </c>
      <c r="J100" s="3682" t="s">
        <v>454</v>
      </c>
      <c r="K100" s="3691" t="s">
        <v>1557</v>
      </c>
      <c r="L100" s="3693" t="s">
        <v>1501</v>
      </c>
      <c r="M100" s="3705"/>
    </row>
    <row r="101" spans="1:13" s="2224" customFormat="1" ht="15.95" customHeight="1" x14ac:dyDescent="0.2">
      <c r="A101" s="3692" t="s">
        <v>1634</v>
      </c>
      <c r="B101" s="3809">
        <v>42100</v>
      </c>
      <c r="C101" s="3683">
        <v>42304</v>
      </c>
      <c r="D101" s="3687" t="s">
        <v>1551</v>
      </c>
      <c r="E101" s="3687" t="s">
        <v>1451</v>
      </c>
      <c r="F101" s="3684" t="s">
        <v>454</v>
      </c>
      <c r="G101" s="3687" t="s">
        <v>1277</v>
      </c>
      <c r="H101" s="3685">
        <v>167295</v>
      </c>
      <c r="I101" s="3681">
        <v>57308</v>
      </c>
      <c r="J101" s="3682" t="s">
        <v>454</v>
      </c>
      <c r="K101" s="3691" t="s">
        <v>668</v>
      </c>
      <c r="L101" s="3693" t="s">
        <v>440</v>
      </c>
      <c r="M101" s="3705"/>
    </row>
    <row r="102" spans="1:13" s="2224" customFormat="1" ht="15.95" customHeight="1" x14ac:dyDescent="0.2">
      <c r="A102" s="3692" t="s">
        <v>1635</v>
      </c>
      <c r="B102" s="3809">
        <v>42120</v>
      </c>
      <c r="C102" s="3683">
        <v>42341</v>
      </c>
      <c r="D102" s="3687" t="s">
        <v>1551</v>
      </c>
      <c r="E102" s="3687" t="s">
        <v>1451</v>
      </c>
      <c r="F102" s="3684" t="s">
        <v>454</v>
      </c>
      <c r="G102" s="3687" t="s">
        <v>1278</v>
      </c>
      <c r="H102" s="3685">
        <v>292421</v>
      </c>
      <c r="I102" s="3681">
        <v>0</v>
      </c>
      <c r="J102" s="3682" t="s">
        <v>1700</v>
      </c>
      <c r="K102" s="3691" t="s">
        <v>1636</v>
      </c>
      <c r="L102" s="3693" t="s">
        <v>440</v>
      </c>
      <c r="M102" s="3705"/>
    </row>
    <row r="103" spans="1:13" s="2224" customFormat="1" ht="15.95" customHeight="1" x14ac:dyDescent="0.2">
      <c r="A103" s="3692" t="s">
        <v>1637</v>
      </c>
      <c r="B103" s="3809">
        <v>42152</v>
      </c>
      <c r="C103" s="3683">
        <v>42341</v>
      </c>
      <c r="D103" s="3687" t="s">
        <v>1551</v>
      </c>
      <c r="E103" s="3687" t="s">
        <v>1451</v>
      </c>
      <c r="F103" s="3684" t="s">
        <v>454</v>
      </c>
      <c r="G103" s="3687" t="s">
        <v>1278</v>
      </c>
      <c r="H103" s="3685">
        <v>156490</v>
      </c>
      <c r="I103" s="3681">
        <v>269165</v>
      </c>
      <c r="J103" s="3682" t="s">
        <v>454</v>
      </c>
      <c r="K103" s="3691" t="s">
        <v>1638</v>
      </c>
      <c r="L103" s="3693" t="s">
        <v>440</v>
      </c>
      <c r="M103" s="3705"/>
    </row>
    <row r="104" spans="1:13" s="2224" customFormat="1" ht="15.95" customHeight="1" x14ac:dyDescent="0.2">
      <c r="A104" s="3692" t="s">
        <v>1639</v>
      </c>
      <c r="B104" s="3809">
        <v>42152</v>
      </c>
      <c r="C104" s="3683">
        <v>42304</v>
      </c>
      <c r="D104" s="3687" t="s">
        <v>1551</v>
      </c>
      <c r="E104" s="3687" t="s">
        <v>1451</v>
      </c>
      <c r="F104" s="3684" t="s">
        <v>454</v>
      </c>
      <c r="G104" s="3687" t="s">
        <v>1277</v>
      </c>
      <c r="H104" s="3685">
        <v>619007</v>
      </c>
      <c r="I104" s="3681">
        <v>0</v>
      </c>
      <c r="J104" s="3682" t="s">
        <v>1700</v>
      </c>
      <c r="K104" s="3691" t="s">
        <v>1497</v>
      </c>
      <c r="L104" s="3693" t="s">
        <v>440</v>
      </c>
      <c r="M104" s="3705"/>
    </row>
    <row r="105" spans="1:13" s="2224" customFormat="1" ht="15.95" customHeight="1" x14ac:dyDescent="0.2">
      <c r="A105" s="3692" t="s">
        <v>1640</v>
      </c>
      <c r="B105" s="3809">
        <v>42208</v>
      </c>
      <c r="C105" s="3683">
        <v>42341</v>
      </c>
      <c r="D105" s="3687" t="s">
        <v>1551</v>
      </c>
      <c r="E105" s="3687" t="s">
        <v>1451</v>
      </c>
      <c r="F105" s="3684" t="s">
        <v>454</v>
      </c>
      <c r="G105" s="3687" t="s">
        <v>1277</v>
      </c>
      <c r="H105" s="3685">
        <v>977364</v>
      </c>
      <c r="I105" s="3681">
        <v>349171</v>
      </c>
      <c r="J105" s="3682" t="s">
        <v>1700</v>
      </c>
      <c r="K105" s="3691" t="s">
        <v>601</v>
      </c>
      <c r="L105" s="3693" t="s">
        <v>440</v>
      </c>
      <c r="M105" s="3705"/>
    </row>
    <row r="106" spans="1:13" s="2224" customFormat="1" ht="15.95" customHeight="1" x14ac:dyDescent="0.2">
      <c r="A106" s="3692" t="s">
        <v>1641</v>
      </c>
      <c r="B106" s="3809">
        <v>42061</v>
      </c>
      <c r="C106" s="3683" t="s">
        <v>454</v>
      </c>
      <c r="D106" s="3687" t="s">
        <v>454</v>
      </c>
      <c r="E106" s="3687" t="s">
        <v>1718</v>
      </c>
      <c r="F106" s="3684">
        <v>1</v>
      </c>
      <c r="G106" s="3687" t="s">
        <v>1278</v>
      </c>
      <c r="H106" s="3685">
        <v>968657</v>
      </c>
      <c r="I106" s="3681">
        <v>0</v>
      </c>
      <c r="J106" s="3682" t="s">
        <v>454</v>
      </c>
      <c r="K106" s="3691" t="s">
        <v>37</v>
      </c>
      <c r="L106" s="3693" t="s">
        <v>440</v>
      </c>
      <c r="M106" s="3705"/>
    </row>
    <row r="107" spans="1:13" s="2224" customFormat="1" ht="15.95" customHeight="1" x14ac:dyDescent="0.2">
      <c r="A107" s="3692" t="s">
        <v>1643</v>
      </c>
      <c r="B107" s="3809">
        <v>42178</v>
      </c>
      <c r="C107" s="3683">
        <v>42677</v>
      </c>
      <c r="D107" s="3687" t="s">
        <v>1642</v>
      </c>
      <c r="E107" s="3687" t="s">
        <v>1451</v>
      </c>
      <c r="F107" s="3684" t="s">
        <v>454</v>
      </c>
      <c r="G107" s="3687" t="s">
        <v>1278</v>
      </c>
      <c r="H107" s="3685">
        <v>1154702</v>
      </c>
      <c r="I107" s="3681">
        <v>0</v>
      </c>
      <c r="J107" s="3682" t="s">
        <v>1700</v>
      </c>
      <c r="K107" s="3691" t="s">
        <v>871</v>
      </c>
      <c r="L107" s="3693" t="s">
        <v>440</v>
      </c>
      <c r="M107" s="3705"/>
    </row>
    <row r="108" spans="1:13" s="2224" customFormat="1" ht="15.95" customHeight="1" x14ac:dyDescent="0.2">
      <c r="A108" s="3694" t="s">
        <v>1719</v>
      </c>
      <c r="B108" s="3810">
        <v>42299</v>
      </c>
      <c r="C108" s="3695">
        <v>42677</v>
      </c>
      <c r="D108" s="3689" t="s">
        <v>1642</v>
      </c>
      <c r="E108" s="3689" t="s">
        <v>1451</v>
      </c>
      <c r="F108" s="3696" t="s">
        <v>454</v>
      </c>
      <c r="G108" s="3689" t="s">
        <v>1278</v>
      </c>
      <c r="H108" s="3699">
        <v>512145</v>
      </c>
      <c r="I108" s="3699">
        <v>0</v>
      </c>
      <c r="J108" s="3699" t="s">
        <v>1700</v>
      </c>
      <c r="K108" s="3700" t="s">
        <v>1644</v>
      </c>
      <c r="L108" s="3701" t="s">
        <v>1501</v>
      </c>
      <c r="M108" s="3705"/>
    </row>
    <row r="109" spans="1:13" s="2224" customFormat="1" ht="15.95" customHeight="1" x14ac:dyDescent="0.2">
      <c r="A109" s="3694" t="s">
        <v>1645</v>
      </c>
      <c r="B109" s="3810">
        <v>42341</v>
      </c>
      <c r="C109" s="3695" t="s">
        <v>454</v>
      </c>
      <c r="D109" s="3689" t="s">
        <v>454</v>
      </c>
      <c r="E109" s="3689" t="s">
        <v>1720</v>
      </c>
      <c r="F109" s="3696">
        <v>1</v>
      </c>
      <c r="G109" s="3689" t="s">
        <v>1278</v>
      </c>
      <c r="H109" s="3699">
        <v>784862</v>
      </c>
      <c r="I109" s="3699">
        <v>0</v>
      </c>
      <c r="J109" s="3699" t="s">
        <v>1453</v>
      </c>
      <c r="K109" s="3700" t="s">
        <v>1646</v>
      </c>
      <c r="L109" s="3701" t="s">
        <v>60</v>
      </c>
      <c r="M109" s="3705"/>
    </row>
    <row r="110" spans="1:13" s="2224" customFormat="1" ht="15.95" customHeight="1" x14ac:dyDescent="0.2">
      <c r="A110" s="3694" t="s">
        <v>1721</v>
      </c>
      <c r="B110" s="3810">
        <v>42397</v>
      </c>
      <c r="C110" s="3695">
        <v>42677</v>
      </c>
      <c r="D110" s="3689" t="s">
        <v>1642</v>
      </c>
      <c r="E110" s="3689" t="s">
        <v>1451</v>
      </c>
      <c r="F110" s="3696" t="s">
        <v>454</v>
      </c>
      <c r="G110" s="3689" t="s">
        <v>1278</v>
      </c>
      <c r="H110" s="3699">
        <v>696332</v>
      </c>
      <c r="I110" s="3699">
        <v>398821</v>
      </c>
      <c r="J110" s="3699" t="s">
        <v>454</v>
      </c>
      <c r="K110" s="3700" t="s">
        <v>1722</v>
      </c>
      <c r="L110" s="3701" t="s">
        <v>440</v>
      </c>
      <c r="M110" s="3705"/>
    </row>
    <row r="111" spans="1:13" s="2224" customFormat="1" ht="15.95" customHeight="1" x14ac:dyDescent="0.2">
      <c r="A111" s="3859" t="s">
        <v>1723</v>
      </c>
      <c r="B111" s="3860">
        <v>42397</v>
      </c>
      <c r="C111" s="3860">
        <v>42677</v>
      </c>
      <c r="D111" s="3860" t="s">
        <v>1642</v>
      </c>
      <c r="E111" s="3860" t="s">
        <v>1451</v>
      </c>
      <c r="F111" s="3860" t="s">
        <v>454</v>
      </c>
      <c r="G111" s="3860" t="s">
        <v>1278</v>
      </c>
      <c r="H111" s="3861">
        <v>184683</v>
      </c>
      <c r="I111" s="3861">
        <v>76325</v>
      </c>
      <c r="J111" s="3861" t="s">
        <v>454</v>
      </c>
      <c r="K111" s="3860" t="s">
        <v>1638</v>
      </c>
      <c r="L111" s="3862" t="s">
        <v>1456</v>
      </c>
      <c r="M111" s="3705"/>
    </row>
    <row r="112" spans="1:13" s="2224" customFormat="1" ht="15.95" customHeight="1" x14ac:dyDescent="0.2">
      <c r="A112" s="3859" t="s">
        <v>1724</v>
      </c>
      <c r="B112" s="3860">
        <v>42495</v>
      </c>
      <c r="C112" s="3860">
        <v>42712</v>
      </c>
      <c r="D112" s="3860" t="s">
        <v>1642</v>
      </c>
      <c r="E112" s="3860" t="s">
        <v>1451</v>
      </c>
      <c r="F112" s="3860" t="s">
        <v>454</v>
      </c>
      <c r="G112" s="3860" t="s">
        <v>1278</v>
      </c>
      <c r="H112" s="3861">
        <v>328841</v>
      </c>
      <c r="I112" s="3861">
        <v>29592</v>
      </c>
      <c r="J112" s="3861" t="s">
        <v>1700</v>
      </c>
      <c r="K112" s="3860" t="s">
        <v>1725</v>
      </c>
      <c r="L112" s="3862" t="s">
        <v>60</v>
      </c>
      <c r="M112" s="3705"/>
    </row>
    <row r="113" spans="1:13" s="2224" customFormat="1" ht="15.95" customHeight="1" x14ac:dyDescent="0.2">
      <c r="A113" s="3859" t="s">
        <v>1726</v>
      </c>
      <c r="B113" s="3860" t="s">
        <v>454</v>
      </c>
      <c r="C113" s="3860">
        <v>42516</v>
      </c>
      <c r="D113" s="3860" t="s">
        <v>1642</v>
      </c>
      <c r="E113" s="3860" t="s">
        <v>1451</v>
      </c>
      <c r="F113" s="3860" t="s">
        <v>454</v>
      </c>
      <c r="G113" s="3860" t="s">
        <v>1278</v>
      </c>
      <c r="H113" s="3861">
        <v>570225</v>
      </c>
      <c r="I113" s="3861">
        <v>525444</v>
      </c>
      <c r="J113" s="3861" t="s">
        <v>454</v>
      </c>
      <c r="K113" s="3860" t="s">
        <v>668</v>
      </c>
      <c r="L113" s="3862" t="s">
        <v>440</v>
      </c>
      <c r="M113" s="3705"/>
    </row>
    <row r="114" spans="1:13" s="2224" customFormat="1" ht="15.95" customHeight="1" x14ac:dyDescent="0.2">
      <c r="A114" s="3859" t="s">
        <v>1727</v>
      </c>
      <c r="B114" s="3860">
        <v>42544</v>
      </c>
      <c r="C114" s="3860">
        <v>42712</v>
      </c>
      <c r="D114" s="3860" t="s">
        <v>1642</v>
      </c>
      <c r="E114" s="3860" t="s">
        <v>1451</v>
      </c>
      <c r="F114" s="3860" t="s">
        <v>454</v>
      </c>
      <c r="G114" s="3860" t="s">
        <v>1278</v>
      </c>
      <c r="H114" s="3861">
        <v>152843</v>
      </c>
      <c r="I114" s="3861">
        <v>83813</v>
      </c>
      <c r="J114" s="3861" t="s">
        <v>454</v>
      </c>
      <c r="K114" s="3860" t="s">
        <v>1492</v>
      </c>
      <c r="L114" s="3862" t="s">
        <v>440</v>
      </c>
      <c r="M114" s="3705"/>
    </row>
    <row r="115" spans="1:13" s="2224" customFormat="1" ht="15.95" customHeight="1" x14ac:dyDescent="0.2">
      <c r="A115" s="3859" t="s">
        <v>1728</v>
      </c>
      <c r="B115" s="3860">
        <v>42544</v>
      </c>
      <c r="C115" s="3860">
        <v>42712</v>
      </c>
      <c r="D115" s="3860" t="s">
        <v>1642</v>
      </c>
      <c r="E115" s="3860" t="s">
        <v>1451</v>
      </c>
      <c r="F115" s="3860" t="s">
        <v>454</v>
      </c>
      <c r="G115" s="3860" t="s">
        <v>1278</v>
      </c>
      <c r="H115" s="3861">
        <v>684035</v>
      </c>
      <c r="I115" s="3861">
        <v>302215</v>
      </c>
      <c r="J115" s="3861" t="s">
        <v>454</v>
      </c>
      <c r="K115" s="3860" t="s">
        <v>523</v>
      </c>
      <c r="L115" s="3862" t="s">
        <v>440</v>
      </c>
      <c r="M115" s="3705"/>
    </row>
    <row r="116" spans="1:13" s="2224" customFormat="1" ht="15.95" customHeight="1" x14ac:dyDescent="0.2">
      <c r="A116" s="3859" t="s">
        <v>1729</v>
      </c>
      <c r="B116" s="3860">
        <v>42544</v>
      </c>
      <c r="C116" s="3860">
        <v>42712</v>
      </c>
      <c r="D116" s="3860" t="s">
        <v>1642</v>
      </c>
      <c r="E116" s="3860" t="s">
        <v>1451</v>
      </c>
      <c r="F116" s="3860" t="s">
        <v>454</v>
      </c>
      <c r="G116" s="3860" t="s">
        <v>1278</v>
      </c>
      <c r="H116" s="3861">
        <v>596297</v>
      </c>
      <c r="I116" s="3861">
        <v>612342</v>
      </c>
      <c r="J116" s="3861" t="s">
        <v>454</v>
      </c>
      <c r="K116" s="3860" t="s">
        <v>1636</v>
      </c>
      <c r="L116" s="3862" t="s">
        <v>440</v>
      </c>
      <c r="M116" s="3705"/>
    </row>
    <row r="117" spans="1:13" s="2224" customFormat="1" ht="15.95" customHeight="1" x14ac:dyDescent="0.2">
      <c r="A117" s="3859" t="s">
        <v>1730</v>
      </c>
      <c r="B117" s="3860">
        <v>42677</v>
      </c>
      <c r="C117" s="3860" t="s">
        <v>454</v>
      </c>
      <c r="D117" s="3860" t="s">
        <v>1731</v>
      </c>
      <c r="E117" s="3860" t="s">
        <v>1486</v>
      </c>
      <c r="F117" s="3860" t="s">
        <v>454</v>
      </c>
      <c r="G117" s="3860" t="s">
        <v>1278</v>
      </c>
      <c r="H117" s="3861">
        <v>304997</v>
      </c>
      <c r="I117" s="3861">
        <v>259498</v>
      </c>
      <c r="J117" s="3861" t="s">
        <v>454</v>
      </c>
      <c r="K117" s="3860" t="s">
        <v>1490</v>
      </c>
      <c r="L117" s="3862" t="s">
        <v>440</v>
      </c>
      <c r="M117" s="3705"/>
    </row>
    <row r="118" spans="1:13" s="2224" customFormat="1" ht="15.95" customHeight="1" x14ac:dyDescent="0.2">
      <c r="A118" s="3859" t="s">
        <v>1732</v>
      </c>
      <c r="B118" s="3860">
        <v>42691</v>
      </c>
      <c r="C118" s="3860" t="s">
        <v>454</v>
      </c>
      <c r="D118" s="3860" t="s">
        <v>1731</v>
      </c>
      <c r="E118" s="3860" t="s">
        <v>1486</v>
      </c>
      <c r="F118" s="3860" t="s">
        <v>454</v>
      </c>
      <c r="G118" s="3860" t="s">
        <v>1278</v>
      </c>
      <c r="H118" s="3861">
        <v>194485</v>
      </c>
      <c r="I118" s="3861">
        <v>-48296</v>
      </c>
      <c r="J118" s="3861" t="s">
        <v>1700</v>
      </c>
      <c r="K118" s="3860" t="s">
        <v>520</v>
      </c>
      <c r="L118" s="3862" t="s">
        <v>440</v>
      </c>
      <c r="M118" s="3705"/>
    </row>
    <row r="119" spans="1:13" s="2224" customFormat="1" ht="15.95" customHeight="1" x14ac:dyDescent="0.2">
      <c r="A119" s="3859" t="s">
        <v>1647</v>
      </c>
      <c r="B119" s="3860">
        <v>42341</v>
      </c>
      <c r="C119" s="3860" t="s">
        <v>454</v>
      </c>
      <c r="D119" s="3860" t="s">
        <v>1731</v>
      </c>
      <c r="E119" s="3860" t="s">
        <v>1486</v>
      </c>
      <c r="F119" s="3860" t="s">
        <v>454</v>
      </c>
      <c r="G119" s="3860" t="s">
        <v>1278</v>
      </c>
      <c r="H119" s="3861">
        <v>337914</v>
      </c>
      <c r="I119" s="3861">
        <v>58977</v>
      </c>
      <c r="J119" s="3861" t="s">
        <v>1701</v>
      </c>
      <c r="K119" s="3860" t="s">
        <v>1648</v>
      </c>
      <c r="L119" s="3862" t="s">
        <v>390</v>
      </c>
      <c r="M119" s="3705"/>
    </row>
    <row r="120" spans="1:13" s="2224" customFormat="1" ht="15.95" customHeight="1" thickBot="1" x14ac:dyDescent="0.25">
      <c r="A120" s="3863" t="s">
        <v>1628</v>
      </c>
      <c r="B120" s="3864">
        <v>42712</v>
      </c>
      <c r="C120" s="3864" t="s">
        <v>454</v>
      </c>
      <c r="D120" s="3864" t="s">
        <v>1731</v>
      </c>
      <c r="E120" s="3864" t="s">
        <v>1486</v>
      </c>
      <c r="F120" s="3864" t="s">
        <v>454</v>
      </c>
      <c r="G120" s="3864" t="s">
        <v>1278</v>
      </c>
      <c r="H120" s="3865">
        <v>648327</v>
      </c>
      <c r="I120" s="3865">
        <v>788524</v>
      </c>
      <c r="J120" s="3865" t="s">
        <v>454</v>
      </c>
      <c r="K120" s="3864" t="s">
        <v>871</v>
      </c>
      <c r="L120" s="3866" t="s">
        <v>440</v>
      </c>
      <c r="M120" s="3705"/>
    </row>
  </sheetData>
  <mergeCells count="33">
    <mergeCell ref="A61:L62"/>
    <mergeCell ref="A63:L63"/>
    <mergeCell ref="A64:A67"/>
    <mergeCell ref="C64:C67"/>
    <mergeCell ref="D64:D67"/>
    <mergeCell ref="E64:E67"/>
    <mergeCell ref="F64:F67"/>
    <mergeCell ref="G64:G67"/>
    <mergeCell ref="H64:H67"/>
    <mergeCell ref="I64:I67"/>
    <mergeCell ref="J64:J67"/>
    <mergeCell ref="K64:K67"/>
    <mergeCell ref="L64:L67"/>
    <mergeCell ref="B64:B67"/>
    <mergeCell ref="M13:N13"/>
    <mergeCell ref="M3:P3"/>
    <mergeCell ref="M10:P10"/>
    <mergeCell ref="M11:N11"/>
    <mergeCell ref="M12:N12"/>
    <mergeCell ref="A1:L2"/>
    <mergeCell ref="A3:L3"/>
    <mergeCell ref="A4:A7"/>
    <mergeCell ref="C4:C7"/>
    <mergeCell ref="D4:D7"/>
    <mergeCell ref="E4:E7"/>
    <mergeCell ref="F4:F7"/>
    <mergeCell ref="G4:G7"/>
    <mergeCell ref="H4:H7"/>
    <mergeCell ref="I4:I7"/>
    <mergeCell ref="J4:J7"/>
    <mergeCell ref="K4:K7"/>
    <mergeCell ref="L4:L7"/>
    <mergeCell ref="B4:B7"/>
  </mergeCells>
  <printOptions horizontalCentered="1" gridLines="1"/>
  <pageMargins left="0.25" right="0.25" top="0.5" bottom="0.5" header="0.3" footer="0.3"/>
  <pageSetup scale="59" fitToHeight="2" orientation="landscape" r:id="rId1"/>
  <headerFooter alignWithMargins="0">
    <oddFooter>&amp;R&amp;8&amp;P/&amp;N</oddFooter>
  </headerFooter>
  <rowBreaks count="1" manualBreakCount="1">
    <brk id="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4:V275"/>
  <sheetViews>
    <sheetView workbookViewId="0">
      <selection activeCell="P13" sqref="P13"/>
    </sheetView>
  </sheetViews>
  <sheetFormatPr defaultColWidth="9.140625" defaultRowHeight="12.75" x14ac:dyDescent="0.2"/>
  <cols>
    <col min="1" max="1" width="40.7109375" style="3050" customWidth="1"/>
    <col min="2" max="2" width="16" style="3050" bestFit="1" customWidth="1"/>
    <col min="3" max="3" width="15.42578125" style="3050" customWidth="1"/>
    <col min="4" max="4" width="14.7109375" style="3050" bestFit="1" customWidth="1"/>
    <col min="5" max="20" width="9.140625" style="3050"/>
    <col min="21" max="21" width="8.28515625" style="3050" bestFit="1" customWidth="1"/>
    <col min="22" max="22" width="11.140625" style="3050" bestFit="1" customWidth="1"/>
    <col min="23" max="16384" width="9.140625" style="3050"/>
  </cols>
  <sheetData>
    <row r="4" spans="1:4" x14ac:dyDescent="0.2">
      <c r="A4" s="3157" t="s">
        <v>1676</v>
      </c>
      <c r="C4" s="3072"/>
    </row>
    <row r="5" spans="1:4" x14ac:dyDescent="0.2">
      <c r="A5" s="3157" t="s">
        <v>1761</v>
      </c>
    </row>
    <row r="6" spans="1:4" x14ac:dyDescent="0.2">
      <c r="A6" s="3073" t="s">
        <v>1435</v>
      </c>
    </row>
    <row r="8" spans="1:4" x14ac:dyDescent="0.2">
      <c r="A8" s="3074" t="s">
        <v>1346</v>
      </c>
    </row>
    <row r="9" spans="1:4" x14ac:dyDescent="0.2">
      <c r="A9" s="3075" t="s">
        <v>1122</v>
      </c>
      <c r="B9" s="3078">
        <f>'[1]11.JobWageAnalysis'!$D$331</f>
        <v>1007</v>
      </c>
      <c r="C9" s="3077">
        <f>B9/$B$17</f>
        <v>0.30496668685645062</v>
      </c>
    </row>
    <row r="10" spans="1:4" x14ac:dyDescent="0.2">
      <c r="A10" s="3075" t="s">
        <v>1123</v>
      </c>
      <c r="B10" s="3078">
        <f>'[1]11.JobWageAnalysis'!$D$332</f>
        <v>779</v>
      </c>
      <c r="C10" s="3077">
        <f t="shared" ref="C10:C16" si="0">B10/$B$17</f>
        <v>0.2359176256814052</v>
      </c>
    </row>
    <row r="11" spans="1:4" x14ac:dyDescent="0.2">
      <c r="A11" s="3075" t="s">
        <v>1124</v>
      </c>
      <c r="B11" s="3078">
        <f>'[1]11.JobWageAnalysis'!$D$333</f>
        <v>498</v>
      </c>
      <c r="C11" s="3077">
        <f t="shared" si="0"/>
        <v>0.15081768625075712</v>
      </c>
      <c r="D11" s="3087"/>
    </row>
    <row r="12" spans="1:4" x14ac:dyDescent="0.2">
      <c r="A12" s="3075" t="s">
        <v>1125</v>
      </c>
      <c r="B12" s="3078">
        <f>'[1]11.JobWageAnalysis'!$D$334</f>
        <v>308</v>
      </c>
      <c r="C12" s="3077">
        <f t="shared" si="0"/>
        <v>9.3276801938219259E-2</v>
      </c>
    </row>
    <row r="13" spans="1:4" x14ac:dyDescent="0.2">
      <c r="A13" s="3075" t="s">
        <v>1126</v>
      </c>
      <c r="B13" s="3078">
        <f>'[1]11.JobWageAnalysis'!$D$335</f>
        <v>278</v>
      </c>
      <c r="C13" s="3077">
        <f t="shared" si="0"/>
        <v>8.419139915202907E-2</v>
      </c>
    </row>
    <row r="14" spans="1:4" x14ac:dyDescent="0.2">
      <c r="A14" s="3075" t="s">
        <v>1127</v>
      </c>
      <c r="B14" s="3078">
        <f>'[1]11.JobWageAnalysis'!$D$336</f>
        <v>153</v>
      </c>
      <c r="C14" s="3077">
        <f t="shared" si="0"/>
        <v>4.633555420956996E-2</v>
      </c>
    </row>
    <row r="15" spans="1:4" x14ac:dyDescent="0.2">
      <c r="A15" s="3075" t="s">
        <v>1128</v>
      </c>
      <c r="B15" s="3078">
        <f>'[1]11.JobWageAnalysis'!$D$337</f>
        <v>209</v>
      </c>
      <c r="C15" s="3077">
        <f t="shared" si="0"/>
        <v>6.3294972743791644E-2</v>
      </c>
    </row>
    <row r="16" spans="1:4" x14ac:dyDescent="0.2">
      <c r="A16" s="3075" t="s">
        <v>1129</v>
      </c>
      <c r="B16" s="3078">
        <f>'[1]11.JobWageAnalysis'!$D$338</f>
        <v>70</v>
      </c>
      <c r="C16" s="3077">
        <f t="shared" si="0"/>
        <v>2.1199273167777106E-2</v>
      </c>
    </row>
    <row r="17" spans="1:3" x14ac:dyDescent="0.2">
      <c r="B17" s="3076">
        <f>SUM(B9:B16)</f>
        <v>3302</v>
      </c>
      <c r="C17" s="3077">
        <f>SUM(C9:C16)</f>
        <v>1</v>
      </c>
    </row>
    <row r="26" spans="1:3" x14ac:dyDescent="0.2">
      <c r="A26" s="3157" t="s">
        <v>1677</v>
      </c>
    </row>
    <row r="27" spans="1:3" x14ac:dyDescent="0.2">
      <c r="A27" s="3157" t="s">
        <v>1761</v>
      </c>
    </row>
    <row r="28" spans="1:3" x14ac:dyDescent="0.2">
      <c r="A28" s="3073" t="s">
        <v>1436</v>
      </c>
    </row>
    <row r="31" spans="1:3" ht="15.75" x14ac:dyDescent="0.25">
      <c r="A31" s="3079" t="s">
        <v>1400</v>
      </c>
      <c r="B31" s="2713">
        <f>'[1]11.JobWageAnalysis'!$D$697</f>
        <v>92</v>
      </c>
      <c r="C31" s="3080">
        <f>B31/$B$44</f>
        <v>2.7861901877649909E-2</v>
      </c>
    </row>
    <row r="32" spans="1:3" ht="15.75" x14ac:dyDescent="0.25">
      <c r="A32" s="3081" t="s">
        <v>1401</v>
      </c>
      <c r="B32" s="2713">
        <f>'[1]11.JobWageAnalysis'!$D$698</f>
        <v>159</v>
      </c>
      <c r="C32" s="3080">
        <f t="shared" ref="C32:C43" si="1">B32/$B$44</f>
        <v>4.8152634766807992E-2</v>
      </c>
    </row>
    <row r="33" spans="1:3" ht="15.75" x14ac:dyDescent="0.25">
      <c r="A33" s="3081" t="s">
        <v>1093</v>
      </c>
      <c r="B33" s="2713">
        <f>'[1]11.JobWageAnalysis'!$D$699</f>
        <v>177</v>
      </c>
      <c r="C33" s="3080">
        <f t="shared" si="1"/>
        <v>5.3603876438522109E-2</v>
      </c>
    </row>
    <row r="34" spans="1:3" ht="15.75" x14ac:dyDescent="0.25">
      <c r="A34" s="3081" t="s">
        <v>918</v>
      </c>
      <c r="B34" s="2713">
        <f>'[1]11.JobWageAnalysis'!$D$700</f>
        <v>171</v>
      </c>
      <c r="C34" s="3080">
        <f t="shared" si="1"/>
        <v>5.178679588128407E-2</v>
      </c>
    </row>
    <row r="35" spans="1:3" ht="15.75" x14ac:dyDescent="0.25">
      <c r="A35" s="3081" t="s">
        <v>1402</v>
      </c>
      <c r="B35" s="2713">
        <f>'[1]11.JobWageAnalysis'!$D$701</f>
        <v>30</v>
      </c>
      <c r="C35" s="3080">
        <f t="shared" si="1"/>
        <v>9.085402786190187E-3</v>
      </c>
    </row>
    <row r="36" spans="1:3" ht="15.75" x14ac:dyDescent="0.25">
      <c r="A36" s="3081" t="s">
        <v>1403</v>
      </c>
      <c r="B36" s="2713">
        <f>'[1]11.JobWageAnalysis'!$D$702</f>
        <v>266</v>
      </c>
      <c r="C36" s="3080">
        <f t="shared" si="1"/>
        <v>8.0557238037552992E-2</v>
      </c>
    </row>
    <row r="37" spans="1:3" ht="15.75" x14ac:dyDescent="0.25">
      <c r="A37" s="3081" t="s">
        <v>1404</v>
      </c>
      <c r="B37" s="2713">
        <f>'[1]11.JobWageAnalysis'!$D$703</f>
        <v>174</v>
      </c>
      <c r="C37" s="3080">
        <f t="shared" si="1"/>
        <v>5.2695336159903086E-2</v>
      </c>
    </row>
    <row r="38" spans="1:3" ht="15.75" x14ac:dyDescent="0.25">
      <c r="A38" s="3081" t="s">
        <v>1405</v>
      </c>
      <c r="B38" s="2713">
        <f>'[1]11.JobWageAnalysis'!$D$704</f>
        <v>66</v>
      </c>
      <c r="C38" s="3080">
        <f t="shared" si="1"/>
        <v>1.9987886129618413E-2</v>
      </c>
    </row>
    <row r="39" spans="1:3" ht="15.75" x14ac:dyDescent="0.25">
      <c r="A39" s="3081" t="s">
        <v>1406</v>
      </c>
      <c r="B39" s="2713">
        <f>'[1]11.JobWageAnalysis'!$D$705</f>
        <v>153</v>
      </c>
      <c r="C39" s="3080">
        <f t="shared" si="1"/>
        <v>4.633555420956996E-2</v>
      </c>
    </row>
    <row r="40" spans="1:3" ht="15.75" x14ac:dyDescent="0.25">
      <c r="A40" s="3081" t="s">
        <v>145</v>
      </c>
      <c r="B40" s="2713">
        <f>'[1]11.JobWageAnalysis'!$D$706</f>
        <v>1811</v>
      </c>
      <c r="C40" s="3080">
        <f t="shared" si="1"/>
        <v>0.54845548152634771</v>
      </c>
    </row>
    <row r="41" spans="1:3" ht="15.75" x14ac:dyDescent="0.25">
      <c r="A41" s="3081" t="s">
        <v>1407</v>
      </c>
      <c r="B41" s="2713">
        <f>'[1]11.JobWageAnalysis'!$D$707</f>
        <v>95</v>
      </c>
      <c r="C41" s="3080">
        <f t="shared" si="1"/>
        <v>2.8770442156268929E-2</v>
      </c>
    </row>
    <row r="42" spans="1:3" ht="15.75" x14ac:dyDescent="0.25">
      <c r="A42" s="3081" t="s">
        <v>1130</v>
      </c>
      <c r="B42" s="2713">
        <f>'[1]11.JobWageAnalysis'!$D$708</f>
        <v>61</v>
      </c>
      <c r="C42" s="3080">
        <f t="shared" si="1"/>
        <v>1.8473652331920047E-2</v>
      </c>
    </row>
    <row r="43" spans="1:3" ht="15.75" x14ac:dyDescent="0.25">
      <c r="A43" s="3081" t="s">
        <v>1408</v>
      </c>
      <c r="B43" s="2713">
        <f>'[1]11.JobWageAnalysis'!$D$709</f>
        <v>47</v>
      </c>
      <c r="C43" s="3080">
        <f t="shared" si="1"/>
        <v>1.4233797698364628E-2</v>
      </c>
    </row>
    <row r="44" spans="1:3" x14ac:dyDescent="0.2">
      <c r="B44" s="3055">
        <f>SUM(B31:B43)</f>
        <v>3302</v>
      </c>
      <c r="C44" s="3080">
        <f>SUM(C31:C43)</f>
        <v>1</v>
      </c>
    </row>
    <row r="51" spans="1:4" x14ac:dyDescent="0.2">
      <c r="A51" s="3157" t="s">
        <v>1678</v>
      </c>
    </row>
    <row r="52" spans="1:4" x14ac:dyDescent="0.2">
      <c r="A52" s="3157" t="s">
        <v>1762</v>
      </c>
    </row>
    <row r="53" spans="1:4" x14ac:dyDescent="0.2">
      <c r="A53" s="3073" t="s">
        <v>1437</v>
      </c>
    </row>
    <row r="56" spans="1:4" x14ac:dyDescent="0.2">
      <c r="A56" s="3082"/>
      <c r="B56" s="3083"/>
      <c r="C56" s="3084"/>
    </row>
    <row r="57" spans="1:4" x14ac:dyDescent="0.2">
      <c r="A57" s="3082"/>
      <c r="B57" s="3083" t="s">
        <v>1763</v>
      </c>
      <c r="C57" s="3084">
        <f>'[1]12.EmployeeBenefits'!$C$62</f>
        <v>1</v>
      </c>
      <c r="D57" s="3055"/>
    </row>
    <row r="58" spans="1:4" x14ac:dyDescent="0.2">
      <c r="A58" s="3082"/>
      <c r="B58" s="3083" t="s">
        <v>1565</v>
      </c>
      <c r="C58" s="3084">
        <f>'[1]12.EmployeeBenefits'!$C$63</f>
        <v>0</v>
      </c>
      <c r="D58" s="3055"/>
    </row>
    <row r="59" spans="1:4" x14ac:dyDescent="0.2">
      <c r="A59" s="3082"/>
      <c r="B59" s="3083" t="s">
        <v>1764</v>
      </c>
      <c r="C59" s="3084">
        <f>'[1]12.EmployeeBenefits'!$C$64</f>
        <v>18</v>
      </c>
      <c r="D59" s="3055"/>
    </row>
    <row r="60" spans="1:4" x14ac:dyDescent="0.2">
      <c r="A60" s="3082"/>
      <c r="B60" s="3083" t="s">
        <v>1765</v>
      </c>
      <c r="C60" s="3084">
        <f>'[1]12.EmployeeBenefits'!$C$65</f>
        <v>29</v>
      </c>
      <c r="D60" s="3055"/>
    </row>
    <row r="61" spans="1:4" x14ac:dyDescent="0.2">
      <c r="A61" s="3085"/>
      <c r="C61" s="3055">
        <f>SUM(C57:C60)</f>
        <v>48</v>
      </c>
    </row>
    <row r="73" spans="1:5" x14ac:dyDescent="0.2">
      <c r="A73" s="3157" t="s">
        <v>1679</v>
      </c>
    </row>
    <row r="74" spans="1:5" x14ac:dyDescent="0.2">
      <c r="A74" s="3157" t="s">
        <v>1766</v>
      </c>
    </row>
    <row r="75" spans="1:5" x14ac:dyDescent="0.2">
      <c r="A75" s="3073"/>
    </row>
    <row r="76" spans="1:5" x14ac:dyDescent="0.2">
      <c r="A76" s="3073" t="s">
        <v>1438</v>
      </c>
    </row>
    <row r="78" spans="1:5" x14ac:dyDescent="0.2">
      <c r="A78" s="3086" t="s">
        <v>1672</v>
      </c>
      <c r="B78" s="3055">
        <f>'[1]2.AppSummaryData'!$E$45</f>
        <v>12</v>
      </c>
      <c r="C78" s="3087">
        <f>SUM(B78/B86)</f>
        <v>0.25</v>
      </c>
      <c r="D78" s="3087">
        <f>SUM(C78:C81)</f>
        <v>0.58333333333333337</v>
      </c>
      <c r="E78" s="3088"/>
    </row>
    <row r="79" spans="1:5" x14ac:dyDescent="0.2">
      <c r="A79" s="3086" t="s">
        <v>1767</v>
      </c>
      <c r="B79" s="3055">
        <f>'[1]2.AppSummaryData'!$E$46</f>
        <v>7</v>
      </c>
      <c r="C79" s="3087">
        <f>SUM(B79/B86)</f>
        <v>0.14583333333333334</v>
      </c>
      <c r="E79" s="3088"/>
    </row>
    <row r="80" spans="1:5" x14ac:dyDescent="0.2">
      <c r="A80" s="3086" t="s">
        <v>1768</v>
      </c>
      <c r="B80" s="3055">
        <f>'[1]2.AppSummaryData'!$E$47</f>
        <v>7</v>
      </c>
      <c r="C80" s="3087">
        <f>SUM(B80/B86)</f>
        <v>0.14583333333333334</v>
      </c>
      <c r="E80" s="3088"/>
    </row>
    <row r="81" spans="1:5" x14ac:dyDescent="0.2">
      <c r="A81" s="3086" t="s">
        <v>1562</v>
      </c>
      <c r="B81" s="3055">
        <f>'[1]2.AppSummaryData'!$E$48</f>
        <v>2</v>
      </c>
      <c r="C81" s="3087">
        <f>SUM(B81/B86)</f>
        <v>4.1666666666666664E-2</v>
      </c>
    </row>
    <row r="82" spans="1:5" x14ac:dyDescent="0.2">
      <c r="A82" s="3086" t="s">
        <v>1769</v>
      </c>
      <c r="B82" s="3055">
        <f>'[1]2.AppSummaryData'!$E$49</f>
        <v>6</v>
      </c>
      <c r="C82" s="3087">
        <f>SUM(B82/B86)</f>
        <v>0.125</v>
      </c>
      <c r="E82" s="3088"/>
    </row>
    <row r="83" spans="1:5" x14ac:dyDescent="0.2">
      <c r="A83" s="3086" t="s">
        <v>1563</v>
      </c>
      <c r="B83" s="3055">
        <f>'[1]2.AppSummaryData'!$E$50</f>
        <v>3</v>
      </c>
      <c r="C83" s="3087">
        <f>SUM(B83/B86)</f>
        <v>6.25E-2</v>
      </c>
      <c r="E83" s="3088"/>
    </row>
    <row r="84" spans="1:5" x14ac:dyDescent="0.2">
      <c r="A84" s="3086" t="s">
        <v>1770</v>
      </c>
      <c r="B84" s="3055">
        <f>'[1]2.AppSummaryData'!$E$51</f>
        <v>6</v>
      </c>
      <c r="C84" s="3087">
        <f>SUM(B84/B86)</f>
        <v>0.125</v>
      </c>
      <c r="E84" s="3088"/>
    </row>
    <row r="85" spans="1:5" x14ac:dyDescent="0.2">
      <c r="A85" s="3086" t="s">
        <v>1564</v>
      </c>
      <c r="B85" s="3055">
        <f>'[1]2.AppSummaryData'!$E$52</f>
        <v>5</v>
      </c>
      <c r="C85" s="3087">
        <f>SUM(B85/B86)</f>
        <v>0.10416666666666667</v>
      </c>
      <c r="E85" s="3088"/>
    </row>
    <row r="86" spans="1:5" x14ac:dyDescent="0.2">
      <c r="A86" s="3089" t="s">
        <v>69</v>
      </c>
      <c r="B86" s="3055">
        <f>SUM(B78:B85)</f>
        <v>48</v>
      </c>
      <c r="C86" s="3087">
        <f>SUM(C78:C85)</f>
        <v>1</v>
      </c>
    </row>
    <row r="94" spans="1:5" x14ac:dyDescent="0.2">
      <c r="A94" s="3157" t="s">
        <v>1680</v>
      </c>
    </row>
    <row r="95" spans="1:5" x14ac:dyDescent="0.2">
      <c r="A95" s="3157" t="s">
        <v>1771</v>
      </c>
    </row>
    <row r="96" spans="1:5" x14ac:dyDescent="0.2">
      <c r="A96" s="3073"/>
    </row>
    <row r="97" spans="1:3" x14ac:dyDescent="0.2">
      <c r="A97" s="3073" t="s">
        <v>1439</v>
      </c>
    </row>
    <row r="99" spans="1:3" x14ac:dyDescent="0.2">
      <c r="A99" s="3089"/>
    </row>
    <row r="101" spans="1:3" x14ac:dyDescent="0.2">
      <c r="A101" s="3086" t="s">
        <v>1566</v>
      </c>
      <c r="B101" s="3055">
        <f>'[1]2.AppSummaryData'!$C$46</f>
        <v>2</v>
      </c>
      <c r="C101" s="3087">
        <f>B101/B105</f>
        <v>4.1666666666666664E-2</v>
      </c>
    </row>
    <row r="102" spans="1:3" x14ac:dyDescent="0.2">
      <c r="A102" s="3086" t="s">
        <v>1567</v>
      </c>
      <c r="B102" s="3055">
        <f>'[1]2.AppSummaryData'!$C$47</f>
        <v>6</v>
      </c>
      <c r="C102" s="3087">
        <f>B102/B105</f>
        <v>0.125</v>
      </c>
    </row>
    <row r="103" spans="1:3" x14ac:dyDescent="0.2">
      <c r="A103" s="3086" t="s">
        <v>1772</v>
      </c>
      <c r="B103" s="3055">
        <f>'[1]2.AppSummaryData'!$C$48</f>
        <v>37</v>
      </c>
      <c r="C103" s="3087">
        <f>B103/B105</f>
        <v>0.77083333333333337</v>
      </c>
    </row>
    <row r="104" spans="1:3" x14ac:dyDescent="0.2">
      <c r="A104" s="3086" t="s">
        <v>1568</v>
      </c>
      <c r="B104" s="3055">
        <f>'[1]2.AppSummaryData'!$C$45</f>
        <v>3</v>
      </c>
      <c r="C104" s="3087">
        <f>B104/B105</f>
        <v>6.25E-2</v>
      </c>
    </row>
    <row r="105" spans="1:3" x14ac:dyDescent="0.2">
      <c r="A105" s="3089" t="s">
        <v>69</v>
      </c>
      <c r="B105" s="3055">
        <f>SUM(B101:B104)</f>
        <v>48</v>
      </c>
      <c r="C105" s="3087">
        <f>SUM(C101:C104)</f>
        <v>1</v>
      </c>
    </row>
    <row r="115" spans="1:4" x14ac:dyDescent="0.2">
      <c r="A115" s="3157" t="s">
        <v>1681</v>
      </c>
    </row>
    <row r="116" spans="1:4" x14ac:dyDescent="0.2">
      <c r="A116" s="3157" t="s">
        <v>1773</v>
      </c>
    </row>
    <row r="117" spans="1:4" x14ac:dyDescent="0.2">
      <c r="A117" s="3073"/>
    </row>
    <row r="118" spans="1:4" x14ac:dyDescent="0.2">
      <c r="A118" s="3073" t="s">
        <v>1440</v>
      </c>
    </row>
    <row r="121" spans="1:4" x14ac:dyDescent="0.2">
      <c r="A121" s="3086" t="s">
        <v>1774</v>
      </c>
      <c r="B121" s="3055">
        <f>'[1]2.AppSummaryData'!$C$52</f>
        <v>20</v>
      </c>
      <c r="C121" s="3087">
        <f>B121/B125</f>
        <v>0.41666666666666669</v>
      </c>
      <c r="D121" s="3087"/>
    </row>
    <row r="122" spans="1:4" x14ac:dyDescent="0.2">
      <c r="A122" s="3086" t="s">
        <v>1775</v>
      </c>
      <c r="B122" s="3055">
        <f>'[1]2.AppSummaryData'!$C$53</f>
        <v>7</v>
      </c>
      <c r="C122" s="3087">
        <f>B122/B125</f>
        <v>0.14583333333333334</v>
      </c>
      <c r="D122" s="3087"/>
    </row>
    <row r="123" spans="1:4" x14ac:dyDescent="0.2">
      <c r="A123" s="3086" t="s">
        <v>1776</v>
      </c>
      <c r="B123" s="3055">
        <f>'[1]2.AppSummaryData'!$C$51</f>
        <v>14</v>
      </c>
      <c r="C123" s="3087">
        <f>B123/B125</f>
        <v>0.29166666666666669</v>
      </c>
      <c r="D123" s="3087"/>
    </row>
    <row r="124" spans="1:4" x14ac:dyDescent="0.2">
      <c r="A124" s="3086" t="s">
        <v>1673</v>
      </c>
      <c r="B124" s="3055">
        <f>'[1]2.AppSummaryData'!$C$50</f>
        <v>7</v>
      </c>
      <c r="C124" s="3087">
        <f>B124/B125</f>
        <v>0.14583333333333334</v>
      </c>
      <c r="D124" s="3087"/>
    </row>
    <row r="125" spans="1:4" x14ac:dyDescent="0.2">
      <c r="A125" s="3050" t="s">
        <v>69</v>
      </c>
      <c r="B125" s="3055">
        <f>SUM(B121:B124)</f>
        <v>48</v>
      </c>
      <c r="C125" s="3087">
        <f>SUM(C121:C124)</f>
        <v>1</v>
      </c>
      <c r="D125" s="3087"/>
    </row>
    <row r="142" spans="1:1" x14ac:dyDescent="0.2">
      <c r="A142" s="3157" t="s">
        <v>1777</v>
      </c>
    </row>
    <row r="144" spans="1:1" x14ac:dyDescent="0.2">
      <c r="A144" s="3073" t="s">
        <v>1682</v>
      </c>
    </row>
    <row r="145" spans="1:4" x14ac:dyDescent="0.2">
      <c r="A145" s="3090"/>
    </row>
    <row r="146" spans="1:4" x14ac:dyDescent="0.2">
      <c r="A146" s="3158" t="s">
        <v>1409</v>
      </c>
    </row>
    <row r="147" spans="1:4" ht="14.25" x14ac:dyDescent="0.2">
      <c r="A147" s="3074" t="s">
        <v>1347</v>
      </c>
      <c r="B147" s="3769">
        <v>36824</v>
      </c>
      <c r="C147" s="3091">
        <f>B147/B158</f>
        <v>5.8848252882563984E-2</v>
      </c>
    </row>
    <row r="148" spans="1:4" ht="14.25" x14ac:dyDescent="0.2">
      <c r="A148" s="3074" t="s">
        <v>1348</v>
      </c>
      <c r="B148" s="3769">
        <v>37125</v>
      </c>
      <c r="C148" s="3091">
        <f>B148/B158</f>
        <v>5.9329279498837387E-2</v>
      </c>
    </row>
    <row r="149" spans="1:4" ht="14.25" x14ac:dyDescent="0.2">
      <c r="A149" s="3074" t="s">
        <v>1225</v>
      </c>
      <c r="B149" s="3769">
        <v>156540</v>
      </c>
      <c r="C149" s="3091">
        <f>B149/B158</f>
        <v>0.2501658023635826</v>
      </c>
    </row>
    <row r="150" spans="1:4" ht="14.25" x14ac:dyDescent="0.2">
      <c r="A150" s="3074" t="s">
        <v>1226</v>
      </c>
      <c r="B150" s="3769">
        <f>47752+6970</f>
        <v>54722</v>
      </c>
      <c r="C150" s="3091">
        <f>B150/B158</f>
        <v>8.7450958457518643E-2</v>
      </c>
    </row>
    <row r="151" spans="1:4" ht="14.25" x14ac:dyDescent="0.2">
      <c r="A151" s="3074" t="s">
        <v>1227</v>
      </c>
      <c r="B151" s="3769">
        <v>24475</v>
      </c>
      <c r="C151" s="3091">
        <f>B151/B158</f>
        <v>3.9113376854789092E-2</v>
      </c>
    </row>
    <row r="152" spans="1:4" x14ac:dyDescent="0.2">
      <c r="A152" s="3074" t="s">
        <v>30</v>
      </c>
      <c r="B152" s="3770">
        <f>6306+27231+31226</f>
        <v>64763</v>
      </c>
      <c r="C152" s="3091">
        <f>B152/B158</f>
        <v>0.10349743106217389</v>
      </c>
    </row>
    <row r="153" spans="1:4" ht="14.25" x14ac:dyDescent="0.2">
      <c r="A153" s="3074" t="s">
        <v>1228</v>
      </c>
      <c r="B153" s="3769">
        <v>28936</v>
      </c>
      <c r="C153" s="3091">
        <f>B153/B158</f>
        <v>4.6242478965073636E-2</v>
      </c>
    </row>
    <row r="154" spans="1:4" ht="14.25" x14ac:dyDescent="0.2">
      <c r="A154" s="3074" t="s">
        <v>520</v>
      </c>
      <c r="B154" s="3769">
        <v>61646</v>
      </c>
      <c r="C154" s="3091">
        <f>B154/B158</f>
        <v>9.8516168726877559E-2</v>
      </c>
    </row>
    <row r="155" spans="1:4" ht="14.25" x14ac:dyDescent="0.2">
      <c r="A155" s="3074" t="s">
        <v>1229</v>
      </c>
      <c r="B155" s="3769">
        <v>59535</v>
      </c>
      <c r="C155" s="3091">
        <f>B155/B158</f>
        <v>9.5142590032681038E-2</v>
      </c>
      <c r="D155" s="3072"/>
    </row>
    <row r="156" spans="1:4" ht="14.25" x14ac:dyDescent="0.2">
      <c r="A156" s="3074" t="s">
        <v>1230</v>
      </c>
      <c r="B156" s="3769">
        <v>44513</v>
      </c>
      <c r="C156" s="3091">
        <f>B156/B158</f>
        <v>7.1136005880989867E-2</v>
      </c>
    </row>
    <row r="157" spans="1:4" ht="14.25" x14ac:dyDescent="0.2">
      <c r="A157" s="3074" t="s">
        <v>34</v>
      </c>
      <c r="B157" s="3769">
        <v>56666</v>
      </c>
      <c r="C157" s="3091">
        <f>B157/B158</f>
        <v>9.0557655274912302E-2</v>
      </c>
    </row>
    <row r="158" spans="1:4" x14ac:dyDescent="0.2">
      <c r="A158" s="3074" t="s">
        <v>69</v>
      </c>
      <c r="B158" s="3770">
        <f>SUM(B147:B157)</f>
        <v>625745</v>
      </c>
      <c r="C158" s="3091">
        <f>SUM(C147:C157)</f>
        <v>1</v>
      </c>
    </row>
    <row r="159" spans="1:4" x14ac:dyDescent="0.2">
      <c r="B159" s="3072"/>
      <c r="C159" s="3072"/>
    </row>
    <row r="160" spans="1:4" x14ac:dyDescent="0.2">
      <c r="B160" s="3072"/>
    </row>
    <row r="161" spans="1:3" x14ac:dyDescent="0.2">
      <c r="B161" s="3072"/>
    </row>
    <row r="162" spans="1:3" x14ac:dyDescent="0.2">
      <c r="B162" s="3072"/>
    </row>
    <row r="167" spans="1:3" x14ac:dyDescent="0.2">
      <c r="A167" s="413" t="s">
        <v>1778</v>
      </c>
    </row>
    <row r="168" spans="1:3" x14ac:dyDescent="0.2">
      <c r="A168" t="s">
        <v>1781</v>
      </c>
    </row>
    <row r="169" spans="1:3" x14ac:dyDescent="0.2">
      <c r="A169" s="3074"/>
    </row>
    <row r="170" spans="1:3" x14ac:dyDescent="0.2">
      <c r="A170" s="3073" t="s">
        <v>1683</v>
      </c>
    </row>
    <row r="172" spans="1:3" x14ac:dyDescent="0.2">
      <c r="A172" s="3074" t="s">
        <v>1347</v>
      </c>
      <c r="B172" s="3062">
        <v>35208280</v>
      </c>
      <c r="C172" s="3771">
        <v>5.2999999999999999E-2</v>
      </c>
    </row>
    <row r="173" spans="1:3" x14ac:dyDescent="0.2">
      <c r="A173" s="3074" t="s">
        <v>1348</v>
      </c>
      <c r="B173" s="3062">
        <v>32275207</v>
      </c>
      <c r="C173" s="3771">
        <v>5.1999999999999998E-2</v>
      </c>
    </row>
    <row r="174" spans="1:3" x14ac:dyDescent="0.2">
      <c r="A174" s="3074" t="s">
        <v>1225</v>
      </c>
      <c r="B174" s="3062">
        <v>238657196</v>
      </c>
      <c r="C174" s="3771">
        <v>0.36099999999999999</v>
      </c>
    </row>
    <row r="175" spans="1:3" x14ac:dyDescent="0.2">
      <c r="A175" s="3074" t="s">
        <v>1226</v>
      </c>
      <c r="B175" s="3062">
        <f>37893127+9192484</f>
        <v>47085611</v>
      </c>
      <c r="C175" s="3771">
        <v>7.2999999999999995E-2</v>
      </c>
    </row>
    <row r="176" spans="1:3" x14ac:dyDescent="0.2">
      <c r="A176" s="3074" t="s">
        <v>1227</v>
      </c>
      <c r="B176" s="3062">
        <v>30041306</v>
      </c>
      <c r="C176" s="3771">
        <v>4.5999999999999999E-2</v>
      </c>
    </row>
    <row r="177" spans="1:4" x14ac:dyDescent="0.2">
      <c r="A177" s="3074" t="s">
        <v>30</v>
      </c>
      <c r="B177" s="3062">
        <f>19019627+3007932+16667551</f>
        <v>38695110</v>
      </c>
      <c r="C177" s="3771">
        <f>B177/B183</f>
        <v>5.9501339291456623E-2</v>
      </c>
      <c r="D177" s="3085"/>
    </row>
    <row r="178" spans="1:4" x14ac:dyDescent="0.2">
      <c r="A178" s="3074" t="s">
        <v>1228</v>
      </c>
      <c r="B178" s="3062">
        <v>22580299</v>
      </c>
      <c r="C178" s="3771">
        <v>3.5999999999999997E-2</v>
      </c>
    </row>
    <row r="179" spans="1:4" x14ac:dyDescent="0.2">
      <c r="A179" s="3074" t="s">
        <v>520</v>
      </c>
      <c r="B179" s="3062">
        <v>48473454</v>
      </c>
      <c r="C179" s="3771">
        <v>7.5999999999999998E-2</v>
      </c>
    </row>
    <row r="180" spans="1:4" x14ac:dyDescent="0.2">
      <c r="A180" s="3074" t="s">
        <v>1229</v>
      </c>
      <c r="B180" s="3062">
        <v>65706851</v>
      </c>
      <c r="C180" s="3771">
        <v>9.6000000000000002E-2</v>
      </c>
    </row>
    <row r="181" spans="1:4" x14ac:dyDescent="0.2">
      <c r="A181" s="3074" t="s">
        <v>1230</v>
      </c>
      <c r="B181" s="3062">
        <v>33666255</v>
      </c>
      <c r="C181" s="3771">
        <v>5.2999999999999999E-2</v>
      </c>
    </row>
    <row r="182" spans="1:4" x14ac:dyDescent="0.2">
      <c r="A182" s="3074" t="s">
        <v>34</v>
      </c>
      <c r="B182" s="3062">
        <v>57933776</v>
      </c>
      <c r="C182" s="3771">
        <v>0.09</v>
      </c>
    </row>
    <row r="183" spans="1:4" x14ac:dyDescent="0.2">
      <c r="A183" s="3074" t="s">
        <v>69</v>
      </c>
      <c r="B183" s="3062">
        <f>SUM(B172:B182)</f>
        <v>650323345</v>
      </c>
      <c r="C183" s="3091">
        <f>SUM(C172:C182)</f>
        <v>0.99550133929145657</v>
      </c>
    </row>
    <row r="184" spans="1:4" x14ac:dyDescent="0.2">
      <c r="A184" s="3937" t="s">
        <v>1779</v>
      </c>
      <c r="B184" s="3938">
        <v>650426329</v>
      </c>
      <c r="C184" s="3091"/>
    </row>
    <row r="185" spans="1:4" x14ac:dyDescent="0.2">
      <c r="A185" s="3937" t="s">
        <v>1780</v>
      </c>
      <c r="B185" s="3938">
        <f>B184-B183</f>
        <v>102984</v>
      </c>
      <c r="C185" s="3091"/>
    </row>
    <row r="186" spans="1:4" x14ac:dyDescent="0.2">
      <c r="A186" s="3074"/>
      <c r="B186" s="3062"/>
      <c r="C186" s="3091"/>
    </row>
    <row r="187" spans="1:4" x14ac:dyDescent="0.2">
      <c r="A187" s="3074"/>
      <c r="B187" s="3062"/>
      <c r="C187" s="3091"/>
    </row>
    <row r="188" spans="1:4" x14ac:dyDescent="0.2">
      <c r="A188" s="3074" t="s">
        <v>1674</v>
      </c>
      <c r="B188" s="3062"/>
      <c r="C188" s="3091"/>
    </row>
    <row r="189" spans="1:4" x14ac:dyDescent="0.2">
      <c r="A189" s="3074"/>
      <c r="B189" s="3062"/>
      <c r="C189" s="3091"/>
    </row>
    <row r="190" spans="1:4" x14ac:dyDescent="0.2">
      <c r="A190" s="3074"/>
      <c r="B190" s="3062"/>
      <c r="C190" s="3091"/>
    </row>
    <row r="191" spans="1:4" x14ac:dyDescent="0.2">
      <c r="A191" s="3074"/>
    </row>
    <row r="192" spans="1:4" x14ac:dyDescent="0.2">
      <c r="A192" s="3074"/>
    </row>
    <row r="193" spans="1:5" x14ac:dyDescent="0.2">
      <c r="A193" s="3157" t="s">
        <v>1782</v>
      </c>
    </row>
    <row r="194" spans="1:5" x14ac:dyDescent="0.2">
      <c r="A194" s="3073"/>
    </row>
    <row r="195" spans="1:5" x14ac:dyDescent="0.2">
      <c r="A195" s="3073"/>
    </row>
    <row r="196" spans="1:5" ht="13.5" thickBot="1" x14ac:dyDescent="0.25">
      <c r="A196" s="3073"/>
    </row>
    <row r="197" spans="1:5" x14ac:dyDescent="0.2">
      <c r="A197" s="3396" t="s">
        <v>10</v>
      </c>
      <c r="B197" s="3388" t="s">
        <v>250</v>
      </c>
      <c r="C197" s="3404" t="s">
        <v>1559</v>
      </c>
      <c r="D197" s="3389"/>
    </row>
    <row r="198" spans="1:5" x14ac:dyDescent="0.2">
      <c r="A198" s="3397" t="s">
        <v>1531</v>
      </c>
      <c r="B198" s="3401">
        <f>'[1]5.Distribution'!$B$5</f>
        <v>0</v>
      </c>
      <c r="C198" s="3405">
        <f>B198/B209</f>
        <v>0</v>
      </c>
      <c r="D198" s="3092"/>
      <c r="E198" s="3094"/>
    </row>
    <row r="199" spans="1:5" x14ac:dyDescent="0.2">
      <c r="A199" s="3398" t="s">
        <v>1675</v>
      </c>
      <c r="B199" s="3401">
        <f>'[1]5.Distribution'!$B$6</f>
        <v>2</v>
      </c>
      <c r="C199" s="3405">
        <f>B199/B209</f>
        <v>4.1666666666666664E-2</v>
      </c>
      <c r="D199" s="3092"/>
      <c r="E199" s="3094"/>
    </row>
    <row r="200" spans="1:5" x14ac:dyDescent="0.2">
      <c r="A200" s="3398" t="s">
        <v>1783</v>
      </c>
      <c r="B200" s="3401">
        <f>'[1]5.Distribution'!$B$8</f>
        <v>19</v>
      </c>
      <c r="C200" s="3405">
        <f>B200/B209</f>
        <v>0.39583333333333331</v>
      </c>
      <c r="D200" s="3092"/>
      <c r="E200" s="3094"/>
    </row>
    <row r="201" spans="1:5" x14ac:dyDescent="0.2">
      <c r="A201" s="3398" t="s">
        <v>1784</v>
      </c>
      <c r="B201" s="3401">
        <f>'[1]5.Distribution'!$B$10</f>
        <v>3</v>
      </c>
      <c r="C201" s="3405">
        <f>B201/B209</f>
        <v>6.25E-2</v>
      </c>
      <c r="D201" s="3092"/>
      <c r="E201" s="3094"/>
    </row>
    <row r="202" spans="1:5" x14ac:dyDescent="0.2">
      <c r="A202" s="3398" t="s">
        <v>1532</v>
      </c>
      <c r="B202" s="3401">
        <f>'[1]5.Distribution'!$B$11</f>
        <v>0</v>
      </c>
      <c r="C202" s="3405">
        <f>B202/B209</f>
        <v>0</v>
      </c>
      <c r="D202" s="3092"/>
      <c r="E202" s="3094"/>
    </row>
    <row r="203" spans="1:5" x14ac:dyDescent="0.2">
      <c r="A203" s="3398" t="s">
        <v>1785</v>
      </c>
      <c r="B203" s="3401">
        <f>'[1]5.Distribution'!$B$7+'[1]5.Distribution'!$B$9+'[1]5.Distribution'!$B$13</f>
        <v>5</v>
      </c>
      <c r="C203" s="3405">
        <f>B203/B209</f>
        <v>0.10416666666666667</v>
      </c>
      <c r="D203" s="3092"/>
      <c r="E203" s="3095"/>
    </row>
    <row r="204" spans="1:5" x14ac:dyDescent="0.2">
      <c r="A204" s="3399" t="s">
        <v>1786</v>
      </c>
      <c r="B204" s="3402">
        <f>'[1]5.Distribution'!$B$12</f>
        <v>1</v>
      </c>
      <c r="C204" s="3406">
        <f>B204/B209</f>
        <v>2.0833333333333332E-2</v>
      </c>
      <c r="D204" s="3386"/>
      <c r="E204" s="3094"/>
    </row>
    <row r="205" spans="1:5" x14ac:dyDescent="0.2">
      <c r="A205" s="3398" t="s">
        <v>1787</v>
      </c>
      <c r="B205" s="3401">
        <f>'[1]5.Distribution'!$B$14</f>
        <v>2</v>
      </c>
      <c r="C205" s="3405">
        <f>B205/B209</f>
        <v>4.1666666666666664E-2</v>
      </c>
      <c r="D205" s="3092"/>
      <c r="E205" s="3094"/>
    </row>
    <row r="206" spans="1:5" x14ac:dyDescent="0.2">
      <c r="A206" s="3398" t="s">
        <v>1788</v>
      </c>
      <c r="B206" s="3401">
        <f>'[1]5.Distribution'!$B$15</f>
        <v>4</v>
      </c>
      <c r="C206" s="3405">
        <f>B206/B209</f>
        <v>8.3333333333333329E-2</v>
      </c>
      <c r="D206" s="3092"/>
      <c r="E206" s="3094"/>
    </row>
    <row r="207" spans="1:5" x14ac:dyDescent="0.2">
      <c r="A207" s="3398" t="s">
        <v>1789</v>
      </c>
      <c r="B207" s="3401">
        <f>'[1]5.Distribution'!$B$16</f>
        <v>6</v>
      </c>
      <c r="C207" s="3405">
        <f>B207/B209</f>
        <v>0.125</v>
      </c>
      <c r="D207" s="3092"/>
      <c r="E207" s="3094"/>
    </row>
    <row r="208" spans="1:5" ht="13.5" thickBot="1" x14ac:dyDescent="0.25">
      <c r="A208" s="3398" t="s">
        <v>1790</v>
      </c>
      <c r="B208" s="3401">
        <f>'[1]5.Distribution'!$B$17</f>
        <v>6</v>
      </c>
      <c r="C208" s="3405">
        <f>B208/B209</f>
        <v>0.125</v>
      </c>
      <c r="D208" s="3092"/>
      <c r="E208" s="3094"/>
    </row>
    <row r="209" spans="1:5" ht="14.25" thickTop="1" thickBot="1" x14ac:dyDescent="0.25">
      <c r="A209" s="3400" t="s">
        <v>69</v>
      </c>
      <c r="B209" s="3403">
        <f>SUM(B198:B208)</f>
        <v>48</v>
      </c>
      <c r="C209" s="3407">
        <f>SUM(C198:C208)</f>
        <v>1</v>
      </c>
      <c r="D209" s="3387"/>
      <c r="E209" s="3094"/>
    </row>
    <row r="210" spans="1:5" x14ac:dyDescent="0.2">
      <c r="E210" s="3094"/>
    </row>
    <row r="214" spans="1:5" x14ac:dyDescent="0.2">
      <c r="A214" s="3050" t="s">
        <v>1529</v>
      </c>
    </row>
    <row r="221" spans="1:5" x14ac:dyDescent="0.2">
      <c r="D221" s="3096"/>
      <c r="E221" s="3094"/>
    </row>
    <row r="222" spans="1:5" x14ac:dyDescent="0.2">
      <c r="D222" s="3096"/>
      <c r="E222" s="3094"/>
    </row>
    <row r="223" spans="1:5" x14ac:dyDescent="0.2">
      <c r="D223" s="3096"/>
      <c r="E223" s="3094"/>
    </row>
    <row r="224" spans="1:5" x14ac:dyDescent="0.2">
      <c r="D224" s="3096"/>
      <c r="E224" s="3094"/>
    </row>
    <row r="225" spans="1:22" x14ac:dyDescent="0.2">
      <c r="A225" s="3157" t="s">
        <v>1791</v>
      </c>
      <c r="D225" s="3096"/>
      <c r="E225" s="3094"/>
    </row>
    <row r="226" spans="1:22" x14ac:dyDescent="0.2">
      <c r="A226" s="3073"/>
      <c r="D226" s="3096"/>
      <c r="E226" s="3094"/>
      <c r="T226" s="408"/>
      <c r="U226" s="91"/>
      <c r="V226" s="119"/>
    </row>
    <row r="227" spans="1:22" x14ac:dyDescent="0.2">
      <c r="A227" s="3073"/>
      <c r="D227" s="3096"/>
      <c r="E227" s="3094"/>
      <c r="T227" s="91"/>
      <c r="U227" s="91"/>
      <c r="V227" s="119"/>
    </row>
    <row r="228" spans="1:22" ht="13.5" thickBot="1" x14ac:dyDescent="0.25">
      <c r="D228" s="3096"/>
      <c r="E228" s="3094"/>
      <c r="T228" s="91"/>
      <c r="U228" s="91"/>
      <c r="V228" s="119"/>
    </row>
    <row r="229" spans="1:22" ht="13.5" thickBot="1" x14ac:dyDescent="0.25">
      <c r="A229" s="3390" t="s">
        <v>10</v>
      </c>
      <c r="B229" s="3395" t="s">
        <v>1561</v>
      </c>
      <c r="C229" s="3391" t="s">
        <v>1560</v>
      </c>
      <c r="D229" s="3096"/>
      <c r="E229" s="3094"/>
      <c r="T229" s="91"/>
      <c r="U229" s="91"/>
      <c r="V229" s="119"/>
    </row>
    <row r="230" spans="1:22" x14ac:dyDescent="0.2">
      <c r="A230" s="3408" t="s">
        <v>1224</v>
      </c>
      <c r="B230" s="3412">
        <f>C230/C241</f>
        <v>0</v>
      </c>
      <c r="C230" s="3392">
        <f>'[1]5.Distribution'!$P$5</f>
        <v>0</v>
      </c>
      <c r="D230" s="3096"/>
      <c r="E230" s="3094"/>
      <c r="T230" s="91"/>
      <c r="U230" s="91"/>
      <c r="V230" s="119"/>
    </row>
    <row r="231" spans="1:22" x14ac:dyDescent="0.2">
      <c r="A231" s="3409" t="s">
        <v>66</v>
      </c>
      <c r="B231" s="3413">
        <f>C231/C241</f>
        <v>1.0696808938158825E-2</v>
      </c>
      <c r="C231" s="3393">
        <f>'[1]5.Distribution'!$P$6</f>
        <v>409113</v>
      </c>
      <c r="D231" s="3096"/>
      <c r="E231" s="3094"/>
      <c r="T231" s="91"/>
      <c r="U231" s="91"/>
      <c r="V231" s="119"/>
    </row>
    <row r="232" spans="1:22" x14ac:dyDescent="0.2">
      <c r="A232" s="3409" t="s">
        <v>1225</v>
      </c>
      <c r="B232" s="3413">
        <f>C232/C241</f>
        <v>0.4501082014123941</v>
      </c>
      <c r="C232" s="3393">
        <f>'[1]5.Distribution'!$P$8</f>
        <v>17214958</v>
      </c>
      <c r="T232" s="91"/>
      <c r="U232" s="91"/>
      <c r="V232" s="119"/>
    </row>
    <row r="233" spans="1:22" x14ac:dyDescent="0.2">
      <c r="A233" s="3409" t="s">
        <v>1226</v>
      </c>
      <c r="B233" s="3413">
        <f>C233/C241</f>
        <v>0.16188105787895737</v>
      </c>
      <c r="C233" s="3393">
        <f>'[1]5.Distribution'!$P$10</f>
        <v>6191346</v>
      </c>
      <c r="T233" s="628"/>
      <c r="U233" s="91"/>
      <c r="V233" s="119"/>
    </row>
    <row r="234" spans="1:22" x14ac:dyDescent="0.2">
      <c r="A234" s="3409" t="s">
        <v>1227</v>
      </c>
      <c r="B234" s="3413">
        <f>C234/C241</f>
        <v>0</v>
      </c>
      <c r="C234" s="3393">
        <f>'[1]5.Distribution'!$P$11</f>
        <v>0</v>
      </c>
      <c r="T234" s="628"/>
      <c r="U234" s="91"/>
      <c r="V234" s="119"/>
    </row>
    <row r="235" spans="1:22" x14ac:dyDescent="0.2">
      <c r="A235" s="3093" t="s">
        <v>30</v>
      </c>
      <c r="B235" s="3413">
        <f>C235/C241</f>
        <v>6.6202227427901064E-2</v>
      </c>
      <c r="C235" s="3393">
        <f>'[1]5.Distribution'!$P$7+'[1]5.Distribution'!$P$9+'[1]5.Distribution'!$P$13</f>
        <v>2531988</v>
      </c>
      <c r="T235" s="91"/>
      <c r="U235" s="91"/>
      <c r="V235" s="119"/>
    </row>
    <row r="236" spans="1:22" x14ac:dyDescent="0.2">
      <c r="A236" s="3410" t="s">
        <v>1228</v>
      </c>
      <c r="B236" s="3412">
        <f>C236/C241</f>
        <v>7.0009971692399989E-3</v>
      </c>
      <c r="C236" s="3393">
        <f>'[1]5.Distribution'!$P$12</f>
        <v>267762</v>
      </c>
      <c r="T236" s="91"/>
      <c r="U236" s="91"/>
      <c r="V236" s="119"/>
    </row>
    <row r="237" spans="1:22" x14ac:dyDescent="0.2">
      <c r="A237" s="3409" t="s">
        <v>520</v>
      </c>
      <c r="B237" s="3413">
        <f>C237/C241</f>
        <v>2.3085835359718514E-2</v>
      </c>
      <c r="C237" s="3393">
        <f>'[1]5.Distribution'!$P$14</f>
        <v>882947</v>
      </c>
      <c r="T237" s="91"/>
      <c r="U237" s="91"/>
      <c r="V237" s="119"/>
    </row>
    <row r="238" spans="1:22" x14ac:dyDescent="0.2">
      <c r="A238" s="3409" t="s">
        <v>1229</v>
      </c>
      <c r="B238" s="3413">
        <f>C238/C241</f>
        <v>0.10494595733868503</v>
      </c>
      <c r="C238" s="3393">
        <f>'[1]5.Distribution'!$P$15</f>
        <v>4013791</v>
      </c>
      <c r="T238" s="91"/>
      <c r="U238" s="91"/>
      <c r="V238" s="119"/>
    </row>
    <row r="239" spans="1:22" x14ac:dyDescent="0.2">
      <c r="A239" s="3409" t="s">
        <v>1230</v>
      </c>
      <c r="B239" s="3413">
        <f>C239/C241</f>
        <v>0.10970757249871138</v>
      </c>
      <c r="C239" s="3393">
        <f>'[1]5.Distribution'!$P$16</f>
        <v>4195905</v>
      </c>
      <c r="T239" s="91"/>
      <c r="U239" s="91"/>
      <c r="V239" s="119"/>
    </row>
    <row r="240" spans="1:22" ht="13.5" thickBot="1" x14ac:dyDescent="0.25">
      <c r="A240" s="3409" t="s">
        <v>34</v>
      </c>
      <c r="B240" s="3413">
        <f>C240/C241</f>
        <v>6.6371341976233705E-2</v>
      </c>
      <c r="C240" s="3393">
        <f>'[1]5.Distribution'!$P$17</f>
        <v>2538456</v>
      </c>
    </row>
    <row r="241" spans="1:3" ht="14.25" thickTop="1" thickBot="1" x14ac:dyDescent="0.25">
      <c r="A241" s="3411" t="s">
        <v>69</v>
      </c>
      <c r="B241" s="3414">
        <f>SUM(B230:B240)</f>
        <v>1</v>
      </c>
      <c r="C241" s="3394">
        <f>SUM(C230:C240)</f>
        <v>38246266</v>
      </c>
    </row>
    <row r="246" spans="1:3" x14ac:dyDescent="0.2">
      <c r="A246" s="3050" t="s">
        <v>1529</v>
      </c>
    </row>
    <row r="251" spans="1:3" x14ac:dyDescent="0.2">
      <c r="A251" s="3157" t="s">
        <v>1792</v>
      </c>
    </row>
    <row r="252" spans="1:3" x14ac:dyDescent="0.2">
      <c r="A252" s="3073"/>
    </row>
    <row r="253" spans="1:3" x14ac:dyDescent="0.2">
      <c r="A253" s="3073"/>
    </row>
    <row r="255" spans="1:3" x14ac:dyDescent="0.2">
      <c r="A255" s="3090" t="str">
        <f>'4. Jobs'!A138</f>
        <v>DISTRIBUTION, BY COUNTY</v>
      </c>
      <c r="B255" s="3085"/>
    </row>
    <row r="256" spans="1:3" x14ac:dyDescent="0.2">
      <c r="A256" s="3086" t="s">
        <v>1224</v>
      </c>
      <c r="B256" s="3087">
        <f>'[1]9.Jobs'!$I$374</f>
        <v>0</v>
      </c>
    </row>
    <row r="257" spans="1:2" x14ac:dyDescent="0.2">
      <c r="A257" s="3086" t="s">
        <v>66</v>
      </c>
      <c r="B257" s="3087">
        <f>'[1]9.Jobs'!$I$375</f>
        <v>1.4233797698364628E-2</v>
      </c>
    </row>
    <row r="258" spans="1:2" x14ac:dyDescent="0.2">
      <c r="A258" s="3086" t="s">
        <v>1225</v>
      </c>
      <c r="B258" s="3087">
        <f>'[1]9.Jobs'!$I$377</f>
        <v>0.56420351302241067</v>
      </c>
    </row>
    <row r="259" spans="1:2" x14ac:dyDescent="0.2">
      <c r="A259" s="3086" t="s">
        <v>1226</v>
      </c>
      <c r="B259" s="3087">
        <f>'[1]9.Jobs'!$I$378</f>
        <v>6.6929133858267723E-2</v>
      </c>
    </row>
    <row r="260" spans="1:2" x14ac:dyDescent="0.2">
      <c r="A260" s="3086" t="s">
        <v>1227</v>
      </c>
      <c r="B260" s="3087">
        <f>'[1]9.Jobs'!$I$379</f>
        <v>0</v>
      </c>
    </row>
    <row r="261" spans="1:2" x14ac:dyDescent="0.2">
      <c r="A261" s="3089" t="str">
        <f>'4. Jobs'!A144</f>
        <v>NEK</v>
      </c>
      <c r="B261" s="3087">
        <f>'[1]9.Jobs'!$I$376+'[1]9.Jobs'!$I$381</f>
        <v>6.9049061175045431E-2</v>
      </c>
    </row>
    <row r="262" spans="1:2" x14ac:dyDescent="0.2">
      <c r="A262" s="3086" t="s">
        <v>1228</v>
      </c>
      <c r="B262" s="3087">
        <f>'[1]9.Jobs'!$I$380</f>
        <v>3.0284675953967293E-3</v>
      </c>
    </row>
    <row r="263" spans="1:2" x14ac:dyDescent="0.2">
      <c r="A263" s="3086" t="s">
        <v>520</v>
      </c>
      <c r="B263" s="3087">
        <f>'[1]9.Jobs'!$I$382</f>
        <v>1.1205330102967898E-2</v>
      </c>
    </row>
    <row r="264" spans="1:2" x14ac:dyDescent="0.2">
      <c r="A264" s="3086" t="s">
        <v>1229</v>
      </c>
      <c r="B264" s="3087">
        <f>'[1]9.Jobs'!$I$383</f>
        <v>0.16141732283464566</v>
      </c>
    </row>
    <row r="265" spans="1:2" x14ac:dyDescent="0.2">
      <c r="A265" s="3086" t="s">
        <v>1230</v>
      </c>
      <c r="B265" s="3087">
        <f>'[1]9.Jobs'!$I$384</f>
        <v>6.7837674136886739E-2</v>
      </c>
    </row>
    <row r="266" spans="1:2" x14ac:dyDescent="0.2">
      <c r="A266" s="3086" t="s">
        <v>34</v>
      </c>
      <c r="B266" s="3087">
        <f>'[1]9.Jobs'!$I$385</f>
        <v>4.2095699576014535E-2</v>
      </c>
    </row>
    <row r="267" spans="1:2" x14ac:dyDescent="0.2">
      <c r="B267" s="3087">
        <f>SUM(B256:B266)</f>
        <v>0.99999999999999989</v>
      </c>
    </row>
    <row r="275" spans="1:1" x14ac:dyDescent="0.2">
      <c r="A275" s="3090"/>
    </row>
  </sheetData>
  <pageMargins left="0.7" right="0.7" top="0.75" bottom="0.75" header="0.3" footer="0.3"/>
  <pageSetup scale="66" fitToHeight="0" orientation="landscape" r:id="rId1"/>
  <rowBreaks count="4" manualBreakCount="4">
    <brk id="50" max="14" man="1"/>
    <brk id="111" max="14" man="1"/>
    <brk id="165" max="14" man="1"/>
    <brk id="223" max="1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519"/>
  <sheetViews>
    <sheetView workbookViewId="0">
      <selection sqref="A1:E1"/>
    </sheetView>
  </sheetViews>
  <sheetFormatPr defaultColWidth="9.140625" defaultRowHeight="12.75" x14ac:dyDescent="0.2"/>
  <cols>
    <col min="1" max="1" width="34.140625" style="2205" customWidth="1"/>
    <col min="2" max="2" width="27.28515625" style="2205" customWidth="1"/>
    <col min="3" max="3" width="15.7109375" style="2205" customWidth="1"/>
    <col min="4" max="4" width="13.28515625" style="2205" customWidth="1"/>
    <col min="5" max="5" width="23.42578125" style="2205" customWidth="1"/>
    <col min="6" max="6" width="9.140625" style="2205"/>
    <col min="7" max="7" width="34.5703125" style="2205" bestFit="1" customWidth="1"/>
    <col min="8" max="9" width="15" style="2205" bestFit="1" customWidth="1"/>
    <col min="10" max="10" width="10" style="2205" bestFit="1" customWidth="1"/>
    <col min="11" max="11" width="20.140625" style="2205" bestFit="1" customWidth="1"/>
    <col min="12" max="16384" width="9.140625" style="2205"/>
  </cols>
  <sheetData>
    <row r="1" spans="1:5" ht="27" customHeight="1" x14ac:dyDescent="0.25">
      <c r="A1" s="4219" t="s">
        <v>1067</v>
      </c>
      <c r="B1" s="4220"/>
      <c r="C1" s="4220"/>
      <c r="D1" s="4220"/>
      <c r="E1" s="4220"/>
    </row>
    <row r="3" spans="1:5" ht="29.25" customHeight="1" x14ac:dyDescent="0.35">
      <c r="A3" s="2206" t="s">
        <v>1068</v>
      </c>
    </row>
    <row r="4" spans="1:5" ht="15.75" x14ac:dyDescent="0.25">
      <c r="A4" s="2207" t="s">
        <v>140</v>
      </c>
      <c r="B4" s="2207" t="s">
        <v>143</v>
      </c>
      <c r="C4" s="2207" t="s">
        <v>141</v>
      </c>
      <c r="D4" s="2207" t="s">
        <v>35</v>
      </c>
      <c r="E4" s="2207" t="s">
        <v>142</v>
      </c>
    </row>
    <row r="5" spans="1:5" ht="15.75" x14ac:dyDescent="0.25">
      <c r="A5" s="2207" t="s">
        <v>1069</v>
      </c>
      <c r="B5" s="2207"/>
      <c r="C5" s="2207"/>
      <c r="D5" s="2207"/>
      <c r="E5" s="2207"/>
    </row>
    <row r="6" spans="1:5" x14ac:dyDescent="0.2">
      <c r="A6" s="2208" t="s">
        <v>474</v>
      </c>
      <c r="B6" s="2208" t="s">
        <v>471</v>
      </c>
      <c r="C6" s="2208">
        <v>25000</v>
      </c>
      <c r="D6" s="2208">
        <v>2</v>
      </c>
      <c r="E6" s="2208">
        <f t="shared" ref="E6:E33" si="0">C6*D6</f>
        <v>50000</v>
      </c>
    </row>
    <row r="7" spans="1:5" x14ac:dyDescent="0.2">
      <c r="A7" s="2208" t="s">
        <v>153</v>
      </c>
      <c r="B7" s="2208" t="s">
        <v>129</v>
      </c>
      <c r="C7" s="2208">
        <v>26000</v>
      </c>
      <c r="D7" s="2208">
        <v>4</v>
      </c>
      <c r="E7" s="2208">
        <f t="shared" si="0"/>
        <v>104000</v>
      </c>
    </row>
    <row r="8" spans="1:5" x14ac:dyDescent="0.2">
      <c r="A8" s="2208" t="s">
        <v>154</v>
      </c>
      <c r="B8" s="2208" t="s">
        <v>129</v>
      </c>
      <c r="C8" s="2208">
        <v>26000</v>
      </c>
      <c r="D8" s="2208">
        <v>4</v>
      </c>
      <c r="E8" s="2208">
        <f t="shared" si="0"/>
        <v>104000</v>
      </c>
    </row>
    <row r="9" spans="1:5" x14ac:dyDescent="0.2">
      <c r="A9" s="2208" t="s">
        <v>817</v>
      </c>
      <c r="B9" s="2208" t="s">
        <v>815</v>
      </c>
      <c r="C9" s="2208">
        <v>26832</v>
      </c>
      <c r="D9" s="2208">
        <v>1</v>
      </c>
      <c r="E9" s="2208">
        <f t="shared" si="0"/>
        <v>26832</v>
      </c>
    </row>
    <row r="10" spans="1:5" x14ac:dyDescent="0.2">
      <c r="A10" s="2208" t="s">
        <v>1055</v>
      </c>
      <c r="B10" s="2208" t="s">
        <v>1051</v>
      </c>
      <c r="C10" s="2208">
        <v>26832</v>
      </c>
      <c r="D10" s="2208">
        <v>2</v>
      </c>
      <c r="E10" s="2208">
        <f t="shared" si="0"/>
        <v>53664</v>
      </c>
    </row>
    <row r="11" spans="1:5" x14ac:dyDescent="0.2">
      <c r="A11" s="2208" t="s">
        <v>694</v>
      </c>
      <c r="B11" s="2208" t="s">
        <v>759</v>
      </c>
      <c r="C11" s="2208">
        <v>26850</v>
      </c>
      <c r="D11" s="2208">
        <v>4</v>
      </c>
      <c r="E11" s="2208">
        <f t="shared" si="0"/>
        <v>107400</v>
      </c>
    </row>
    <row r="12" spans="1:5" x14ac:dyDescent="0.2">
      <c r="A12" s="2208" t="s">
        <v>157</v>
      </c>
      <c r="B12" s="2208" t="s">
        <v>129</v>
      </c>
      <c r="C12" s="2208">
        <v>27000</v>
      </c>
      <c r="D12" s="2208">
        <v>13</v>
      </c>
      <c r="E12" s="2208">
        <f t="shared" si="0"/>
        <v>351000</v>
      </c>
    </row>
    <row r="13" spans="1:5" x14ac:dyDescent="0.2">
      <c r="A13" s="2208" t="s">
        <v>157</v>
      </c>
      <c r="B13" s="2208" t="s">
        <v>908</v>
      </c>
      <c r="C13" s="2208">
        <v>27000</v>
      </c>
      <c r="D13" s="2208">
        <v>3</v>
      </c>
      <c r="E13" s="2208">
        <f t="shared" si="0"/>
        <v>81000</v>
      </c>
    </row>
    <row r="14" spans="1:5" x14ac:dyDescent="0.2">
      <c r="A14" s="2208" t="s">
        <v>770</v>
      </c>
      <c r="B14" s="2208" t="s">
        <v>760</v>
      </c>
      <c r="C14" s="2208">
        <v>27000</v>
      </c>
      <c r="D14" s="2208">
        <v>10</v>
      </c>
      <c r="E14" s="2208">
        <f t="shared" si="0"/>
        <v>270000</v>
      </c>
    </row>
    <row r="15" spans="1:5" x14ac:dyDescent="0.2">
      <c r="A15" s="2208" t="s">
        <v>715</v>
      </c>
      <c r="B15" s="2208" t="s">
        <v>690</v>
      </c>
      <c r="C15" s="2208">
        <v>27000</v>
      </c>
      <c r="D15" s="2208">
        <v>63</v>
      </c>
      <c r="E15" s="2208">
        <f t="shared" si="0"/>
        <v>1701000</v>
      </c>
    </row>
    <row r="16" spans="1:5" x14ac:dyDescent="0.2">
      <c r="A16" s="2208" t="s">
        <v>979</v>
      </c>
      <c r="B16" s="2208" t="s">
        <v>863</v>
      </c>
      <c r="C16" s="2208">
        <v>27000</v>
      </c>
      <c r="D16" s="2208">
        <v>3</v>
      </c>
      <c r="E16" s="2208">
        <f t="shared" si="0"/>
        <v>81000</v>
      </c>
    </row>
    <row r="17" spans="1:5" x14ac:dyDescent="0.2">
      <c r="A17" s="2208" t="s">
        <v>980</v>
      </c>
      <c r="B17" s="2208" t="s">
        <v>863</v>
      </c>
      <c r="C17" s="2208">
        <v>27000</v>
      </c>
      <c r="D17" s="2208">
        <v>2</v>
      </c>
      <c r="E17" s="2208">
        <f t="shared" si="0"/>
        <v>54000</v>
      </c>
    </row>
    <row r="18" spans="1:5" x14ac:dyDescent="0.2">
      <c r="A18" s="2208" t="s">
        <v>145</v>
      </c>
      <c r="B18" s="2208" t="s">
        <v>129</v>
      </c>
      <c r="C18" s="2208">
        <v>27000</v>
      </c>
      <c r="D18" s="2208">
        <v>250</v>
      </c>
      <c r="E18" s="2208">
        <f t="shared" si="0"/>
        <v>6750000</v>
      </c>
    </row>
    <row r="19" spans="1:5" s="2209" customFormat="1" x14ac:dyDescent="0.2">
      <c r="A19" s="2208" t="s">
        <v>708</v>
      </c>
      <c r="B19" s="2208" t="s">
        <v>703</v>
      </c>
      <c r="C19" s="2208">
        <v>27000</v>
      </c>
      <c r="D19" s="2208">
        <v>3</v>
      </c>
      <c r="E19" s="2208">
        <f t="shared" si="0"/>
        <v>81000</v>
      </c>
    </row>
    <row r="20" spans="1:5" s="2209" customFormat="1" x14ac:dyDescent="0.2">
      <c r="A20" s="2208" t="s">
        <v>323</v>
      </c>
      <c r="B20" s="2208" t="s">
        <v>129</v>
      </c>
      <c r="C20" s="2208">
        <v>27000</v>
      </c>
      <c r="D20" s="2208">
        <v>39</v>
      </c>
      <c r="E20" s="2208">
        <f t="shared" si="0"/>
        <v>1053000</v>
      </c>
    </row>
    <row r="21" spans="1:5" s="2209" customFormat="1" x14ac:dyDescent="0.2">
      <c r="A21" s="2208" t="s">
        <v>165</v>
      </c>
      <c r="B21" s="2208" t="s">
        <v>127</v>
      </c>
      <c r="C21" s="2208">
        <v>27040</v>
      </c>
      <c r="D21" s="2208">
        <v>64</v>
      </c>
      <c r="E21" s="2208">
        <f t="shared" si="0"/>
        <v>1730560</v>
      </c>
    </row>
    <row r="22" spans="1:5" s="2209" customFormat="1" x14ac:dyDescent="0.2">
      <c r="A22" s="2208" t="s">
        <v>713</v>
      </c>
      <c r="B22" s="2208" t="s">
        <v>815</v>
      </c>
      <c r="C22" s="2208">
        <v>27040</v>
      </c>
      <c r="D22" s="2208">
        <v>2</v>
      </c>
      <c r="E22" s="2208">
        <f t="shared" si="0"/>
        <v>54080</v>
      </c>
    </row>
    <row r="23" spans="1:5" s="2209" customFormat="1" x14ac:dyDescent="0.2">
      <c r="A23" s="2208" t="s">
        <v>710</v>
      </c>
      <c r="B23" s="2208" t="s">
        <v>815</v>
      </c>
      <c r="C23" s="2208">
        <v>27040</v>
      </c>
      <c r="D23" s="2208">
        <v>8</v>
      </c>
      <c r="E23" s="2208">
        <f t="shared" si="0"/>
        <v>216320</v>
      </c>
    </row>
    <row r="24" spans="1:5" s="2209" customFormat="1" x14ac:dyDescent="0.2">
      <c r="A24" s="2208" t="s">
        <v>1052</v>
      </c>
      <c r="B24" s="2208" t="s">
        <v>1051</v>
      </c>
      <c r="C24" s="2208">
        <v>27158</v>
      </c>
      <c r="D24" s="2208">
        <v>6</v>
      </c>
      <c r="E24" s="2208">
        <f t="shared" si="0"/>
        <v>162948</v>
      </c>
    </row>
    <row r="25" spans="1:5" x14ac:dyDescent="0.2">
      <c r="A25" s="2208" t="s">
        <v>325</v>
      </c>
      <c r="B25" s="2208" t="s">
        <v>531</v>
      </c>
      <c r="C25" s="2208">
        <v>27620</v>
      </c>
      <c r="D25" s="2208">
        <v>4</v>
      </c>
      <c r="E25" s="2208">
        <f t="shared" si="0"/>
        <v>110480</v>
      </c>
    </row>
    <row r="26" spans="1:5" x14ac:dyDescent="0.2">
      <c r="A26" s="2208" t="s">
        <v>961</v>
      </c>
      <c r="B26" s="2208" t="s">
        <v>956</v>
      </c>
      <c r="C26" s="2208">
        <v>27849</v>
      </c>
      <c r="D26" s="2208">
        <v>2</v>
      </c>
      <c r="E26" s="2208">
        <f t="shared" si="0"/>
        <v>55698</v>
      </c>
    </row>
    <row r="27" spans="1:5" x14ac:dyDescent="0.2">
      <c r="A27" s="2208" t="s">
        <v>145</v>
      </c>
      <c r="B27" s="2208" t="s">
        <v>907</v>
      </c>
      <c r="C27" s="2208">
        <v>27871</v>
      </c>
      <c r="D27" s="2208">
        <v>98</v>
      </c>
      <c r="E27" s="2208">
        <f t="shared" si="0"/>
        <v>2731358</v>
      </c>
    </row>
    <row r="28" spans="1:5" x14ac:dyDescent="0.2">
      <c r="A28" s="2208" t="s">
        <v>534</v>
      </c>
      <c r="B28" s="2208" t="s">
        <v>531</v>
      </c>
      <c r="C28" s="2208">
        <v>28000</v>
      </c>
      <c r="D28" s="2208">
        <v>1</v>
      </c>
      <c r="E28" s="2208">
        <f t="shared" si="0"/>
        <v>28000</v>
      </c>
    </row>
    <row r="29" spans="1:5" x14ac:dyDescent="0.2">
      <c r="A29" s="2208" t="s">
        <v>145</v>
      </c>
      <c r="B29" s="2208" t="s">
        <v>128</v>
      </c>
      <c r="C29" s="2208">
        <v>28000</v>
      </c>
      <c r="D29" s="2208">
        <v>21</v>
      </c>
      <c r="E29" s="2208">
        <f t="shared" si="0"/>
        <v>588000</v>
      </c>
    </row>
    <row r="30" spans="1:5" x14ac:dyDescent="0.2">
      <c r="A30" s="2208" t="s">
        <v>925</v>
      </c>
      <c r="B30" s="2208" t="s">
        <v>908</v>
      </c>
      <c r="C30" s="2208">
        <v>28500</v>
      </c>
      <c r="D30" s="2208">
        <v>2</v>
      </c>
      <c r="E30" s="2208">
        <f t="shared" si="0"/>
        <v>57000</v>
      </c>
    </row>
    <row r="31" spans="1:5" x14ac:dyDescent="0.2">
      <c r="A31" s="2208" t="s">
        <v>916</v>
      </c>
      <c r="B31" s="2208" t="s">
        <v>568</v>
      </c>
      <c r="C31" s="2208">
        <v>29000</v>
      </c>
      <c r="D31" s="2208">
        <v>13</v>
      </c>
      <c r="E31" s="2208">
        <f t="shared" si="0"/>
        <v>377000</v>
      </c>
    </row>
    <row r="32" spans="1:5" x14ac:dyDescent="0.2">
      <c r="A32" s="2208" t="s">
        <v>711</v>
      </c>
      <c r="B32" s="2208" t="s">
        <v>815</v>
      </c>
      <c r="C32" s="2208">
        <v>29120</v>
      </c>
      <c r="D32" s="2208">
        <v>4</v>
      </c>
      <c r="E32" s="2208">
        <f t="shared" si="0"/>
        <v>116480</v>
      </c>
    </row>
    <row r="33" spans="1:5" x14ac:dyDescent="0.2">
      <c r="A33" s="2208" t="s">
        <v>958</v>
      </c>
      <c r="B33" s="2208" t="s">
        <v>956</v>
      </c>
      <c r="C33" s="2208">
        <v>29406</v>
      </c>
      <c r="D33" s="2208">
        <v>70</v>
      </c>
      <c r="E33" s="2208">
        <f t="shared" si="0"/>
        <v>2058420</v>
      </c>
    </row>
    <row r="34" spans="1:5" x14ac:dyDescent="0.2">
      <c r="A34" s="2208"/>
      <c r="B34" s="2208"/>
      <c r="C34" s="2208"/>
      <c r="D34" s="2210">
        <f>SUM(D6:D33)</f>
        <v>698</v>
      </c>
      <c r="E34" s="2208"/>
    </row>
    <row r="35" spans="1:5" x14ac:dyDescent="0.2">
      <c r="A35" s="2210" t="s">
        <v>1070</v>
      </c>
      <c r="B35" s="2208"/>
      <c r="C35" s="2208"/>
      <c r="E35" s="2208"/>
    </row>
    <row r="36" spans="1:5" x14ac:dyDescent="0.2">
      <c r="A36" s="2208" t="s">
        <v>700</v>
      </c>
      <c r="B36" s="2208" t="s">
        <v>425</v>
      </c>
      <c r="C36" s="2208">
        <v>30000</v>
      </c>
      <c r="D36" s="2208">
        <v>1</v>
      </c>
      <c r="E36" s="2208">
        <f t="shared" ref="E36:E72" si="1">C36*D36</f>
        <v>30000</v>
      </c>
    </row>
    <row r="37" spans="1:5" x14ac:dyDescent="0.2">
      <c r="A37" s="2208" t="s">
        <v>692</v>
      </c>
      <c r="B37" s="2208" t="s">
        <v>425</v>
      </c>
      <c r="C37" s="2208">
        <v>30000</v>
      </c>
      <c r="D37" s="2208">
        <v>1</v>
      </c>
      <c r="E37" s="2208">
        <f t="shared" si="1"/>
        <v>30000</v>
      </c>
    </row>
    <row r="38" spans="1:5" x14ac:dyDescent="0.2">
      <c r="A38" s="2208" t="s">
        <v>981</v>
      </c>
      <c r="B38" s="2208" t="s">
        <v>864</v>
      </c>
      <c r="C38" s="2208">
        <v>30000</v>
      </c>
      <c r="D38" s="2208">
        <v>21</v>
      </c>
      <c r="E38" s="2208">
        <f t="shared" si="1"/>
        <v>630000</v>
      </c>
    </row>
    <row r="39" spans="1:5" x14ac:dyDescent="0.2">
      <c r="A39" s="2208" t="s">
        <v>1018</v>
      </c>
      <c r="B39" s="2208" t="s">
        <v>759</v>
      </c>
      <c r="C39" s="2208">
        <v>30000</v>
      </c>
      <c r="D39" s="2208">
        <v>9</v>
      </c>
      <c r="E39" s="2208">
        <f t="shared" si="1"/>
        <v>270000</v>
      </c>
    </row>
    <row r="40" spans="1:5" x14ac:dyDescent="0.2">
      <c r="A40" s="2208" t="s">
        <v>769</v>
      </c>
      <c r="B40" s="2208" t="s">
        <v>760</v>
      </c>
      <c r="C40" s="2208">
        <v>30000</v>
      </c>
      <c r="D40" s="2208">
        <v>9</v>
      </c>
      <c r="E40" s="2208">
        <f t="shared" si="1"/>
        <v>270000</v>
      </c>
    </row>
    <row r="41" spans="1:5" x14ac:dyDescent="0.2">
      <c r="A41" s="2208" t="s">
        <v>694</v>
      </c>
      <c r="B41" s="2208" t="s">
        <v>425</v>
      </c>
      <c r="C41" s="2208">
        <v>30000</v>
      </c>
      <c r="D41" s="2208">
        <v>1</v>
      </c>
      <c r="E41" s="2208">
        <f t="shared" si="1"/>
        <v>30000</v>
      </c>
    </row>
    <row r="42" spans="1:5" x14ac:dyDescent="0.2">
      <c r="A42" s="2208" t="s">
        <v>1054</v>
      </c>
      <c r="B42" s="2208" t="s">
        <v>1051</v>
      </c>
      <c r="C42" s="2208">
        <v>30000</v>
      </c>
      <c r="D42" s="2208">
        <v>23</v>
      </c>
      <c r="E42" s="2208">
        <f t="shared" si="1"/>
        <v>690000</v>
      </c>
    </row>
    <row r="43" spans="1:5" x14ac:dyDescent="0.2">
      <c r="A43" s="2208" t="s">
        <v>1053</v>
      </c>
      <c r="B43" s="2208" t="s">
        <v>1051</v>
      </c>
      <c r="C43" s="2208">
        <v>30289</v>
      </c>
      <c r="D43" s="2208">
        <v>3</v>
      </c>
      <c r="E43" s="2208">
        <f t="shared" si="1"/>
        <v>90867</v>
      </c>
    </row>
    <row r="44" spans="1:5" x14ac:dyDescent="0.2">
      <c r="A44" s="2208" t="s">
        <v>819</v>
      </c>
      <c r="B44" s="2208" t="s">
        <v>813</v>
      </c>
      <c r="C44" s="2208">
        <v>30567</v>
      </c>
      <c r="D44" s="2208">
        <v>21</v>
      </c>
      <c r="E44" s="2208">
        <f t="shared" si="1"/>
        <v>641907</v>
      </c>
    </row>
    <row r="45" spans="1:5" s="2211" customFormat="1" x14ac:dyDescent="0.2">
      <c r="A45" s="2208" t="s">
        <v>709</v>
      </c>
      <c r="B45" s="2208" t="s">
        <v>816</v>
      </c>
      <c r="C45" s="2208">
        <v>31200</v>
      </c>
      <c r="D45" s="2208">
        <v>24</v>
      </c>
      <c r="E45" s="2208">
        <f t="shared" si="1"/>
        <v>748800</v>
      </c>
    </row>
    <row r="46" spans="1:5" x14ac:dyDescent="0.2">
      <c r="A46" s="2208" t="s">
        <v>646</v>
      </c>
      <c r="B46" s="2208" t="s">
        <v>639</v>
      </c>
      <c r="C46" s="2211">
        <v>31500</v>
      </c>
      <c r="D46" s="2211">
        <v>3</v>
      </c>
      <c r="E46" s="2211">
        <f t="shared" si="1"/>
        <v>94500</v>
      </c>
    </row>
    <row r="47" spans="1:5" x14ac:dyDescent="0.2">
      <c r="A47" s="2208" t="s">
        <v>647</v>
      </c>
      <c r="B47" s="2208" t="s">
        <v>639</v>
      </c>
      <c r="C47" s="2208">
        <v>31500</v>
      </c>
      <c r="D47" s="2208">
        <v>1</v>
      </c>
      <c r="E47" s="2208">
        <f t="shared" si="1"/>
        <v>31500</v>
      </c>
    </row>
    <row r="48" spans="1:5" s="2211" customFormat="1" x14ac:dyDescent="0.2">
      <c r="A48" s="2208" t="s">
        <v>146</v>
      </c>
      <c r="B48" s="2208" t="s">
        <v>425</v>
      </c>
      <c r="C48" s="2208">
        <v>32000</v>
      </c>
      <c r="D48" s="2208">
        <v>1</v>
      </c>
      <c r="E48" s="2208">
        <f t="shared" si="1"/>
        <v>32000</v>
      </c>
    </row>
    <row r="49" spans="1:5" x14ac:dyDescent="0.2">
      <c r="A49" s="2208" t="s">
        <v>976</v>
      </c>
      <c r="B49" s="2208" t="s">
        <v>863</v>
      </c>
      <c r="C49" s="2208">
        <v>33000</v>
      </c>
      <c r="D49" s="2208">
        <v>3</v>
      </c>
      <c r="E49" s="2208">
        <f t="shared" si="1"/>
        <v>99000</v>
      </c>
    </row>
    <row r="50" spans="1:5" x14ac:dyDescent="0.2">
      <c r="A50" s="2208" t="s">
        <v>144</v>
      </c>
      <c r="B50" s="2208" t="s">
        <v>125</v>
      </c>
      <c r="C50" s="2208">
        <v>33280</v>
      </c>
      <c r="D50" s="2208">
        <v>2</v>
      </c>
      <c r="E50" s="2208">
        <f t="shared" si="1"/>
        <v>66560</v>
      </c>
    </row>
    <row r="51" spans="1:5" s="2209" customFormat="1" x14ac:dyDescent="0.2">
      <c r="A51" s="2208" t="s">
        <v>537</v>
      </c>
      <c r="B51" s="2208" t="s">
        <v>531</v>
      </c>
      <c r="C51" s="2208">
        <v>33875</v>
      </c>
      <c r="D51" s="2208">
        <v>8</v>
      </c>
      <c r="E51" s="2208">
        <f t="shared" si="1"/>
        <v>271000</v>
      </c>
    </row>
    <row r="52" spans="1:5" x14ac:dyDescent="0.2">
      <c r="A52" s="2208" t="s">
        <v>762</v>
      </c>
      <c r="B52" s="2208" t="s">
        <v>759</v>
      </c>
      <c r="C52" s="2208">
        <v>34000</v>
      </c>
      <c r="D52" s="2208">
        <v>2</v>
      </c>
      <c r="E52" s="2208">
        <f t="shared" si="1"/>
        <v>68000</v>
      </c>
    </row>
    <row r="53" spans="1:5" x14ac:dyDescent="0.2">
      <c r="A53" s="2208" t="s">
        <v>975</v>
      </c>
      <c r="B53" s="2208" t="s">
        <v>864</v>
      </c>
      <c r="C53" s="2208">
        <v>35000</v>
      </c>
      <c r="D53" s="2208">
        <v>1</v>
      </c>
      <c r="E53" s="2208">
        <f t="shared" si="1"/>
        <v>35000</v>
      </c>
    </row>
    <row r="54" spans="1:5" x14ac:dyDescent="0.2">
      <c r="A54" s="2208" t="s">
        <v>144</v>
      </c>
      <c r="B54" s="2208" t="s">
        <v>639</v>
      </c>
      <c r="C54" s="2208">
        <v>35000</v>
      </c>
      <c r="D54" s="2208">
        <v>1</v>
      </c>
      <c r="E54" s="2208">
        <f t="shared" si="1"/>
        <v>35000</v>
      </c>
    </row>
    <row r="55" spans="1:5" x14ac:dyDescent="0.2">
      <c r="A55" s="2208" t="s">
        <v>170</v>
      </c>
      <c r="B55" s="2208" t="s">
        <v>128</v>
      </c>
      <c r="C55" s="2208">
        <v>35000</v>
      </c>
      <c r="D55" s="2208">
        <v>1</v>
      </c>
      <c r="E55" s="2208">
        <f t="shared" si="1"/>
        <v>35000</v>
      </c>
    </row>
    <row r="56" spans="1:5" x14ac:dyDescent="0.2">
      <c r="A56" s="2208" t="s">
        <v>145</v>
      </c>
      <c r="B56" s="2208" t="s">
        <v>909</v>
      </c>
      <c r="C56" s="2208">
        <v>35000</v>
      </c>
      <c r="D56" s="2208">
        <v>30</v>
      </c>
      <c r="E56" s="2208">
        <f t="shared" si="1"/>
        <v>1050000</v>
      </c>
    </row>
    <row r="57" spans="1:5" x14ac:dyDescent="0.2">
      <c r="A57" s="2208" t="s">
        <v>150</v>
      </c>
      <c r="B57" s="2208" t="s">
        <v>128</v>
      </c>
      <c r="C57" s="2208">
        <v>35000</v>
      </c>
      <c r="D57" s="2208">
        <v>1</v>
      </c>
      <c r="E57" s="2208">
        <f t="shared" si="1"/>
        <v>35000</v>
      </c>
    </row>
    <row r="58" spans="1:5" x14ac:dyDescent="0.2">
      <c r="A58" s="2208" t="s">
        <v>928</v>
      </c>
      <c r="B58" s="2208" t="s">
        <v>908</v>
      </c>
      <c r="C58" s="2208">
        <v>35000</v>
      </c>
      <c r="D58" s="2208">
        <v>1</v>
      </c>
      <c r="E58" s="2208">
        <f t="shared" si="1"/>
        <v>35000</v>
      </c>
    </row>
    <row r="59" spans="1:5" x14ac:dyDescent="0.2">
      <c r="A59" s="2208" t="s">
        <v>328</v>
      </c>
      <c r="B59" s="2208" t="s">
        <v>125</v>
      </c>
      <c r="C59" s="2208">
        <v>35000</v>
      </c>
      <c r="D59" s="2208">
        <v>1</v>
      </c>
      <c r="E59" s="2208">
        <f t="shared" si="1"/>
        <v>35000</v>
      </c>
    </row>
    <row r="60" spans="1:5" x14ac:dyDescent="0.2">
      <c r="A60" s="2208" t="s">
        <v>698</v>
      </c>
      <c r="B60" s="2208" t="s">
        <v>425</v>
      </c>
      <c r="C60" s="2208">
        <v>35000</v>
      </c>
      <c r="D60" s="2208">
        <v>1</v>
      </c>
      <c r="E60" s="2208">
        <f t="shared" si="1"/>
        <v>35000</v>
      </c>
    </row>
    <row r="61" spans="1:5" x14ac:dyDescent="0.2">
      <c r="A61" s="2208" t="s">
        <v>1017</v>
      </c>
      <c r="B61" s="2208" t="s">
        <v>759</v>
      </c>
      <c r="C61" s="2208">
        <v>36000</v>
      </c>
      <c r="D61" s="2208">
        <v>3</v>
      </c>
      <c r="E61" s="2208">
        <f t="shared" si="1"/>
        <v>108000</v>
      </c>
    </row>
    <row r="62" spans="1:5" x14ac:dyDescent="0.2">
      <c r="A62" s="2208" t="s">
        <v>1008</v>
      </c>
      <c r="B62" s="2208" t="s">
        <v>908</v>
      </c>
      <c r="C62" s="2208">
        <v>36000</v>
      </c>
      <c r="D62" s="2208">
        <v>1</v>
      </c>
      <c r="E62" s="2208">
        <f t="shared" si="1"/>
        <v>36000</v>
      </c>
    </row>
    <row r="63" spans="1:5" x14ac:dyDescent="0.2">
      <c r="A63" s="2208" t="s">
        <v>716</v>
      </c>
      <c r="B63" s="2208" t="s">
        <v>690</v>
      </c>
      <c r="C63" s="2208">
        <v>36000</v>
      </c>
      <c r="D63" s="2208">
        <v>10</v>
      </c>
      <c r="E63" s="2208">
        <f t="shared" si="1"/>
        <v>360000</v>
      </c>
    </row>
    <row r="64" spans="1:5" x14ac:dyDescent="0.2">
      <c r="A64" s="2208" t="s">
        <v>818</v>
      </c>
      <c r="B64" s="2208" t="s">
        <v>815</v>
      </c>
      <c r="C64" s="2208">
        <v>36400</v>
      </c>
      <c r="D64" s="2208">
        <v>2</v>
      </c>
      <c r="E64" s="2208">
        <f t="shared" si="1"/>
        <v>72800</v>
      </c>
    </row>
    <row r="65" spans="1:5" x14ac:dyDescent="0.2">
      <c r="A65" s="2208" t="s">
        <v>927</v>
      </c>
      <c r="B65" s="2208" t="s">
        <v>908</v>
      </c>
      <c r="C65" s="2208">
        <v>37000</v>
      </c>
      <c r="D65" s="2208">
        <v>1</v>
      </c>
      <c r="E65" s="2208">
        <f t="shared" si="1"/>
        <v>37000</v>
      </c>
    </row>
    <row r="66" spans="1:5" x14ac:dyDescent="0.2">
      <c r="A66" s="2208" t="s">
        <v>923</v>
      </c>
      <c r="B66" s="2208" t="s">
        <v>908</v>
      </c>
      <c r="C66" s="2208">
        <v>37000</v>
      </c>
      <c r="D66" s="2208">
        <v>1</v>
      </c>
      <c r="E66" s="2208">
        <f t="shared" si="1"/>
        <v>37000</v>
      </c>
    </row>
    <row r="67" spans="1:5" s="2211" customFormat="1" x14ac:dyDescent="0.2">
      <c r="A67" s="2208" t="s">
        <v>712</v>
      </c>
      <c r="B67" s="2208" t="s">
        <v>815</v>
      </c>
      <c r="C67" s="2208">
        <v>37060</v>
      </c>
      <c r="D67" s="2208">
        <v>2</v>
      </c>
      <c r="E67" s="2208">
        <f t="shared" si="1"/>
        <v>74120</v>
      </c>
    </row>
    <row r="68" spans="1:5" x14ac:dyDescent="0.2">
      <c r="A68" s="2208" t="s">
        <v>166</v>
      </c>
      <c r="B68" s="2208" t="s">
        <v>127</v>
      </c>
      <c r="C68" s="2208">
        <v>39000</v>
      </c>
      <c r="D68" s="2208">
        <v>2</v>
      </c>
      <c r="E68" s="2208">
        <f t="shared" si="1"/>
        <v>78000</v>
      </c>
    </row>
    <row r="69" spans="1:5" x14ac:dyDescent="0.2">
      <c r="A69" s="2208" t="s">
        <v>151</v>
      </c>
      <c r="B69" s="2208" t="s">
        <v>129</v>
      </c>
      <c r="C69" s="2208">
        <v>39000</v>
      </c>
      <c r="D69" s="2208">
        <v>15</v>
      </c>
      <c r="E69" s="2208">
        <f t="shared" si="1"/>
        <v>585000</v>
      </c>
    </row>
    <row r="70" spans="1:5" x14ac:dyDescent="0.2">
      <c r="A70" s="2208" t="s">
        <v>156</v>
      </c>
      <c r="B70" s="2208" t="s">
        <v>129</v>
      </c>
      <c r="C70" s="2208">
        <v>39000</v>
      </c>
      <c r="D70" s="2208">
        <v>4</v>
      </c>
      <c r="E70" s="2208">
        <f t="shared" si="1"/>
        <v>156000</v>
      </c>
    </row>
    <row r="71" spans="1:5" s="2209" customFormat="1" x14ac:dyDescent="0.2">
      <c r="A71" s="2208" t="s">
        <v>533</v>
      </c>
      <c r="B71" s="2208" t="s">
        <v>531</v>
      </c>
      <c r="C71" s="2208">
        <v>39399</v>
      </c>
      <c r="D71" s="2208">
        <v>2</v>
      </c>
      <c r="E71" s="2208">
        <f t="shared" si="1"/>
        <v>78798</v>
      </c>
    </row>
    <row r="72" spans="1:5" s="2209" customFormat="1" x14ac:dyDescent="0.2">
      <c r="A72" s="2208" t="s">
        <v>536</v>
      </c>
      <c r="B72" s="2208" t="s">
        <v>531</v>
      </c>
      <c r="C72" s="2211">
        <v>39750</v>
      </c>
      <c r="D72" s="2211">
        <v>6</v>
      </c>
      <c r="E72" s="2211">
        <f t="shared" si="1"/>
        <v>238500</v>
      </c>
    </row>
    <row r="73" spans="1:5" s="2209" customFormat="1" x14ac:dyDescent="0.2">
      <c r="A73" s="2208"/>
      <c r="B73" s="2208"/>
      <c r="C73" s="2211"/>
      <c r="D73" s="2210">
        <f>SUM(D36:D72)</f>
        <v>219</v>
      </c>
      <c r="E73" s="2211"/>
    </row>
    <row r="74" spans="1:5" s="2209" customFormat="1" x14ac:dyDescent="0.2">
      <c r="A74" s="2210" t="s">
        <v>1071</v>
      </c>
      <c r="B74" s="2208"/>
      <c r="C74" s="2211"/>
      <c r="E74" s="2211"/>
    </row>
    <row r="75" spans="1:5" s="2209" customFormat="1" x14ac:dyDescent="0.2">
      <c r="A75" s="2208" t="s">
        <v>167</v>
      </c>
      <c r="B75" s="2208" t="s">
        <v>127</v>
      </c>
      <c r="C75" s="2208">
        <v>40000</v>
      </c>
      <c r="D75" s="2208">
        <v>6</v>
      </c>
      <c r="E75" s="2208">
        <f t="shared" ref="E75:E106" si="2">C75*D75</f>
        <v>240000</v>
      </c>
    </row>
    <row r="76" spans="1:5" x14ac:dyDescent="0.2">
      <c r="A76" s="2208" t="s">
        <v>576</v>
      </c>
      <c r="B76" s="2208" t="s">
        <v>568</v>
      </c>
      <c r="C76" s="2208">
        <v>40000</v>
      </c>
      <c r="D76" s="2208">
        <v>3</v>
      </c>
      <c r="E76" s="2208">
        <f t="shared" si="2"/>
        <v>120000</v>
      </c>
    </row>
    <row r="77" spans="1:5" x14ac:dyDescent="0.2">
      <c r="A77" s="2208" t="s">
        <v>428</v>
      </c>
      <c r="B77" s="2208" t="s">
        <v>425</v>
      </c>
      <c r="C77" s="2208">
        <v>40000</v>
      </c>
      <c r="D77" s="2208">
        <v>1</v>
      </c>
      <c r="E77" s="2208">
        <f t="shared" si="2"/>
        <v>40000</v>
      </c>
    </row>
    <row r="78" spans="1:5" x14ac:dyDescent="0.2">
      <c r="A78" s="2208" t="s">
        <v>155</v>
      </c>
      <c r="B78" s="2208" t="s">
        <v>129</v>
      </c>
      <c r="C78" s="2208">
        <v>40000</v>
      </c>
      <c r="D78" s="2208">
        <v>5</v>
      </c>
      <c r="E78" s="2208">
        <f t="shared" si="2"/>
        <v>200000</v>
      </c>
    </row>
    <row r="79" spans="1:5" x14ac:dyDescent="0.2">
      <c r="A79" s="2208" t="s">
        <v>1007</v>
      </c>
      <c r="B79" s="2208" t="s">
        <v>908</v>
      </c>
      <c r="C79" s="2208">
        <v>40000</v>
      </c>
      <c r="D79" s="2208">
        <v>1</v>
      </c>
      <c r="E79" s="2208">
        <f t="shared" si="2"/>
        <v>40000</v>
      </c>
    </row>
    <row r="80" spans="1:5" x14ac:dyDescent="0.2">
      <c r="A80" s="2208" t="s">
        <v>695</v>
      </c>
      <c r="B80" s="2208" t="s">
        <v>425</v>
      </c>
      <c r="C80" s="2208">
        <v>40000</v>
      </c>
      <c r="D80" s="2208">
        <v>1</v>
      </c>
      <c r="E80" s="2208">
        <f t="shared" si="2"/>
        <v>40000</v>
      </c>
    </row>
    <row r="81" spans="1:5" x14ac:dyDescent="0.2">
      <c r="A81" s="2208" t="s">
        <v>649</v>
      </c>
      <c r="B81" s="2208" t="s">
        <v>639</v>
      </c>
      <c r="C81" s="2208">
        <v>40000</v>
      </c>
      <c r="D81" s="2208">
        <v>2</v>
      </c>
      <c r="E81" s="2208">
        <f t="shared" si="2"/>
        <v>80000</v>
      </c>
    </row>
    <row r="82" spans="1:5" x14ac:dyDescent="0.2">
      <c r="A82" s="2208" t="s">
        <v>148</v>
      </c>
      <c r="B82" s="2208" t="s">
        <v>124</v>
      </c>
      <c r="C82" s="2208">
        <v>40000</v>
      </c>
      <c r="D82" s="2208">
        <v>48</v>
      </c>
      <c r="E82" s="2208">
        <f t="shared" si="2"/>
        <v>1920000</v>
      </c>
    </row>
    <row r="83" spans="1:5" s="2211" customFormat="1" x14ac:dyDescent="0.2">
      <c r="A83" s="2208" t="s">
        <v>148</v>
      </c>
      <c r="B83" s="2208" t="s">
        <v>639</v>
      </c>
      <c r="C83" s="2208">
        <v>40000</v>
      </c>
      <c r="D83" s="2208">
        <v>1</v>
      </c>
      <c r="E83" s="2208">
        <f t="shared" si="2"/>
        <v>40000</v>
      </c>
    </row>
    <row r="84" spans="1:5" x14ac:dyDescent="0.2">
      <c r="A84" s="2208" t="s">
        <v>427</v>
      </c>
      <c r="B84" s="2208" t="s">
        <v>425</v>
      </c>
      <c r="C84" s="2208">
        <v>40000</v>
      </c>
      <c r="D84" s="2208">
        <v>1</v>
      </c>
      <c r="E84" s="2208">
        <f t="shared" si="2"/>
        <v>40000</v>
      </c>
    </row>
    <row r="85" spans="1:5" x14ac:dyDescent="0.2">
      <c r="A85" s="2208" t="s">
        <v>614</v>
      </c>
      <c r="B85" s="2208" t="s">
        <v>609</v>
      </c>
      <c r="C85" s="2208">
        <v>40000</v>
      </c>
      <c r="D85" s="2208">
        <v>17</v>
      </c>
      <c r="E85" s="2208">
        <f t="shared" si="2"/>
        <v>680000</v>
      </c>
    </row>
    <row r="86" spans="1:5" x14ac:dyDescent="0.2">
      <c r="A86" s="2208" t="s">
        <v>571</v>
      </c>
      <c r="B86" s="2208" t="s">
        <v>569</v>
      </c>
      <c r="C86" s="2208">
        <v>40000</v>
      </c>
      <c r="D86" s="2208">
        <v>5</v>
      </c>
      <c r="E86" s="2208">
        <f t="shared" si="2"/>
        <v>200000</v>
      </c>
    </row>
    <row r="87" spans="1:5" x14ac:dyDescent="0.2">
      <c r="A87" s="2208" t="s">
        <v>978</v>
      </c>
      <c r="B87" s="2208" t="s">
        <v>864</v>
      </c>
      <c r="C87" s="2208">
        <v>41000</v>
      </c>
      <c r="D87" s="2208">
        <v>1</v>
      </c>
      <c r="E87" s="2208">
        <f t="shared" si="2"/>
        <v>41000</v>
      </c>
    </row>
    <row r="88" spans="1:5" x14ac:dyDescent="0.2">
      <c r="A88" s="2208" t="s">
        <v>917</v>
      </c>
      <c r="B88" s="2208" t="s">
        <v>568</v>
      </c>
      <c r="C88" s="2208">
        <v>41000</v>
      </c>
      <c r="D88" s="2208">
        <v>3</v>
      </c>
      <c r="E88" s="2208">
        <f t="shared" si="2"/>
        <v>123000</v>
      </c>
    </row>
    <row r="89" spans="1:5" x14ac:dyDescent="0.2">
      <c r="A89" s="2208" t="s">
        <v>145</v>
      </c>
      <c r="B89" s="2208" t="s">
        <v>568</v>
      </c>
      <c r="C89" s="2208">
        <v>41000</v>
      </c>
      <c r="D89" s="2208">
        <v>6</v>
      </c>
      <c r="E89" s="2208">
        <f t="shared" si="2"/>
        <v>246000</v>
      </c>
    </row>
    <row r="90" spans="1:5" x14ac:dyDescent="0.2">
      <c r="A90" s="2208" t="s">
        <v>145</v>
      </c>
      <c r="B90" s="2208" t="s">
        <v>703</v>
      </c>
      <c r="C90" s="2208">
        <v>41306</v>
      </c>
      <c r="D90" s="2208">
        <v>43</v>
      </c>
      <c r="E90" s="2208">
        <f t="shared" si="2"/>
        <v>1776158</v>
      </c>
    </row>
    <row r="91" spans="1:5" x14ac:dyDescent="0.2">
      <c r="A91" s="2208" t="s">
        <v>154</v>
      </c>
      <c r="B91" s="2208" t="s">
        <v>956</v>
      </c>
      <c r="C91" s="2208">
        <v>41792</v>
      </c>
      <c r="D91" s="2208">
        <v>4</v>
      </c>
      <c r="E91" s="2208">
        <f t="shared" si="2"/>
        <v>167168</v>
      </c>
    </row>
    <row r="92" spans="1:5" x14ac:dyDescent="0.2">
      <c r="A92" s="2208" t="s">
        <v>207</v>
      </c>
      <c r="B92" s="2208" t="s">
        <v>387</v>
      </c>
      <c r="C92" s="2208">
        <v>42000</v>
      </c>
      <c r="D92" s="2208">
        <v>8</v>
      </c>
      <c r="E92" s="2208">
        <f t="shared" si="2"/>
        <v>336000</v>
      </c>
    </row>
    <row r="93" spans="1:5" x14ac:dyDescent="0.2">
      <c r="A93" s="2208" t="s">
        <v>706</v>
      </c>
      <c r="B93" s="2208" t="s">
        <v>703</v>
      </c>
      <c r="C93" s="2208">
        <v>42500</v>
      </c>
      <c r="D93" s="2208">
        <v>6</v>
      </c>
      <c r="E93" s="2208">
        <f t="shared" si="2"/>
        <v>255000</v>
      </c>
    </row>
    <row r="94" spans="1:5" x14ac:dyDescent="0.2">
      <c r="A94" s="2208" t="s">
        <v>716</v>
      </c>
      <c r="B94" s="2208" t="s">
        <v>907</v>
      </c>
      <c r="C94" s="2208">
        <v>43788</v>
      </c>
      <c r="D94" s="2208">
        <v>8</v>
      </c>
      <c r="E94" s="2208">
        <f t="shared" si="2"/>
        <v>350304</v>
      </c>
    </row>
    <row r="95" spans="1:5" x14ac:dyDescent="0.2">
      <c r="A95" s="2208" t="s">
        <v>765</v>
      </c>
      <c r="B95" s="2208" t="s">
        <v>1051</v>
      </c>
      <c r="C95" s="2208">
        <v>44804</v>
      </c>
      <c r="D95" s="2208">
        <v>2</v>
      </c>
      <c r="E95" s="2208">
        <f t="shared" si="2"/>
        <v>89608</v>
      </c>
    </row>
    <row r="96" spans="1:5" x14ac:dyDescent="0.2">
      <c r="A96" s="2208" t="s">
        <v>144</v>
      </c>
      <c r="B96" s="2208" t="s">
        <v>129</v>
      </c>
      <c r="C96" s="2208">
        <v>45000</v>
      </c>
      <c r="D96" s="2208">
        <v>8</v>
      </c>
      <c r="E96" s="2208">
        <f t="shared" si="2"/>
        <v>360000</v>
      </c>
    </row>
    <row r="97" spans="1:5" x14ac:dyDescent="0.2">
      <c r="A97" s="2208" t="s">
        <v>325</v>
      </c>
      <c r="B97" s="2208" t="s">
        <v>129</v>
      </c>
      <c r="C97" s="2208">
        <v>45000</v>
      </c>
      <c r="D97" s="2208">
        <v>8</v>
      </c>
      <c r="E97" s="2208">
        <f t="shared" si="2"/>
        <v>360000</v>
      </c>
    </row>
    <row r="98" spans="1:5" x14ac:dyDescent="0.2">
      <c r="A98" s="2208" t="s">
        <v>693</v>
      </c>
      <c r="B98" s="2208" t="s">
        <v>425</v>
      </c>
      <c r="C98" s="2208">
        <v>45000</v>
      </c>
      <c r="D98" s="2208">
        <v>1</v>
      </c>
      <c r="E98" s="2208">
        <f t="shared" si="2"/>
        <v>45000</v>
      </c>
    </row>
    <row r="99" spans="1:5" x14ac:dyDescent="0.2">
      <c r="A99" s="2208" t="s">
        <v>767</v>
      </c>
      <c r="B99" s="2208" t="s">
        <v>766</v>
      </c>
      <c r="C99" s="2208">
        <v>45000</v>
      </c>
      <c r="D99" s="2208">
        <v>1</v>
      </c>
      <c r="E99" s="2208">
        <f t="shared" si="2"/>
        <v>45000</v>
      </c>
    </row>
    <row r="100" spans="1:5" x14ac:dyDescent="0.2">
      <c r="A100" s="2208" t="s">
        <v>150</v>
      </c>
      <c r="B100" s="2208" t="s">
        <v>127</v>
      </c>
      <c r="C100" s="2208">
        <v>45000</v>
      </c>
      <c r="D100" s="2208">
        <v>3</v>
      </c>
      <c r="E100" s="2208">
        <f t="shared" si="2"/>
        <v>135000</v>
      </c>
    </row>
    <row r="101" spans="1:5" x14ac:dyDescent="0.2">
      <c r="A101" s="2208" t="s">
        <v>322</v>
      </c>
      <c r="B101" s="2208" t="s">
        <v>129</v>
      </c>
      <c r="C101" s="2208">
        <v>45000</v>
      </c>
      <c r="D101" s="2208">
        <v>2</v>
      </c>
      <c r="E101" s="2208">
        <f t="shared" si="2"/>
        <v>90000</v>
      </c>
    </row>
    <row r="102" spans="1:5" x14ac:dyDescent="0.2">
      <c r="A102" s="2208" t="s">
        <v>982</v>
      </c>
      <c r="B102" s="2208" t="s">
        <v>864</v>
      </c>
      <c r="C102" s="2208">
        <v>45000</v>
      </c>
      <c r="D102" s="2208">
        <v>1</v>
      </c>
      <c r="E102" s="2208">
        <f t="shared" si="2"/>
        <v>45000</v>
      </c>
    </row>
    <row r="103" spans="1:5" x14ac:dyDescent="0.2">
      <c r="A103" s="2208" t="s">
        <v>159</v>
      </c>
      <c r="B103" s="2208" t="s">
        <v>124</v>
      </c>
      <c r="C103" s="2208">
        <v>45000</v>
      </c>
      <c r="D103" s="2208">
        <v>42</v>
      </c>
      <c r="E103" s="2208">
        <f t="shared" si="2"/>
        <v>1890000</v>
      </c>
    </row>
    <row r="104" spans="1:5" x14ac:dyDescent="0.2">
      <c r="A104" s="2208" t="s">
        <v>771</v>
      </c>
      <c r="B104" s="2208" t="s">
        <v>766</v>
      </c>
      <c r="C104" s="2211">
        <v>46000</v>
      </c>
      <c r="D104" s="2208">
        <v>1</v>
      </c>
      <c r="E104" s="2211">
        <f t="shared" si="2"/>
        <v>46000</v>
      </c>
    </row>
    <row r="105" spans="1:5" x14ac:dyDescent="0.2">
      <c r="A105" s="2208" t="s">
        <v>926</v>
      </c>
      <c r="B105" s="2208" t="s">
        <v>908</v>
      </c>
      <c r="C105" s="2208">
        <v>46000</v>
      </c>
      <c r="D105" s="2208">
        <v>1</v>
      </c>
      <c r="E105" s="2208">
        <f t="shared" si="2"/>
        <v>46000</v>
      </c>
    </row>
    <row r="106" spans="1:5" s="2209" customFormat="1" x14ac:dyDescent="0.2">
      <c r="A106" s="2208" t="s">
        <v>820</v>
      </c>
      <c r="B106" s="2208" t="s">
        <v>813</v>
      </c>
      <c r="C106" s="2208">
        <v>47348</v>
      </c>
      <c r="D106" s="2208">
        <v>6</v>
      </c>
      <c r="E106" s="2208">
        <f t="shared" si="2"/>
        <v>284088</v>
      </c>
    </row>
    <row r="107" spans="1:5" s="2209" customFormat="1" x14ac:dyDescent="0.2">
      <c r="A107" s="2208"/>
      <c r="B107" s="2208"/>
      <c r="C107" s="2208"/>
      <c r="D107" s="2210">
        <f>SUM(D75:D106)</f>
        <v>246</v>
      </c>
      <c r="E107" s="2208"/>
    </row>
    <row r="108" spans="1:5" s="2209" customFormat="1" x14ac:dyDescent="0.2">
      <c r="A108" s="2210" t="s">
        <v>1072</v>
      </c>
      <c r="B108" s="2208"/>
      <c r="C108" s="2208"/>
      <c r="E108" s="2208"/>
    </row>
    <row r="109" spans="1:5" s="2209" customFormat="1" x14ac:dyDescent="0.2">
      <c r="A109" s="2208" t="s">
        <v>696</v>
      </c>
      <c r="B109" s="2208" t="s">
        <v>425</v>
      </c>
      <c r="C109" s="2208">
        <v>50000</v>
      </c>
      <c r="D109" s="2208">
        <v>1</v>
      </c>
      <c r="E109" s="2208">
        <f t="shared" ref="E109:E140" si="3">C109*D109</f>
        <v>50000</v>
      </c>
    </row>
    <row r="110" spans="1:5" x14ac:dyDescent="0.2">
      <c r="A110" s="2208" t="s">
        <v>161</v>
      </c>
      <c r="B110" s="2208" t="s">
        <v>125</v>
      </c>
      <c r="C110" s="2208">
        <v>50000</v>
      </c>
      <c r="D110" s="2208">
        <v>3</v>
      </c>
      <c r="E110" s="2208">
        <f t="shared" si="3"/>
        <v>150000</v>
      </c>
    </row>
    <row r="111" spans="1:5" x14ac:dyDescent="0.2">
      <c r="A111" s="2208" t="s">
        <v>472</v>
      </c>
      <c r="B111" s="2208" t="s">
        <v>471</v>
      </c>
      <c r="C111" s="2208">
        <v>50000</v>
      </c>
      <c r="D111" s="2208">
        <v>3</v>
      </c>
      <c r="E111" s="2208">
        <f t="shared" si="3"/>
        <v>150000</v>
      </c>
    </row>
    <row r="112" spans="1:5" x14ac:dyDescent="0.2">
      <c r="A112" s="2208" t="s">
        <v>648</v>
      </c>
      <c r="B112" s="2208" t="s">
        <v>639</v>
      </c>
      <c r="C112" s="2208">
        <v>50000</v>
      </c>
      <c r="D112" s="2208">
        <v>1</v>
      </c>
      <c r="E112" s="2208">
        <f t="shared" si="3"/>
        <v>50000</v>
      </c>
    </row>
    <row r="113" spans="1:5" x14ac:dyDescent="0.2">
      <c r="A113" s="2208" t="s">
        <v>326</v>
      </c>
      <c r="B113" s="2208" t="s">
        <v>129</v>
      </c>
      <c r="C113" s="2208">
        <v>50000</v>
      </c>
      <c r="D113" s="2208">
        <v>4</v>
      </c>
      <c r="E113" s="2208">
        <f t="shared" si="3"/>
        <v>200000</v>
      </c>
    </row>
    <row r="114" spans="1:5" x14ac:dyDescent="0.2">
      <c r="A114" s="2208" t="s">
        <v>763</v>
      </c>
      <c r="B114" s="2208" t="s">
        <v>759</v>
      </c>
      <c r="C114" s="2208">
        <v>50000</v>
      </c>
      <c r="D114" s="2208">
        <v>2</v>
      </c>
      <c r="E114" s="2208">
        <f t="shared" si="3"/>
        <v>100000</v>
      </c>
    </row>
    <row r="115" spans="1:5" x14ac:dyDescent="0.2">
      <c r="A115" s="2208" t="s">
        <v>473</v>
      </c>
      <c r="B115" s="2208" t="s">
        <v>471</v>
      </c>
      <c r="C115" s="2208">
        <v>50000</v>
      </c>
      <c r="D115" s="2208">
        <v>4</v>
      </c>
      <c r="E115" s="2208">
        <f t="shared" si="3"/>
        <v>200000</v>
      </c>
    </row>
    <row r="116" spans="1:5" x14ac:dyDescent="0.2">
      <c r="A116" s="2208" t="s">
        <v>650</v>
      </c>
      <c r="B116" s="2208" t="s">
        <v>639</v>
      </c>
      <c r="C116" s="2208">
        <v>50000</v>
      </c>
      <c r="D116" s="2208">
        <v>1</v>
      </c>
      <c r="E116" s="2208">
        <f t="shared" si="3"/>
        <v>50000</v>
      </c>
    </row>
    <row r="117" spans="1:5" x14ac:dyDescent="0.2">
      <c r="A117" s="2208" t="s">
        <v>997</v>
      </c>
      <c r="B117" s="2208" t="s">
        <v>990</v>
      </c>
      <c r="C117" s="2208">
        <v>50000</v>
      </c>
      <c r="D117" s="2208">
        <v>13</v>
      </c>
      <c r="E117" s="2208">
        <f t="shared" si="3"/>
        <v>650000</v>
      </c>
    </row>
    <row r="118" spans="1:5" x14ac:dyDescent="0.2">
      <c r="A118" s="2208" t="s">
        <v>573</v>
      </c>
      <c r="B118" s="2208" t="s">
        <v>569</v>
      </c>
      <c r="C118" s="2208">
        <v>50000</v>
      </c>
      <c r="D118" s="2208">
        <v>13</v>
      </c>
      <c r="E118" s="2208">
        <f t="shared" si="3"/>
        <v>650000</v>
      </c>
    </row>
    <row r="119" spans="1:5" x14ac:dyDescent="0.2">
      <c r="A119" s="2208" t="s">
        <v>147</v>
      </c>
      <c r="B119" s="2208" t="s">
        <v>124</v>
      </c>
      <c r="C119" s="2208">
        <v>50000</v>
      </c>
      <c r="D119" s="2208">
        <v>107</v>
      </c>
      <c r="E119" s="2208">
        <f t="shared" si="3"/>
        <v>5350000</v>
      </c>
    </row>
    <row r="120" spans="1:5" x14ac:dyDescent="0.2">
      <c r="A120" s="2208" t="s">
        <v>169</v>
      </c>
      <c r="B120" s="2208" t="s">
        <v>128</v>
      </c>
      <c r="C120" s="2208">
        <v>50000</v>
      </c>
      <c r="D120" s="2208">
        <v>1</v>
      </c>
      <c r="E120" s="2208">
        <f t="shared" si="3"/>
        <v>50000</v>
      </c>
    </row>
    <row r="121" spans="1:5" x14ac:dyDescent="0.2">
      <c r="A121" s="2208" t="s">
        <v>150</v>
      </c>
      <c r="B121" s="2208" t="s">
        <v>129</v>
      </c>
      <c r="C121" s="2208">
        <v>50000</v>
      </c>
      <c r="D121" s="2208">
        <v>4</v>
      </c>
      <c r="E121" s="2208">
        <f t="shared" si="3"/>
        <v>200000</v>
      </c>
    </row>
    <row r="122" spans="1:5" x14ac:dyDescent="0.2">
      <c r="A122" s="2208" t="s">
        <v>699</v>
      </c>
      <c r="B122" s="2208" t="s">
        <v>425</v>
      </c>
      <c r="C122" s="2208">
        <v>50000</v>
      </c>
      <c r="D122" s="2208">
        <v>1</v>
      </c>
      <c r="E122" s="2208">
        <f t="shared" si="3"/>
        <v>50000</v>
      </c>
    </row>
    <row r="123" spans="1:5" s="2209" customFormat="1" x14ac:dyDescent="0.2">
      <c r="A123" s="2208" t="s">
        <v>995</v>
      </c>
      <c r="B123" s="2208" t="s">
        <v>990</v>
      </c>
      <c r="C123" s="2208">
        <v>50000</v>
      </c>
      <c r="D123" s="2208">
        <v>8</v>
      </c>
      <c r="E123" s="2208">
        <f t="shared" si="3"/>
        <v>400000</v>
      </c>
    </row>
    <row r="124" spans="1:5" s="2209" customFormat="1" x14ac:dyDescent="0.2">
      <c r="A124" s="2208" t="s">
        <v>1010</v>
      </c>
      <c r="B124" s="2208" t="s">
        <v>908</v>
      </c>
      <c r="C124" s="2208">
        <v>50000</v>
      </c>
      <c r="D124" s="2208">
        <v>1</v>
      </c>
      <c r="E124" s="2208">
        <f t="shared" si="3"/>
        <v>50000</v>
      </c>
    </row>
    <row r="125" spans="1:5" s="2211" customFormat="1" x14ac:dyDescent="0.2">
      <c r="A125" s="2208" t="s">
        <v>707</v>
      </c>
      <c r="B125" s="2208" t="s">
        <v>703</v>
      </c>
      <c r="C125" s="2208">
        <v>52000</v>
      </c>
      <c r="D125" s="2208">
        <v>2</v>
      </c>
      <c r="E125" s="2208">
        <f t="shared" si="3"/>
        <v>104000</v>
      </c>
    </row>
    <row r="126" spans="1:5" s="2211" customFormat="1" x14ac:dyDescent="0.2">
      <c r="A126" s="2208" t="s">
        <v>160</v>
      </c>
      <c r="B126" s="2208" t="s">
        <v>125</v>
      </c>
      <c r="C126" s="2208">
        <v>52800</v>
      </c>
      <c r="D126" s="2208">
        <v>18</v>
      </c>
      <c r="E126" s="2208">
        <f t="shared" si="3"/>
        <v>950400</v>
      </c>
    </row>
    <row r="127" spans="1:5" s="2209" customFormat="1" x14ac:dyDescent="0.2">
      <c r="A127" s="2208" t="s">
        <v>154</v>
      </c>
      <c r="B127" s="2208" t="s">
        <v>703</v>
      </c>
      <c r="C127" s="2208">
        <v>52846</v>
      </c>
      <c r="D127" s="2208">
        <v>13</v>
      </c>
      <c r="E127" s="2208">
        <f t="shared" si="3"/>
        <v>686998</v>
      </c>
    </row>
    <row r="128" spans="1:5" x14ac:dyDescent="0.2">
      <c r="A128" s="2208" t="s">
        <v>962</v>
      </c>
      <c r="B128" s="2208" t="s">
        <v>956</v>
      </c>
      <c r="C128" s="2208">
        <v>53799</v>
      </c>
      <c r="D128" s="2208">
        <v>15</v>
      </c>
      <c r="E128" s="2208">
        <f t="shared" si="3"/>
        <v>806985</v>
      </c>
    </row>
    <row r="129" spans="1:5" x14ac:dyDescent="0.2">
      <c r="A129" s="2208" t="s">
        <v>997</v>
      </c>
      <c r="B129" s="2208" t="s">
        <v>1051</v>
      </c>
      <c r="C129" s="2208">
        <v>54696</v>
      </c>
      <c r="D129" s="2208">
        <v>6</v>
      </c>
      <c r="E129" s="2208">
        <f t="shared" si="3"/>
        <v>328176</v>
      </c>
    </row>
    <row r="130" spans="1:5" x14ac:dyDescent="0.2">
      <c r="A130" s="2208" t="s">
        <v>144</v>
      </c>
      <c r="B130" s="2208" t="s">
        <v>813</v>
      </c>
      <c r="C130" s="2208">
        <v>54805</v>
      </c>
      <c r="D130" s="2208">
        <v>5</v>
      </c>
      <c r="E130" s="2208">
        <f t="shared" si="3"/>
        <v>274025</v>
      </c>
    </row>
    <row r="131" spans="1:5" x14ac:dyDescent="0.2">
      <c r="A131" s="2208" t="s">
        <v>924</v>
      </c>
      <c r="B131" s="2208" t="s">
        <v>908</v>
      </c>
      <c r="C131" s="2208">
        <v>55000</v>
      </c>
      <c r="D131" s="2208">
        <v>1</v>
      </c>
      <c r="E131" s="2208">
        <f t="shared" si="3"/>
        <v>55000</v>
      </c>
    </row>
    <row r="132" spans="1:5" x14ac:dyDescent="0.2">
      <c r="A132" s="2208" t="s">
        <v>575</v>
      </c>
      <c r="B132" s="2208" t="s">
        <v>568</v>
      </c>
      <c r="C132" s="2208">
        <v>55000</v>
      </c>
      <c r="D132" s="2208">
        <v>1</v>
      </c>
      <c r="E132" s="2208">
        <f t="shared" si="3"/>
        <v>55000</v>
      </c>
    </row>
    <row r="133" spans="1:5" x14ac:dyDescent="0.2">
      <c r="A133" s="2208" t="s">
        <v>163</v>
      </c>
      <c r="B133" s="2208" t="s">
        <v>127</v>
      </c>
      <c r="C133" s="2208">
        <v>55000</v>
      </c>
      <c r="D133" s="2208">
        <v>2</v>
      </c>
      <c r="E133" s="2208">
        <f t="shared" si="3"/>
        <v>110000</v>
      </c>
    </row>
    <row r="134" spans="1:5" x14ac:dyDescent="0.2">
      <c r="A134" s="2208" t="s">
        <v>164</v>
      </c>
      <c r="B134" s="2208" t="s">
        <v>127</v>
      </c>
      <c r="C134" s="2208">
        <v>55000</v>
      </c>
      <c r="D134" s="2208">
        <v>1</v>
      </c>
      <c r="E134" s="2208">
        <f t="shared" si="3"/>
        <v>55000</v>
      </c>
    </row>
    <row r="135" spans="1:5" x14ac:dyDescent="0.2">
      <c r="A135" s="2208" t="s">
        <v>983</v>
      </c>
      <c r="B135" s="2208" t="s">
        <v>864</v>
      </c>
      <c r="C135" s="2208">
        <v>55000</v>
      </c>
      <c r="D135" s="2208">
        <v>1</v>
      </c>
      <c r="E135" s="2208">
        <f t="shared" si="3"/>
        <v>55000</v>
      </c>
    </row>
    <row r="136" spans="1:5" x14ac:dyDescent="0.2">
      <c r="A136" s="2208" t="s">
        <v>324</v>
      </c>
      <c r="B136" s="2208" t="s">
        <v>129</v>
      </c>
      <c r="C136" s="2208">
        <v>55000</v>
      </c>
      <c r="D136" s="2208">
        <v>2</v>
      </c>
      <c r="E136" s="2208">
        <f t="shared" si="3"/>
        <v>110000</v>
      </c>
    </row>
    <row r="137" spans="1:5" x14ac:dyDescent="0.2">
      <c r="A137" s="2208" t="s">
        <v>144</v>
      </c>
      <c r="B137" s="2208" t="s">
        <v>907</v>
      </c>
      <c r="C137" s="2208">
        <v>56376</v>
      </c>
      <c r="D137" s="2208">
        <v>21</v>
      </c>
      <c r="E137" s="2208">
        <f t="shared" si="3"/>
        <v>1183896</v>
      </c>
    </row>
    <row r="138" spans="1:5" x14ac:dyDescent="0.2">
      <c r="A138" s="2208" t="s">
        <v>918</v>
      </c>
      <c r="B138" s="2208" t="s">
        <v>1051</v>
      </c>
      <c r="C138" s="2208">
        <v>56929</v>
      </c>
      <c r="D138" s="2208">
        <v>4</v>
      </c>
      <c r="E138" s="2208">
        <f t="shared" si="3"/>
        <v>227716</v>
      </c>
    </row>
    <row r="139" spans="1:5" x14ac:dyDescent="0.2">
      <c r="A139" s="2208" t="s">
        <v>959</v>
      </c>
      <c r="B139" s="2208" t="s">
        <v>956</v>
      </c>
      <c r="C139" s="2208">
        <v>56953</v>
      </c>
      <c r="D139" s="2208">
        <v>11</v>
      </c>
      <c r="E139" s="2208">
        <f t="shared" si="3"/>
        <v>626483</v>
      </c>
    </row>
    <row r="140" spans="1:5" x14ac:dyDescent="0.2">
      <c r="A140" s="2208" t="s">
        <v>144</v>
      </c>
      <c r="B140" s="2208" t="s">
        <v>124</v>
      </c>
      <c r="C140" s="2208">
        <v>57000</v>
      </c>
      <c r="D140" s="2208">
        <v>73</v>
      </c>
      <c r="E140" s="2208">
        <f t="shared" si="3"/>
        <v>4161000</v>
      </c>
    </row>
    <row r="141" spans="1:5" x14ac:dyDescent="0.2">
      <c r="A141" s="2208"/>
      <c r="B141" s="2208"/>
      <c r="C141" s="2208"/>
      <c r="D141" s="2210">
        <f>SUM(D109:D140)</f>
        <v>343</v>
      </c>
      <c r="E141" s="2208"/>
    </row>
    <row r="142" spans="1:5" x14ac:dyDescent="0.2">
      <c r="A142" s="2210" t="s">
        <v>1073</v>
      </c>
      <c r="B142" s="2208"/>
      <c r="C142" s="2208"/>
      <c r="E142" s="2208"/>
    </row>
    <row r="143" spans="1:5" x14ac:dyDescent="0.2">
      <c r="A143" s="2208" t="s">
        <v>717</v>
      </c>
      <c r="B143" s="2208" t="s">
        <v>690</v>
      </c>
      <c r="C143" s="2211">
        <v>60000</v>
      </c>
      <c r="D143" s="2211">
        <v>6</v>
      </c>
      <c r="E143" s="2211">
        <f t="shared" ref="E143:E155" si="4">C143*D143</f>
        <v>360000</v>
      </c>
    </row>
    <row r="144" spans="1:5" x14ac:dyDescent="0.2">
      <c r="A144" s="2208" t="s">
        <v>991</v>
      </c>
      <c r="B144" s="2208" t="s">
        <v>990</v>
      </c>
      <c r="C144" s="2208">
        <v>60000</v>
      </c>
      <c r="D144" s="2208">
        <v>19</v>
      </c>
      <c r="E144" s="2208">
        <f t="shared" si="4"/>
        <v>1140000</v>
      </c>
    </row>
    <row r="145" spans="1:5" x14ac:dyDescent="0.2">
      <c r="A145" s="2208" t="s">
        <v>697</v>
      </c>
      <c r="B145" s="2208" t="s">
        <v>425</v>
      </c>
      <c r="C145" s="2208">
        <v>60000</v>
      </c>
      <c r="D145" s="2208">
        <v>1</v>
      </c>
      <c r="E145" s="2208">
        <f t="shared" si="4"/>
        <v>60000</v>
      </c>
    </row>
    <row r="146" spans="1:5" x14ac:dyDescent="0.2">
      <c r="A146" s="2208" t="s">
        <v>168</v>
      </c>
      <c r="B146" s="2208" t="s">
        <v>127</v>
      </c>
      <c r="C146" s="2208">
        <v>60000</v>
      </c>
      <c r="D146" s="2208">
        <v>1</v>
      </c>
      <c r="E146" s="2208">
        <f t="shared" si="4"/>
        <v>60000</v>
      </c>
    </row>
    <row r="147" spans="1:5" x14ac:dyDescent="0.2">
      <c r="A147" s="2208" t="s">
        <v>613</v>
      </c>
      <c r="B147" s="2208" t="s">
        <v>609</v>
      </c>
      <c r="C147" s="2208">
        <v>60000</v>
      </c>
      <c r="D147" s="2208">
        <v>5</v>
      </c>
      <c r="E147" s="2208">
        <f t="shared" si="4"/>
        <v>300000</v>
      </c>
    </row>
    <row r="148" spans="1:5" x14ac:dyDescent="0.2">
      <c r="A148" s="2208" t="s">
        <v>1009</v>
      </c>
      <c r="B148" s="2208" t="s">
        <v>908</v>
      </c>
      <c r="C148" s="2208">
        <v>60000</v>
      </c>
      <c r="D148" s="2208">
        <v>1</v>
      </c>
      <c r="E148" s="2208">
        <f t="shared" si="4"/>
        <v>60000</v>
      </c>
    </row>
    <row r="149" spans="1:5" x14ac:dyDescent="0.2">
      <c r="A149" s="2208" t="s">
        <v>144</v>
      </c>
      <c r="B149" s="2208" t="s">
        <v>703</v>
      </c>
      <c r="C149" s="2208">
        <v>62625</v>
      </c>
      <c r="D149" s="2208">
        <v>8</v>
      </c>
      <c r="E149" s="2208">
        <f t="shared" si="4"/>
        <v>501000</v>
      </c>
    </row>
    <row r="150" spans="1:5" x14ac:dyDescent="0.2">
      <c r="A150" s="2208" t="s">
        <v>144</v>
      </c>
      <c r="B150" s="2208" t="s">
        <v>930</v>
      </c>
      <c r="C150" s="2208">
        <v>65000</v>
      </c>
      <c r="D150" s="2208">
        <v>1</v>
      </c>
      <c r="E150" s="2208">
        <f t="shared" si="4"/>
        <v>65000</v>
      </c>
    </row>
    <row r="151" spans="1:5" x14ac:dyDescent="0.2">
      <c r="A151" s="2208" t="s">
        <v>933</v>
      </c>
      <c r="B151" s="2208" t="s">
        <v>930</v>
      </c>
      <c r="C151" s="2208">
        <v>65000</v>
      </c>
      <c r="D151" s="2208">
        <v>39</v>
      </c>
      <c r="E151" s="2208">
        <f t="shared" si="4"/>
        <v>2535000</v>
      </c>
    </row>
    <row r="152" spans="1:5" x14ac:dyDescent="0.2">
      <c r="A152" s="2208" t="s">
        <v>932</v>
      </c>
      <c r="B152" s="2208" t="s">
        <v>930</v>
      </c>
      <c r="C152" s="2208">
        <v>65000</v>
      </c>
      <c r="D152" s="2208">
        <v>4</v>
      </c>
      <c r="E152" s="2208">
        <f t="shared" si="4"/>
        <v>260000</v>
      </c>
    </row>
    <row r="153" spans="1:5" x14ac:dyDescent="0.2">
      <c r="A153" s="2208" t="s">
        <v>577</v>
      </c>
      <c r="B153" s="2208" t="s">
        <v>1051</v>
      </c>
      <c r="C153" s="2208">
        <v>65780</v>
      </c>
      <c r="D153" s="2208">
        <v>2</v>
      </c>
      <c r="E153" s="2208">
        <f t="shared" si="4"/>
        <v>131560</v>
      </c>
    </row>
    <row r="154" spans="1:5" x14ac:dyDescent="0.2">
      <c r="A154" s="2208" t="s">
        <v>535</v>
      </c>
      <c r="B154" s="2208" t="s">
        <v>531</v>
      </c>
      <c r="C154" s="2208">
        <v>67794</v>
      </c>
      <c r="D154" s="2208">
        <v>7</v>
      </c>
      <c r="E154" s="2208">
        <f t="shared" si="4"/>
        <v>474558</v>
      </c>
    </row>
    <row r="155" spans="1:5" x14ac:dyDescent="0.2">
      <c r="A155" s="2208" t="s">
        <v>704</v>
      </c>
      <c r="B155" s="2208" t="s">
        <v>703</v>
      </c>
      <c r="C155" s="2208">
        <v>69188</v>
      </c>
      <c r="D155" s="2208">
        <v>16</v>
      </c>
      <c r="E155" s="2208">
        <f t="shared" si="4"/>
        <v>1107008</v>
      </c>
    </row>
    <row r="156" spans="1:5" x14ac:dyDescent="0.2">
      <c r="A156" s="2208"/>
      <c r="B156" s="2208"/>
      <c r="C156" s="2208"/>
      <c r="D156" s="2210">
        <f>SUM(D143:D155)</f>
        <v>110</v>
      </c>
      <c r="E156" s="2208"/>
    </row>
    <row r="157" spans="1:5" x14ac:dyDescent="0.2">
      <c r="A157" s="2210" t="s">
        <v>1074</v>
      </c>
      <c r="B157" s="2208"/>
      <c r="C157" s="2208"/>
      <c r="E157" s="2208"/>
    </row>
    <row r="158" spans="1:5" x14ac:dyDescent="0.2">
      <c r="A158" s="2208" t="s">
        <v>701</v>
      </c>
      <c r="B158" s="2208" t="s">
        <v>425</v>
      </c>
      <c r="C158" s="2208">
        <v>70000</v>
      </c>
      <c r="D158" s="2208">
        <v>1</v>
      </c>
      <c r="E158" s="2208">
        <f t="shared" ref="E158:E172" si="5">C158*D158</f>
        <v>70000</v>
      </c>
    </row>
    <row r="159" spans="1:5" x14ac:dyDescent="0.2">
      <c r="A159" s="2208" t="s">
        <v>1056</v>
      </c>
      <c r="B159" s="2208" t="s">
        <v>1051</v>
      </c>
      <c r="C159" s="2208">
        <v>70000</v>
      </c>
      <c r="D159" s="2208">
        <v>22</v>
      </c>
      <c r="E159" s="2208">
        <f t="shared" si="5"/>
        <v>1540000</v>
      </c>
    </row>
    <row r="160" spans="1:5" x14ac:dyDescent="0.2">
      <c r="A160" s="2208" t="s">
        <v>922</v>
      </c>
      <c r="B160" s="2208" t="s">
        <v>908</v>
      </c>
      <c r="C160" s="2208">
        <v>70000</v>
      </c>
      <c r="D160" s="2208">
        <v>1</v>
      </c>
      <c r="E160" s="2208">
        <f t="shared" si="5"/>
        <v>70000</v>
      </c>
    </row>
    <row r="161" spans="1:5" x14ac:dyDescent="0.2">
      <c r="A161" s="2208" t="s">
        <v>921</v>
      </c>
      <c r="B161" s="2208" t="s">
        <v>908</v>
      </c>
      <c r="C161" s="2208">
        <v>70000</v>
      </c>
      <c r="D161" s="2208">
        <v>1</v>
      </c>
      <c r="E161" s="2208">
        <f t="shared" si="5"/>
        <v>70000</v>
      </c>
    </row>
    <row r="162" spans="1:5" x14ac:dyDescent="0.2">
      <c r="A162" s="2208" t="s">
        <v>918</v>
      </c>
      <c r="B162" s="2208" t="s">
        <v>907</v>
      </c>
      <c r="C162" s="2208">
        <v>71241</v>
      </c>
      <c r="D162" s="2208">
        <v>5</v>
      </c>
      <c r="E162" s="2208">
        <f t="shared" si="5"/>
        <v>356205</v>
      </c>
    </row>
    <row r="163" spans="1:5" x14ac:dyDescent="0.2">
      <c r="A163" s="2208" t="s">
        <v>144</v>
      </c>
      <c r="B163" s="2208" t="s">
        <v>1051</v>
      </c>
      <c r="C163" s="2208">
        <v>73689</v>
      </c>
      <c r="D163" s="2208">
        <v>2</v>
      </c>
      <c r="E163" s="2208">
        <f t="shared" si="5"/>
        <v>147378</v>
      </c>
    </row>
    <row r="164" spans="1:5" x14ac:dyDescent="0.2">
      <c r="A164" s="2208" t="s">
        <v>992</v>
      </c>
      <c r="B164" s="2208" t="s">
        <v>990</v>
      </c>
      <c r="C164" s="2208">
        <v>75000</v>
      </c>
      <c r="D164" s="2208">
        <v>18</v>
      </c>
      <c r="E164" s="2208">
        <f t="shared" si="5"/>
        <v>1350000</v>
      </c>
    </row>
    <row r="165" spans="1:5" x14ac:dyDescent="0.2">
      <c r="A165" s="2208" t="s">
        <v>149</v>
      </c>
      <c r="B165" s="2208" t="s">
        <v>690</v>
      </c>
      <c r="C165" s="2208">
        <v>75000</v>
      </c>
      <c r="D165" s="2208">
        <v>8</v>
      </c>
      <c r="E165" s="2208">
        <f t="shared" si="5"/>
        <v>600000</v>
      </c>
    </row>
    <row r="166" spans="1:5" x14ac:dyDescent="0.2">
      <c r="A166" s="2208" t="s">
        <v>977</v>
      </c>
      <c r="B166" s="2208" t="s">
        <v>864</v>
      </c>
      <c r="C166" s="2208">
        <v>75000</v>
      </c>
      <c r="D166" s="2208">
        <v>1</v>
      </c>
      <c r="E166" s="2208">
        <f t="shared" si="5"/>
        <v>75000</v>
      </c>
    </row>
    <row r="167" spans="1:5" x14ac:dyDescent="0.2">
      <c r="A167" s="2208" t="s">
        <v>931</v>
      </c>
      <c r="B167" s="2208" t="s">
        <v>930</v>
      </c>
      <c r="C167" s="2208">
        <v>75000</v>
      </c>
      <c r="D167" s="2208">
        <v>9</v>
      </c>
      <c r="E167" s="2208">
        <f t="shared" si="5"/>
        <v>675000</v>
      </c>
    </row>
    <row r="168" spans="1:5" x14ac:dyDescent="0.2">
      <c r="A168" s="2208" t="s">
        <v>574</v>
      </c>
      <c r="B168" s="2208" t="s">
        <v>863</v>
      </c>
      <c r="C168" s="2208">
        <v>75000</v>
      </c>
      <c r="D168" s="2208">
        <v>1</v>
      </c>
      <c r="E168" s="2208">
        <f t="shared" si="5"/>
        <v>75000</v>
      </c>
    </row>
    <row r="169" spans="1:5" x14ac:dyDescent="0.2">
      <c r="A169" s="2208" t="s">
        <v>158</v>
      </c>
      <c r="B169" s="2208" t="s">
        <v>129</v>
      </c>
      <c r="C169" s="2208">
        <v>75000</v>
      </c>
      <c r="D169" s="2208">
        <v>8</v>
      </c>
      <c r="E169" s="2208">
        <f t="shared" si="5"/>
        <v>600000</v>
      </c>
    </row>
    <row r="170" spans="1:5" x14ac:dyDescent="0.2">
      <c r="A170" s="2208" t="s">
        <v>611</v>
      </c>
      <c r="B170" s="2208" t="s">
        <v>609</v>
      </c>
      <c r="C170" s="2208">
        <v>75000</v>
      </c>
      <c r="D170" s="2208">
        <v>2</v>
      </c>
      <c r="E170" s="2208">
        <f t="shared" si="5"/>
        <v>150000</v>
      </c>
    </row>
    <row r="171" spans="1:5" x14ac:dyDescent="0.2">
      <c r="A171" s="2208" t="s">
        <v>577</v>
      </c>
      <c r="B171" s="2208" t="s">
        <v>690</v>
      </c>
      <c r="C171" s="2208">
        <v>75000</v>
      </c>
      <c r="D171" s="2208">
        <v>2</v>
      </c>
      <c r="E171" s="2208">
        <f t="shared" si="5"/>
        <v>150000</v>
      </c>
    </row>
    <row r="172" spans="1:5" x14ac:dyDescent="0.2">
      <c r="A172" s="2208" t="s">
        <v>918</v>
      </c>
      <c r="B172" s="2208" t="s">
        <v>956</v>
      </c>
      <c r="C172" s="2208">
        <v>79319</v>
      </c>
      <c r="D172" s="2208">
        <v>5</v>
      </c>
      <c r="E172" s="2208">
        <f t="shared" si="5"/>
        <v>396595</v>
      </c>
    </row>
    <row r="173" spans="1:5" x14ac:dyDescent="0.2">
      <c r="A173" s="2208"/>
      <c r="B173" s="2208"/>
      <c r="C173" s="2208"/>
      <c r="D173" s="2210">
        <f>SUM(D158:D172)</f>
        <v>86</v>
      </c>
      <c r="E173" s="2208"/>
    </row>
    <row r="174" spans="1:5" x14ac:dyDescent="0.2">
      <c r="A174" s="2210" t="s">
        <v>1075</v>
      </c>
      <c r="B174" s="2208"/>
      <c r="C174" s="2208"/>
      <c r="E174" s="2208"/>
    </row>
    <row r="175" spans="1:5" x14ac:dyDescent="0.2">
      <c r="A175" s="2208" t="s">
        <v>993</v>
      </c>
      <c r="B175" s="2208" t="s">
        <v>990</v>
      </c>
      <c r="C175" s="2208">
        <v>80000</v>
      </c>
      <c r="D175" s="2208">
        <v>7</v>
      </c>
      <c r="E175" s="2208">
        <f t="shared" ref="E175:E192" si="6">C175*D175</f>
        <v>560000</v>
      </c>
    </row>
    <row r="176" spans="1:5" x14ac:dyDescent="0.2">
      <c r="A176" s="2208" t="s">
        <v>149</v>
      </c>
      <c r="B176" s="2208" t="s">
        <v>129</v>
      </c>
      <c r="C176" s="2208">
        <v>80000</v>
      </c>
      <c r="D176" s="2208">
        <v>5</v>
      </c>
      <c r="E176" s="2208">
        <f t="shared" si="6"/>
        <v>400000</v>
      </c>
    </row>
    <row r="177" spans="1:5" x14ac:dyDescent="0.2">
      <c r="A177" s="2208" t="s">
        <v>329</v>
      </c>
      <c r="B177" s="2208" t="s">
        <v>125</v>
      </c>
      <c r="C177" s="2208">
        <v>80000</v>
      </c>
      <c r="D177" s="2208">
        <v>1</v>
      </c>
      <c r="E177" s="2208">
        <f t="shared" si="6"/>
        <v>80000</v>
      </c>
    </row>
    <row r="178" spans="1:5" x14ac:dyDescent="0.2">
      <c r="A178" s="2208" t="s">
        <v>919</v>
      </c>
      <c r="B178" s="2208" t="s">
        <v>908</v>
      </c>
      <c r="C178" s="2208">
        <v>80000</v>
      </c>
      <c r="D178" s="2208">
        <v>0</v>
      </c>
      <c r="E178" s="2208">
        <f t="shared" si="6"/>
        <v>0</v>
      </c>
    </row>
    <row r="179" spans="1:5" x14ac:dyDescent="0.2">
      <c r="A179" s="2208" t="s">
        <v>475</v>
      </c>
      <c r="B179" s="2208" t="s">
        <v>471</v>
      </c>
      <c r="C179" s="2208">
        <v>80000</v>
      </c>
      <c r="D179" s="2208">
        <v>1</v>
      </c>
      <c r="E179" s="2208">
        <f t="shared" si="6"/>
        <v>80000</v>
      </c>
    </row>
    <row r="180" spans="1:5" x14ac:dyDescent="0.2">
      <c r="A180" s="2208" t="s">
        <v>765</v>
      </c>
      <c r="B180" s="2208" t="s">
        <v>766</v>
      </c>
      <c r="C180" s="2208">
        <v>80000</v>
      </c>
      <c r="D180" s="2208">
        <v>1</v>
      </c>
      <c r="E180" s="2208">
        <f t="shared" si="6"/>
        <v>80000</v>
      </c>
    </row>
    <row r="181" spans="1:5" x14ac:dyDescent="0.2">
      <c r="A181" s="2208" t="s">
        <v>152</v>
      </c>
      <c r="B181" s="2208" t="s">
        <v>125</v>
      </c>
      <c r="C181" s="2208">
        <v>80000</v>
      </c>
      <c r="D181" s="2208">
        <v>1</v>
      </c>
      <c r="E181" s="2208">
        <f t="shared" si="6"/>
        <v>80000</v>
      </c>
    </row>
    <row r="182" spans="1:5" x14ac:dyDescent="0.2">
      <c r="A182" s="2208" t="s">
        <v>327</v>
      </c>
      <c r="B182" s="2208" t="s">
        <v>129</v>
      </c>
      <c r="C182" s="2208">
        <v>80000</v>
      </c>
      <c r="D182" s="2208">
        <v>1</v>
      </c>
      <c r="E182" s="2208">
        <f t="shared" si="6"/>
        <v>80000</v>
      </c>
    </row>
    <row r="183" spans="1:5" x14ac:dyDescent="0.2">
      <c r="A183" s="2208" t="s">
        <v>572</v>
      </c>
      <c r="B183" s="2208" t="s">
        <v>569</v>
      </c>
      <c r="C183" s="2208">
        <v>80000</v>
      </c>
      <c r="D183" s="2208">
        <v>3</v>
      </c>
      <c r="E183" s="2208">
        <f t="shared" si="6"/>
        <v>240000</v>
      </c>
    </row>
    <row r="184" spans="1:5" x14ac:dyDescent="0.2">
      <c r="A184" s="2208" t="s">
        <v>920</v>
      </c>
      <c r="B184" s="2208" t="s">
        <v>908</v>
      </c>
      <c r="C184" s="2208">
        <v>82330</v>
      </c>
      <c r="D184" s="2208">
        <v>0</v>
      </c>
      <c r="E184" s="2208">
        <f t="shared" si="6"/>
        <v>0</v>
      </c>
    </row>
    <row r="185" spans="1:5" x14ac:dyDescent="0.2">
      <c r="A185" s="2208" t="s">
        <v>574</v>
      </c>
      <c r="B185" s="2208" t="s">
        <v>568</v>
      </c>
      <c r="C185" s="2208">
        <v>82500</v>
      </c>
      <c r="D185" s="2208">
        <v>3</v>
      </c>
      <c r="E185" s="2208">
        <f t="shared" si="6"/>
        <v>247500</v>
      </c>
    </row>
    <row r="186" spans="1:5" x14ac:dyDescent="0.2">
      <c r="A186" s="2208" t="s">
        <v>929</v>
      </c>
      <c r="B186" s="2208" t="s">
        <v>909</v>
      </c>
      <c r="C186" s="2208">
        <v>85000</v>
      </c>
      <c r="D186" s="2208">
        <v>30</v>
      </c>
      <c r="E186" s="2208">
        <f t="shared" si="6"/>
        <v>2550000</v>
      </c>
    </row>
    <row r="187" spans="1:5" x14ac:dyDescent="0.2">
      <c r="A187" s="2208" t="s">
        <v>648</v>
      </c>
      <c r="B187" s="2208" t="s">
        <v>930</v>
      </c>
      <c r="C187" s="2208">
        <v>85000</v>
      </c>
      <c r="D187" s="2208">
        <v>63</v>
      </c>
      <c r="E187" s="2208">
        <f t="shared" si="6"/>
        <v>5355000</v>
      </c>
    </row>
    <row r="188" spans="1:5" x14ac:dyDescent="0.2">
      <c r="A188" s="2208" t="s">
        <v>934</v>
      </c>
      <c r="B188" s="2208" t="s">
        <v>930</v>
      </c>
      <c r="C188" s="2208">
        <v>85000</v>
      </c>
      <c r="D188" s="2208">
        <v>7</v>
      </c>
      <c r="E188" s="2208">
        <f t="shared" si="6"/>
        <v>595000</v>
      </c>
    </row>
    <row r="189" spans="1:5" s="2209" customFormat="1" x14ac:dyDescent="0.2">
      <c r="A189" s="2208" t="s">
        <v>705</v>
      </c>
      <c r="B189" s="2208" t="s">
        <v>703</v>
      </c>
      <c r="C189" s="2208">
        <v>85588</v>
      </c>
      <c r="D189" s="2208">
        <v>17</v>
      </c>
      <c r="E189" s="2208">
        <f t="shared" si="6"/>
        <v>1454996</v>
      </c>
    </row>
    <row r="190" spans="1:5" s="2209" customFormat="1" x14ac:dyDescent="0.2">
      <c r="A190" s="2208" t="s">
        <v>426</v>
      </c>
      <c r="B190" s="2208" t="s">
        <v>387</v>
      </c>
      <c r="C190" s="2208">
        <v>88200</v>
      </c>
      <c r="D190" s="2208">
        <v>20</v>
      </c>
      <c r="E190" s="2208">
        <f t="shared" si="6"/>
        <v>1764000</v>
      </c>
    </row>
    <row r="191" spans="1:5" s="2209" customFormat="1" x14ac:dyDescent="0.2">
      <c r="A191" s="2208" t="s">
        <v>577</v>
      </c>
      <c r="B191" s="2208" t="s">
        <v>956</v>
      </c>
      <c r="C191" s="2208">
        <v>88611</v>
      </c>
      <c r="D191" s="2208">
        <v>6</v>
      </c>
      <c r="E191" s="2208">
        <f t="shared" si="6"/>
        <v>531666</v>
      </c>
    </row>
    <row r="192" spans="1:5" s="2209" customFormat="1" x14ac:dyDescent="0.2">
      <c r="A192" s="2208" t="s">
        <v>960</v>
      </c>
      <c r="B192" s="2208" t="s">
        <v>956</v>
      </c>
      <c r="C192" s="2208">
        <v>89708</v>
      </c>
      <c r="D192" s="2208">
        <v>-4</v>
      </c>
      <c r="E192" s="2208">
        <f t="shared" si="6"/>
        <v>-358832</v>
      </c>
    </row>
    <row r="193" spans="1:9" s="2209" customFormat="1" x14ac:dyDescent="0.2">
      <c r="A193" s="2208"/>
      <c r="B193" s="2208"/>
      <c r="C193" s="2208"/>
      <c r="D193" s="2210">
        <f>SUM(D175:D192)</f>
        <v>162</v>
      </c>
      <c r="E193" s="2208"/>
    </row>
    <row r="194" spans="1:9" s="2209" customFormat="1" x14ac:dyDescent="0.2">
      <c r="A194" s="2210" t="s">
        <v>1076</v>
      </c>
      <c r="B194" s="2208"/>
      <c r="C194" s="2208"/>
      <c r="E194" s="2208"/>
    </row>
    <row r="195" spans="1:9" x14ac:dyDescent="0.2">
      <c r="A195" s="2208" t="s">
        <v>702</v>
      </c>
      <c r="B195" s="2208" t="s">
        <v>425</v>
      </c>
      <c r="C195" s="2208">
        <v>90000</v>
      </c>
      <c r="D195" s="2208">
        <v>1</v>
      </c>
      <c r="E195" s="2208">
        <f t="shared" ref="E195:E205" si="7">C195*D195</f>
        <v>90000</v>
      </c>
    </row>
    <row r="196" spans="1:9" s="2209" customFormat="1" x14ac:dyDescent="0.2">
      <c r="A196" s="2208" t="s">
        <v>768</v>
      </c>
      <c r="B196" s="2208" t="s">
        <v>760</v>
      </c>
      <c r="C196" s="2208">
        <v>95000</v>
      </c>
      <c r="D196" s="2208">
        <v>1</v>
      </c>
      <c r="E196" s="2208">
        <f t="shared" si="7"/>
        <v>95000</v>
      </c>
    </row>
    <row r="197" spans="1:9" s="2209" customFormat="1" x14ac:dyDescent="0.2">
      <c r="A197" s="2208" t="s">
        <v>162</v>
      </c>
      <c r="B197" s="2208" t="s">
        <v>127</v>
      </c>
      <c r="C197" s="2208">
        <v>96000</v>
      </c>
      <c r="D197" s="2208">
        <v>1</v>
      </c>
      <c r="E197" s="2208">
        <f t="shared" si="7"/>
        <v>96000</v>
      </c>
    </row>
    <row r="198" spans="1:9" s="2209" customFormat="1" x14ac:dyDescent="0.2">
      <c r="A198" s="2208" t="s">
        <v>996</v>
      </c>
      <c r="B198" s="2208" t="s">
        <v>990</v>
      </c>
      <c r="C198" s="2208">
        <v>100000</v>
      </c>
      <c r="D198" s="2208">
        <v>1</v>
      </c>
      <c r="E198" s="2208">
        <f t="shared" si="7"/>
        <v>100000</v>
      </c>
    </row>
    <row r="199" spans="1:9" s="2209" customFormat="1" x14ac:dyDescent="0.2">
      <c r="A199" s="2208" t="s">
        <v>644</v>
      </c>
      <c r="B199" s="2208" t="s">
        <v>569</v>
      </c>
      <c r="C199" s="2208">
        <v>110000</v>
      </c>
      <c r="D199" s="2208">
        <v>2</v>
      </c>
      <c r="E199" s="2208">
        <f t="shared" si="7"/>
        <v>220000</v>
      </c>
    </row>
    <row r="200" spans="1:9" x14ac:dyDescent="0.2">
      <c r="A200" s="2208" t="s">
        <v>615</v>
      </c>
      <c r="B200" s="2208" t="s">
        <v>609</v>
      </c>
      <c r="C200" s="2208">
        <v>120000</v>
      </c>
      <c r="D200" s="2208">
        <v>2</v>
      </c>
      <c r="E200" s="2208">
        <f t="shared" si="7"/>
        <v>240000</v>
      </c>
    </row>
    <row r="201" spans="1:9" x14ac:dyDescent="0.2">
      <c r="A201" s="2208" t="s">
        <v>701</v>
      </c>
      <c r="B201" s="2208" t="s">
        <v>764</v>
      </c>
      <c r="C201" s="2208">
        <v>125000</v>
      </c>
      <c r="D201" s="2208">
        <v>1</v>
      </c>
      <c r="E201" s="2208">
        <f t="shared" si="7"/>
        <v>125000</v>
      </c>
    </row>
    <row r="202" spans="1:9" x14ac:dyDescent="0.2">
      <c r="A202" s="2208" t="s">
        <v>718</v>
      </c>
      <c r="B202" s="2208" t="s">
        <v>719</v>
      </c>
      <c r="C202" s="2208">
        <v>125000</v>
      </c>
      <c r="D202" s="2208">
        <v>6</v>
      </c>
      <c r="E202" s="2208">
        <f t="shared" si="7"/>
        <v>750000</v>
      </c>
    </row>
    <row r="203" spans="1:9" x14ac:dyDescent="0.2">
      <c r="A203" s="2208" t="s">
        <v>994</v>
      </c>
      <c r="B203" s="2208" t="s">
        <v>990</v>
      </c>
      <c r="C203" s="2208">
        <v>150000</v>
      </c>
      <c r="D203" s="2208">
        <v>4</v>
      </c>
      <c r="E203" s="2208">
        <f t="shared" si="7"/>
        <v>600000</v>
      </c>
    </row>
    <row r="204" spans="1:9" x14ac:dyDescent="0.2">
      <c r="A204" s="2208" t="s">
        <v>572</v>
      </c>
      <c r="B204" s="2208" t="s">
        <v>569</v>
      </c>
      <c r="C204" s="2208">
        <v>150000</v>
      </c>
      <c r="D204" s="2208">
        <v>1</v>
      </c>
      <c r="E204" s="2208">
        <f t="shared" si="7"/>
        <v>150000</v>
      </c>
    </row>
    <row r="205" spans="1:9" x14ac:dyDescent="0.2">
      <c r="A205" s="2208" t="s">
        <v>645</v>
      </c>
      <c r="B205" s="2208" t="s">
        <v>569</v>
      </c>
      <c r="C205" s="2208">
        <v>250000</v>
      </c>
      <c r="D205" s="2208">
        <v>1</v>
      </c>
      <c r="E205" s="2208">
        <f t="shared" si="7"/>
        <v>250000</v>
      </c>
    </row>
    <row r="206" spans="1:9" x14ac:dyDescent="0.2">
      <c r="A206" s="2212"/>
      <c r="D206" s="2210">
        <f>SUM(D195:D205)</f>
        <v>21</v>
      </c>
    </row>
    <row r="207" spans="1:9" x14ac:dyDescent="0.2">
      <c r="A207" s="2212"/>
      <c r="D207" s="2211"/>
    </row>
    <row r="208" spans="1:9" x14ac:dyDescent="0.2">
      <c r="A208" s="2212"/>
      <c r="C208" s="2212" t="s">
        <v>171</v>
      </c>
      <c r="D208" s="2210">
        <f>SUM(D34,D73,D107,D141,D156,D173,D193,D206)</f>
        <v>1885</v>
      </c>
      <c r="E208" s="2213"/>
      <c r="G208" s="2212"/>
      <c r="H208" s="315"/>
      <c r="I208" s="2212"/>
    </row>
    <row r="209" spans="1:9" x14ac:dyDescent="0.2">
      <c r="A209" s="2209" t="s">
        <v>1078</v>
      </c>
      <c r="C209" s="2212"/>
      <c r="D209" s="2210"/>
      <c r="E209" s="2213"/>
      <c r="G209" s="2212"/>
      <c r="H209" s="315"/>
      <c r="I209" s="2212"/>
    </row>
    <row r="210" spans="1:9" x14ac:dyDescent="0.2">
      <c r="A210" s="2212" t="s">
        <v>1079</v>
      </c>
      <c r="C210" s="2212"/>
      <c r="D210" s="2217">
        <f>D34</f>
        <v>698</v>
      </c>
      <c r="E210" s="2213"/>
      <c r="G210" s="2212"/>
      <c r="H210" s="315"/>
      <c r="I210" s="2212"/>
    </row>
    <row r="211" spans="1:9" x14ac:dyDescent="0.2">
      <c r="A211" s="2212" t="s">
        <v>1080</v>
      </c>
      <c r="C211" s="2212"/>
      <c r="D211" s="2217">
        <f>D73</f>
        <v>219</v>
      </c>
      <c r="E211" s="2213"/>
      <c r="G211" s="2212"/>
      <c r="H211" s="315"/>
      <c r="I211" s="2212"/>
    </row>
    <row r="212" spans="1:9" x14ac:dyDescent="0.2">
      <c r="A212" s="2212" t="s">
        <v>1081</v>
      </c>
      <c r="C212" s="2212"/>
      <c r="D212" s="2217">
        <f>D107</f>
        <v>246</v>
      </c>
      <c r="E212" s="2213"/>
      <c r="G212" s="2212"/>
      <c r="H212" s="315"/>
      <c r="I212" s="2212"/>
    </row>
    <row r="213" spans="1:9" x14ac:dyDescent="0.2">
      <c r="A213" s="2212" t="s">
        <v>1082</v>
      </c>
      <c r="C213" s="2212"/>
      <c r="D213" s="2217">
        <f>D141</f>
        <v>343</v>
      </c>
      <c r="E213" s="2213"/>
      <c r="G213" s="2212"/>
      <c r="H213" s="315"/>
      <c r="I213" s="2212"/>
    </row>
    <row r="214" spans="1:9" x14ac:dyDescent="0.2">
      <c r="A214" s="2212" t="s">
        <v>1083</v>
      </c>
      <c r="D214" s="2217">
        <f>D156</f>
        <v>110</v>
      </c>
      <c r="E214" s="2214"/>
      <c r="G214" s="2213"/>
    </row>
    <row r="215" spans="1:9" x14ac:dyDescent="0.2">
      <c r="A215" s="2212" t="s">
        <v>1084</v>
      </c>
      <c r="D215" s="2217">
        <f>D173</f>
        <v>86</v>
      </c>
      <c r="E215" s="2214"/>
      <c r="G215" s="2215"/>
    </row>
    <row r="216" spans="1:9" x14ac:dyDescent="0.2">
      <c r="A216" s="2212" t="s">
        <v>1085</v>
      </c>
      <c r="D216" s="2217">
        <f>D193</f>
        <v>162</v>
      </c>
      <c r="E216" s="2214"/>
      <c r="G216" s="2215"/>
    </row>
    <row r="217" spans="1:9" x14ac:dyDescent="0.2">
      <c r="A217" s="2212" t="s">
        <v>1086</v>
      </c>
      <c r="D217" s="2217">
        <f>D206</f>
        <v>21</v>
      </c>
      <c r="E217" s="2214"/>
      <c r="G217" s="2215"/>
    </row>
    <row r="218" spans="1:9" x14ac:dyDescent="0.2">
      <c r="A218" s="2209"/>
      <c r="C218" s="2205" t="s">
        <v>171</v>
      </c>
      <c r="D218" s="2218">
        <f>SUM(D210:D217)</f>
        <v>1885</v>
      </c>
      <c r="E218" s="2214"/>
    </row>
    <row r="219" spans="1:9" x14ac:dyDescent="0.2">
      <c r="A219" s="2209"/>
      <c r="D219" s="2211"/>
      <c r="E219" s="2214"/>
    </row>
    <row r="220" spans="1:9" ht="18" x14ac:dyDescent="0.25">
      <c r="A220" s="2216" t="s">
        <v>1077</v>
      </c>
    </row>
    <row r="221" spans="1:9" ht="15.75" x14ac:dyDescent="0.25">
      <c r="A221" s="2207" t="s">
        <v>140</v>
      </c>
      <c r="B221" s="2207" t="s">
        <v>143</v>
      </c>
      <c r="C221" s="2207" t="s">
        <v>141</v>
      </c>
      <c r="D221" s="2207" t="s">
        <v>35</v>
      </c>
      <c r="E221" s="2207" t="s">
        <v>142</v>
      </c>
    </row>
    <row r="222" spans="1:9" ht="15.75" x14ac:dyDescent="0.25">
      <c r="A222" s="2207"/>
      <c r="B222" s="2207"/>
      <c r="C222" s="2207"/>
      <c r="D222" s="2207"/>
      <c r="E222" s="2207"/>
    </row>
    <row r="223" spans="1:9" ht="15.75" x14ac:dyDescent="0.25">
      <c r="A223" s="2207" t="s">
        <v>1095</v>
      </c>
      <c r="B223" s="2207"/>
      <c r="C223" s="2207"/>
      <c r="D223" s="2207"/>
      <c r="E223" s="2207"/>
    </row>
    <row r="224" spans="1:9" ht="13.5" customHeight="1" x14ac:dyDescent="0.2">
      <c r="A224" s="431" t="s">
        <v>536</v>
      </c>
      <c r="B224" s="431" t="s">
        <v>531</v>
      </c>
      <c r="C224" s="39">
        <v>39750</v>
      </c>
      <c r="D224" s="39">
        <v>6</v>
      </c>
      <c r="E224" s="39">
        <f>C224*D224</f>
        <v>238500</v>
      </c>
    </row>
    <row r="225" spans="1:5" x14ac:dyDescent="0.2">
      <c r="A225" s="448" t="s">
        <v>426</v>
      </c>
      <c r="B225" s="448" t="s">
        <v>387</v>
      </c>
      <c r="C225" s="448">
        <v>88200</v>
      </c>
      <c r="D225" s="448">
        <v>20</v>
      </c>
      <c r="E225" s="448">
        <f>C225*D225</f>
        <v>1764000</v>
      </c>
    </row>
    <row r="226" spans="1:5" x14ac:dyDescent="0.2">
      <c r="A226" s="448" t="s">
        <v>324</v>
      </c>
      <c r="B226" s="448" t="s">
        <v>129</v>
      </c>
      <c r="C226" s="448">
        <v>55000</v>
      </c>
      <c r="D226" s="448">
        <v>2</v>
      </c>
      <c r="E226" s="448">
        <f>C226*D226</f>
        <v>110000</v>
      </c>
    </row>
    <row r="227" spans="1:5" x14ac:dyDescent="0.2">
      <c r="A227" s="2221" t="s">
        <v>69</v>
      </c>
      <c r="B227" s="430"/>
      <c r="C227" s="2222">
        <f>E227/D227</f>
        <v>75446.428571428565</v>
      </c>
      <c r="D227" s="430">
        <f>SUM(D224:D226)</f>
        <v>28</v>
      </c>
      <c r="E227" s="430">
        <f>SUM(E224:E226)</f>
        <v>2112500</v>
      </c>
    </row>
    <row r="228" spans="1:5" x14ac:dyDescent="0.2">
      <c r="A228" s="448"/>
      <c r="B228" s="448"/>
      <c r="C228" s="448"/>
      <c r="D228" s="448"/>
      <c r="E228" s="448"/>
    </row>
    <row r="229" spans="1:5" ht="15.75" x14ac:dyDescent="0.25">
      <c r="A229" s="2207" t="s">
        <v>1087</v>
      </c>
      <c r="B229" s="2207"/>
      <c r="C229" s="2207"/>
      <c r="D229" s="2207"/>
      <c r="E229" s="2207"/>
    </row>
    <row r="230" spans="1:5" x14ac:dyDescent="0.2">
      <c r="A230" s="431" t="s">
        <v>975</v>
      </c>
      <c r="B230" s="431" t="s">
        <v>864</v>
      </c>
      <c r="C230" s="431">
        <v>35000</v>
      </c>
      <c r="D230" s="431">
        <v>1</v>
      </c>
      <c r="E230" s="431">
        <f t="shared" ref="E230:E248" si="8">C230*D230</f>
        <v>35000</v>
      </c>
    </row>
    <row r="231" spans="1:5" x14ac:dyDescent="0.2">
      <c r="A231" s="448" t="s">
        <v>144</v>
      </c>
      <c r="B231" s="448" t="s">
        <v>124</v>
      </c>
      <c r="C231" s="448">
        <v>57000</v>
      </c>
      <c r="D231" s="448">
        <v>73</v>
      </c>
      <c r="E231" s="448">
        <f t="shared" si="8"/>
        <v>4161000</v>
      </c>
    </row>
    <row r="232" spans="1:5" x14ac:dyDescent="0.2">
      <c r="A232" s="448" t="s">
        <v>144</v>
      </c>
      <c r="B232" s="448" t="s">
        <v>125</v>
      </c>
      <c r="C232" s="448">
        <v>33280</v>
      </c>
      <c r="D232" s="448">
        <v>2</v>
      </c>
      <c r="E232" s="448">
        <f t="shared" si="8"/>
        <v>66560</v>
      </c>
    </row>
    <row r="233" spans="1:5" x14ac:dyDescent="0.2">
      <c r="A233" s="448" t="s">
        <v>144</v>
      </c>
      <c r="B233" s="431" t="s">
        <v>639</v>
      </c>
      <c r="C233" s="431">
        <v>35000</v>
      </c>
      <c r="D233" s="431">
        <v>1</v>
      </c>
      <c r="E233" s="431">
        <f t="shared" si="8"/>
        <v>35000</v>
      </c>
    </row>
    <row r="234" spans="1:5" x14ac:dyDescent="0.2">
      <c r="A234" s="431" t="s">
        <v>1017</v>
      </c>
      <c r="B234" s="431" t="s">
        <v>759</v>
      </c>
      <c r="C234" s="431">
        <v>36000</v>
      </c>
      <c r="D234" s="431">
        <v>3</v>
      </c>
      <c r="E234" s="431">
        <f t="shared" si="8"/>
        <v>108000</v>
      </c>
    </row>
    <row r="235" spans="1:5" x14ac:dyDescent="0.2">
      <c r="A235" s="448" t="s">
        <v>144</v>
      </c>
      <c r="B235" s="448" t="s">
        <v>129</v>
      </c>
      <c r="C235" s="448">
        <v>45000</v>
      </c>
      <c r="D235" s="448">
        <v>8</v>
      </c>
      <c r="E235" s="448">
        <f t="shared" si="8"/>
        <v>360000</v>
      </c>
    </row>
    <row r="236" spans="1:5" x14ac:dyDescent="0.2">
      <c r="A236" s="431" t="s">
        <v>144</v>
      </c>
      <c r="B236" s="431" t="s">
        <v>907</v>
      </c>
      <c r="C236" s="431">
        <v>56376</v>
      </c>
      <c r="D236" s="431">
        <v>21</v>
      </c>
      <c r="E236" s="431">
        <f t="shared" si="8"/>
        <v>1183896</v>
      </c>
    </row>
    <row r="237" spans="1:5" x14ac:dyDescent="0.2">
      <c r="A237" s="448" t="s">
        <v>144</v>
      </c>
      <c r="B237" s="431" t="s">
        <v>813</v>
      </c>
      <c r="C237" s="431">
        <v>54805</v>
      </c>
      <c r="D237" s="431">
        <v>5</v>
      </c>
      <c r="E237" s="431">
        <f t="shared" si="8"/>
        <v>274025</v>
      </c>
    </row>
    <row r="238" spans="1:5" x14ac:dyDescent="0.2">
      <c r="A238" s="431" t="s">
        <v>144</v>
      </c>
      <c r="B238" s="431" t="s">
        <v>703</v>
      </c>
      <c r="C238" s="431">
        <v>62625</v>
      </c>
      <c r="D238" s="431">
        <v>8</v>
      </c>
      <c r="E238" s="431">
        <f t="shared" si="8"/>
        <v>501000</v>
      </c>
    </row>
    <row r="239" spans="1:5" x14ac:dyDescent="0.2">
      <c r="A239" s="431" t="s">
        <v>144</v>
      </c>
      <c r="B239" s="431" t="s">
        <v>930</v>
      </c>
      <c r="C239" s="431">
        <v>65000</v>
      </c>
      <c r="D239" s="431">
        <v>1</v>
      </c>
      <c r="E239" s="431">
        <f t="shared" si="8"/>
        <v>65000</v>
      </c>
    </row>
    <row r="240" spans="1:5" x14ac:dyDescent="0.2">
      <c r="A240" s="431" t="s">
        <v>144</v>
      </c>
      <c r="B240" s="431" t="s">
        <v>1051</v>
      </c>
      <c r="C240" s="431">
        <v>73689</v>
      </c>
      <c r="D240" s="431">
        <v>2</v>
      </c>
      <c r="E240" s="431">
        <f t="shared" si="8"/>
        <v>147378</v>
      </c>
    </row>
    <row r="241" spans="1:5" x14ac:dyDescent="0.2">
      <c r="A241" s="448" t="s">
        <v>146</v>
      </c>
      <c r="B241" s="448" t="s">
        <v>425</v>
      </c>
      <c r="C241" s="448">
        <v>32000</v>
      </c>
      <c r="D241" s="448">
        <v>1</v>
      </c>
      <c r="E241" s="448">
        <f t="shared" si="8"/>
        <v>32000</v>
      </c>
    </row>
    <row r="242" spans="1:5" x14ac:dyDescent="0.2">
      <c r="A242" s="431" t="s">
        <v>962</v>
      </c>
      <c r="B242" s="431" t="s">
        <v>956</v>
      </c>
      <c r="C242" s="431">
        <v>53799</v>
      </c>
      <c r="D242" s="431">
        <v>15</v>
      </c>
      <c r="E242" s="431">
        <f t="shared" si="8"/>
        <v>806985</v>
      </c>
    </row>
    <row r="243" spans="1:5" x14ac:dyDescent="0.2">
      <c r="A243" s="431" t="s">
        <v>537</v>
      </c>
      <c r="B243" s="431" t="s">
        <v>531</v>
      </c>
      <c r="C243" s="431">
        <v>33875</v>
      </c>
      <c r="D243" s="431">
        <v>8</v>
      </c>
      <c r="E243" s="431">
        <f t="shared" si="8"/>
        <v>271000</v>
      </c>
    </row>
    <row r="244" spans="1:5" x14ac:dyDescent="0.2">
      <c r="A244" s="448" t="s">
        <v>474</v>
      </c>
      <c r="B244" s="448" t="s">
        <v>471</v>
      </c>
      <c r="C244" s="448">
        <v>25000</v>
      </c>
      <c r="D244" s="448">
        <v>2</v>
      </c>
      <c r="E244" s="448">
        <f t="shared" si="8"/>
        <v>50000</v>
      </c>
    </row>
    <row r="245" spans="1:5" x14ac:dyDescent="0.2">
      <c r="A245" s="448" t="s">
        <v>154</v>
      </c>
      <c r="B245" s="448" t="s">
        <v>129</v>
      </c>
      <c r="C245" s="448">
        <v>26000</v>
      </c>
      <c r="D245" s="448">
        <v>4</v>
      </c>
      <c r="E245" s="448">
        <f t="shared" si="8"/>
        <v>104000</v>
      </c>
    </row>
    <row r="246" spans="1:5" x14ac:dyDescent="0.2">
      <c r="A246" s="431" t="s">
        <v>154</v>
      </c>
      <c r="B246" s="431" t="s">
        <v>956</v>
      </c>
      <c r="C246" s="431">
        <v>41792</v>
      </c>
      <c r="D246" s="431">
        <v>4</v>
      </c>
      <c r="E246" s="431">
        <f t="shared" si="8"/>
        <v>167168</v>
      </c>
    </row>
    <row r="247" spans="1:5" x14ac:dyDescent="0.2">
      <c r="A247" s="431" t="s">
        <v>154</v>
      </c>
      <c r="B247" s="431" t="s">
        <v>703</v>
      </c>
      <c r="C247" s="431">
        <v>52846</v>
      </c>
      <c r="D247" s="431">
        <v>13</v>
      </c>
      <c r="E247" s="431">
        <f t="shared" si="8"/>
        <v>686998</v>
      </c>
    </row>
    <row r="248" spans="1:5" x14ac:dyDescent="0.2">
      <c r="A248" s="448" t="s">
        <v>207</v>
      </c>
      <c r="B248" s="448" t="s">
        <v>387</v>
      </c>
      <c r="C248" s="448">
        <v>42000</v>
      </c>
      <c r="D248" s="448">
        <v>8</v>
      </c>
      <c r="E248" s="448">
        <f t="shared" si="8"/>
        <v>336000</v>
      </c>
    </row>
    <row r="249" spans="1:5" x14ac:dyDescent="0.2">
      <c r="A249" s="2221" t="s">
        <v>69</v>
      </c>
      <c r="B249" s="430"/>
      <c r="C249" s="2222">
        <f>E249/D249</f>
        <v>52172.277777777781</v>
      </c>
      <c r="D249" s="430">
        <f>SUM(D230:D248)</f>
        <v>180</v>
      </c>
      <c r="E249" s="430">
        <f>SUM(E230:E248)</f>
        <v>9391010</v>
      </c>
    </row>
    <row r="250" spans="1:5" x14ac:dyDescent="0.2">
      <c r="A250" s="448"/>
      <c r="B250" s="448"/>
      <c r="C250" s="448"/>
      <c r="D250" s="448"/>
      <c r="E250" s="448"/>
    </row>
    <row r="251" spans="1:5" ht="15.75" x14ac:dyDescent="0.25">
      <c r="A251" s="2207" t="s">
        <v>1088</v>
      </c>
      <c r="B251" s="2207"/>
      <c r="C251" s="2207"/>
      <c r="D251" s="2207"/>
      <c r="E251" s="2207"/>
    </row>
    <row r="252" spans="1:5" x14ac:dyDescent="0.2">
      <c r="A252" s="431" t="s">
        <v>717</v>
      </c>
      <c r="B252" s="431" t="s">
        <v>690</v>
      </c>
      <c r="C252" s="39">
        <v>60000</v>
      </c>
      <c r="D252" s="39">
        <v>6</v>
      </c>
      <c r="E252" s="39">
        <f t="shared" ref="E252:E261" si="9">C252*D252</f>
        <v>360000</v>
      </c>
    </row>
    <row r="253" spans="1:5" x14ac:dyDescent="0.2">
      <c r="A253" s="431" t="s">
        <v>647</v>
      </c>
      <c r="B253" s="431" t="s">
        <v>639</v>
      </c>
      <c r="C253" s="431">
        <v>31500</v>
      </c>
      <c r="D253" s="431">
        <v>1</v>
      </c>
      <c r="E253" s="431">
        <f t="shared" si="9"/>
        <v>31500</v>
      </c>
    </row>
    <row r="254" spans="1:5" x14ac:dyDescent="0.2">
      <c r="A254" s="431" t="s">
        <v>692</v>
      </c>
      <c r="B254" s="431" t="s">
        <v>425</v>
      </c>
      <c r="C254" s="431">
        <v>30000</v>
      </c>
      <c r="D254" s="431">
        <v>1</v>
      </c>
      <c r="E254" s="431">
        <f t="shared" si="9"/>
        <v>30000</v>
      </c>
    </row>
    <row r="255" spans="1:5" x14ac:dyDescent="0.2">
      <c r="A255" s="431" t="s">
        <v>933</v>
      </c>
      <c r="B255" s="431" t="s">
        <v>930</v>
      </c>
      <c r="C255" s="431">
        <v>65000</v>
      </c>
      <c r="D255" s="431">
        <v>39</v>
      </c>
      <c r="E255" s="431">
        <f t="shared" si="9"/>
        <v>2535000</v>
      </c>
    </row>
    <row r="256" spans="1:5" x14ac:dyDescent="0.2">
      <c r="A256" s="431" t="s">
        <v>977</v>
      </c>
      <c r="B256" s="431" t="s">
        <v>864</v>
      </c>
      <c r="C256" s="431">
        <v>75000</v>
      </c>
      <c r="D256" s="431">
        <v>1</v>
      </c>
      <c r="E256" s="431">
        <f t="shared" si="9"/>
        <v>75000</v>
      </c>
    </row>
    <row r="257" spans="1:5" x14ac:dyDescent="0.2">
      <c r="A257" s="448" t="s">
        <v>329</v>
      </c>
      <c r="B257" s="448" t="s">
        <v>125</v>
      </c>
      <c r="C257" s="448">
        <v>80000</v>
      </c>
      <c r="D257" s="448">
        <v>1</v>
      </c>
      <c r="E257" s="448">
        <f t="shared" si="9"/>
        <v>80000</v>
      </c>
    </row>
    <row r="258" spans="1:5" x14ac:dyDescent="0.2">
      <c r="A258" s="431" t="s">
        <v>931</v>
      </c>
      <c r="B258" s="431" t="s">
        <v>930</v>
      </c>
      <c r="C258" s="431">
        <v>75000</v>
      </c>
      <c r="D258" s="431">
        <v>9</v>
      </c>
      <c r="E258" s="431">
        <f t="shared" si="9"/>
        <v>675000</v>
      </c>
    </row>
    <row r="259" spans="1:5" x14ac:dyDescent="0.2">
      <c r="A259" s="431" t="s">
        <v>934</v>
      </c>
      <c r="B259" s="431" t="s">
        <v>930</v>
      </c>
      <c r="C259" s="431">
        <v>85000</v>
      </c>
      <c r="D259" s="431">
        <v>7</v>
      </c>
      <c r="E259" s="431">
        <f t="shared" si="9"/>
        <v>595000</v>
      </c>
    </row>
    <row r="260" spans="1:5" x14ac:dyDescent="0.2">
      <c r="A260" s="431" t="s">
        <v>1010</v>
      </c>
      <c r="B260" s="431" t="s">
        <v>908</v>
      </c>
      <c r="C260" s="431">
        <v>50000</v>
      </c>
      <c r="D260" s="431">
        <v>1</v>
      </c>
      <c r="E260" s="431">
        <f t="shared" si="9"/>
        <v>50000</v>
      </c>
    </row>
    <row r="261" spans="1:5" x14ac:dyDescent="0.2">
      <c r="A261" s="431" t="s">
        <v>932</v>
      </c>
      <c r="B261" s="431" t="s">
        <v>930</v>
      </c>
      <c r="C261" s="431">
        <v>65000</v>
      </c>
      <c r="D261" s="431">
        <v>4</v>
      </c>
      <c r="E261" s="431">
        <f t="shared" si="9"/>
        <v>260000</v>
      </c>
    </row>
    <row r="262" spans="1:5" x14ac:dyDescent="0.2">
      <c r="A262" s="2221" t="s">
        <v>69</v>
      </c>
      <c r="B262" s="430"/>
      <c r="C262" s="2222">
        <f>E262/D262</f>
        <v>67021.428571428565</v>
      </c>
      <c r="D262" s="430">
        <f>SUM(D252:D261)</f>
        <v>70</v>
      </c>
      <c r="E262" s="430">
        <f>SUM(E252:E261)</f>
        <v>4691500</v>
      </c>
    </row>
    <row r="263" spans="1:5" x14ac:dyDescent="0.2">
      <c r="A263" s="448"/>
      <c r="B263" s="448"/>
      <c r="C263" s="448"/>
      <c r="D263" s="448"/>
      <c r="E263" s="448"/>
    </row>
    <row r="264" spans="1:5" ht="15.75" x14ac:dyDescent="0.25">
      <c r="A264" s="2207" t="s">
        <v>1093</v>
      </c>
      <c r="B264" s="2207"/>
      <c r="C264" s="2207"/>
      <c r="D264" s="2207"/>
      <c r="E264" s="2207"/>
    </row>
    <row r="265" spans="1:5" x14ac:dyDescent="0.2">
      <c r="A265" s="431" t="s">
        <v>771</v>
      </c>
      <c r="B265" s="431" t="s">
        <v>766</v>
      </c>
      <c r="C265" s="39">
        <v>46000</v>
      </c>
      <c r="D265" s="431">
        <v>1</v>
      </c>
      <c r="E265" s="39">
        <f t="shared" ref="E265:E271" si="10">C265*D265</f>
        <v>46000</v>
      </c>
    </row>
    <row r="266" spans="1:5" x14ac:dyDescent="0.2">
      <c r="A266" s="431" t="s">
        <v>991</v>
      </c>
      <c r="B266" s="431" t="s">
        <v>990</v>
      </c>
      <c r="C266" s="431">
        <v>60000</v>
      </c>
      <c r="D266" s="431">
        <v>19</v>
      </c>
      <c r="E266" s="431">
        <f t="shared" si="10"/>
        <v>1140000</v>
      </c>
    </row>
    <row r="267" spans="1:5" x14ac:dyDescent="0.2">
      <c r="A267" s="448" t="s">
        <v>167</v>
      </c>
      <c r="B267" s="448" t="s">
        <v>127</v>
      </c>
      <c r="C267" s="448">
        <v>40000</v>
      </c>
      <c r="D267" s="448">
        <v>6</v>
      </c>
      <c r="E267" s="448">
        <f t="shared" si="10"/>
        <v>240000</v>
      </c>
    </row>
    <row r="268" spans="1:5" x14ac:dyDescent="0.2">
      <c r="A268" s="448" t="s">
        <v>157</v>
      </c>
      <c r="B268" s="448" t="s">
        <v>129</v>
      </c>
      <c r="C268" s="448">
        <v>27000</v>
      </c>
      <c r="D268" s="448">
        <v>13</v>
      </c>
      <c r="E268" s="448">
        <f t="shared" si="10"/>
        <v>351000</v>
      </c>
    </row>
    <row r="269" spans="1:5" x14ac:dyDescent="0.2">
      <c r="A269" s="431" t="s">
        <v>157</v>
      </c>
      <c r="B269" s="431" t="s">
        <v>908</v>
      </c>
      <c r="C269" s="431">
        <v>27000</v>
      </c>
      <c r="D269" s="431">
        <v>3</v>
      </c>
      <c r="E269" s="431">
        <f t="shared" si="10"/>
        <v>81000</v>
      </c>
    </row>
    <row r="270" spans="1:5" x14ac:dyDescent="0.2">
      <c r="A270" s="431" t="s">
        <v>576</v>
      </c>
      <c r="B270" s="431" t="s">
        <v>568</v>
      </c>
      <c r="C270" s="431">
        <v>40000</v>
      </c>
      <c r="D270" s="431">
        <v>3</v>
      </c>
      <c r="E270" s="431">
        <f t="shared" si="10"/>
        <v>120000</v>
      </c>
    </row>
    <row r="271" spans="1:5" x14ac:dyDescent="0.2">
      <c r="A271" s="431" t="s">
        <v>698</v>
      </c>
      <c r="B271" s="431" t="s">
        <v>425</v>
      </c>
      <c r="C271" s="431">
        <v>35000</v>
      </c>
      <c r="D271" s="431">
        <v>1</v>
      </c>
      <c r="E271" s="431">
        <f t="shared" si="10"/>
        <v>35000</v>
      </c>
    </row>
    <row r="272" spans="1:5" x14ac:dyDescent="0.2">
      <c r="A272" s="2219" t="s">
        <v>69</v>
      </c>
      <c r="B272" s="431"/>
      <c r="C272" s="2222">
        <f>E272/D272</f>
        <v>43760.869565217392</v>
      </c>
      <c r="D272" s="431">
        <f>SUM(D265:D271)</f>
        <v>46</v>
      </c>
      <c r="E272" s="431">
        <f>SUM(E265:E271)</f>
        <v>2013000</v>
      </c>
    </row>
    <row r="273" spans="1:5" x14ac:dyDescent="0.2">
      <c r="A273" s="431"/>
      <c r="B273" s="431"/>
      <c r="C273" s="431"/>
      <c r="D273" s="431"/>
      <c r="E273" s="431"/>
    </row>
    <row r="274" spans="1:5" ht="15.75" x14ac:dyDescent="0.25">
      <c r="A274" s="2207" t="s">
        <v>918</v>
      </c>
      <c r="B274" s="2207"/>
      <c r="C274" s="2207"/>
      <c r="D274" s="2207"/>
      <c r="E274" s="2207"/>
    </row>
    <row r="275" spans="1:5" x14ac:dyDescent="0.2">
      <c r="A275" s="431" t="s">
        <v>149</v>
      </c>
      <c r="B275" s="431" t="s">
        <v>690</v>
      </c>
      <c r="C275" s="431">
        <v>75000</v>
      </c>
      <c r="D275" s="431">
        <v>8</v>
      </c>
      <c r="E275" s="431">
        <f t="shared" ref="E275:E286" si="11">C275*D275</f>
        <v>600000</v>
      </c>
    </row>
    <row r="276" spans="1:5" x14ac:dyDescent="0.2">
      <c r="A276" s="448" t="s">
        <v>149</v>
      </c>
      <c r="B276" s="448" t="s">
        <v>129</v>
      </c>
      <c r="C276" s="448">
        <v>80000</v>
      </c>
      <c r="D276" s="448">
        <v>5</v>
      </c>
      <c r="E276" s="448">
        <f t="shared" si="11"/>
        <v>400000</v>
      </c>
    </row>
    <row r="277" spans="1:5" x14ac:dyDescent="0.2">
      <c r="A277" s="431" t="s">
        <v>929</v>
      </c>
      <c r="B277" s="431" t="s">
        <v>909</v>
      </c>
      <c r="C277" s="431">
        <v>85000</v>
      </c>
      <c r="D277" s="431">
        <v>30</v>
      </c>
      <c r="E277" s="431">
        <f t="shared" si="11"/>
        <v>2550000</v>
      </c>
    </row>
    <row r="278" spans="1:5" x14ac:dyDescent="0.2">
      <c r="A278" s="431" t="s">
        <v>918</v>
      </c>
      <c r="B278" s="431" t="s">
        <v>1051</v>
      </c>
      <c r="C278" s="431">
        <v>56929</v>
      </c>
      <c r="D278" s="431">
        <v>4</v>
      </c>
      <c r="E278" s="431">
        <f t="shared" si="11"/>
        <v>227716</v>
      </c>
    </row>
    <row r="279" spans="1:5" x14ac:dyDescent="0.2">
      <c r="A279" s="431" t="s">
        <v>1056</v>
      </c>
      <c r="B279" s="431" t="s">
        <v>1051</v>
      </c>
      <c r="C279" s="431">
        <v>70000</v>
      </c>
      <c r="D279" s="431">
        <v>22</v>
      </c>
      <c r="E279" s="431">
        <f t="shared" si="11"/>
        <v>1540000</v>
      </c>
    </row>
    <row r="280" spans="1:5" x14ac:dyDescent="0.2">
      <c r="A280" s="431" t="s">
        <v>918</v>
      </c>
      <c r="B280" s="431" t="s">
        <v>956</v>
      </c>
      <c r="C280" s="431">
        <v>79319</v>
      </c>
      <c r="D280" s="431">
        <v>5</v>
      </c>
      <c r="E280" s="431">
        <f t="shared" si="11"/>
        <v>396595</v>
      </c>
    </row>
    <row r="281" spans="1:5" x14ac:dyDescent="0.2">
      <c r="A281" s="431" t="s">
        <v>918</v>
      </c>
      <c r="B281" s="431" t="s">
        <v>907</v>
      </c>
      <c r="C281" s="431">
        <v>71241</v>
      </c>
      <c r="D281" s="431">
        <v>5</v>
      </c>
      <c r="E281" s="431">
        <f t="shared" si="11"/>
        <v>356205</v>
      </c>
    </row>
    <row r="282" spans="1:5" x14ac:dyDescent="0.2">
      <c r="A282" s="448" t="s">
        <v>163</v>
      </c>
      <c r="B282" s="448" t="s">
        <v>127</v>
      </c>
      <c r="C282" s="448">
        <v>55000</v>
      </c>
      <c r="D282" s="448">
        <v>2</v>
      </c>
      <c r="E282" s="448">
        <f t="shared" si="11"/>
        <v>110000</v>
      </c>
    </row>
    <row r="283" spans="1:5" x14ac:dyDescent="0.2">
      <c r="A283" s="448" t="s">
        <v>475</v>
      </c>
      <c r="B283" s="448" t="s">
        <v>471</v>
      </c>
      <c r="C283" s="448">
        <v>80000</v>
      </c>
      <c r="D283" s="448">
        <v>1</v>
      </c>
      <c r="E283" s="448">
        <f t="shared" si="11"/>
        <v>80000</v>
      </c>
    </row>
    <row r="284" spans="1:5" x14ac:dyDescent="0.2">
      <c r="A284" s="431" t="s">
        <v>573</v>
      </c>
      <c r="B284" s="431" t="s">
        <v>569</v>
      </c>
      <c r="C284" s="431">
        <v>50000</v>
      </c>
      <c r="D284" s="431">
        <v>13</v>
      </c>
      <c r="E284" s="431">
        <f t="shared" si="11"/>
        <v>650000</v>
      </c>
    </row>
    <row r="285" spans="1:5" x14ac:dyDescent="0.2">
      <c r="A285" s="431" t="s">
        <v>572</v>
      </c>
      <c r="B285" s="431" t="s">
        <v>569</v>
      </c>
      <c r="C285" s="431">
        <v>150000</v>
      </c>
      <c r="D285" s="431">
        <v>1</v>
      </c>
      <c r="E285" s="431">
        <f t="shared" si="11"/>
        <v>150000</v>
      </c>
    </row>
    <row r="286" spans="1:5" x14ac:dyDescent="0.2">
      <c r="A286" s="431" t="s">
        <v>572</v>
      </c>
      <c r="B286" s="431" t="s">
        <v>569</v>
      </c>
      <c r="C286" s="431">
        <v>80000</v>
      </c>
      <c r="D286" s="431">
        <v>3</v>
      </c>
      <c r="E286" s="431">
        <f t="shared" si="11"/>
        <v>240000</v>
      </c>
    </row>
    <row r="287" spans="1:5" x14ac:dyDescent="0.2">
      <c r="A287" s="2221" t="s">
        <v>69</v>
      </c>
      <c r="B287" s="430"/>
      <c r="C287" s="2222">
        <f>E287/D287</f>
        <v>73742.585858585851</v>
      </c>
      <c r="D287" s="430">
        <f>SUM(D275:D286)</f>
        <v>99</v>
      </c>
      <c r="E287" s="430">
        <f>SUM(E275:E286)</f>
        <v>7300516</v>
      </c>
    </row>
    <row r="288" spans="1:5" x14ac:dyDescent="0.2">
      <c r="A288" s="448"/>
      <c r="B288" s="448"/>
      <c r="C288" s="448"/>
      <c r="D288" s="448"/>
      <c r="E288" s="448"/>
    </row>
    <row r="289" spans="1:5" ht="15.75" x14ac:dyDescent="0.25">
      <c r="A289" s="2207" t="s">
        <v>1089</v>
      </c>
      <c r="B289" s="2207"/>
      <c r="C289" s="2207"/>
      <c r="D289" s="2207"/>
      <c r="E289" s="2207"/>
    </row>
    <row r="290" spans="1:5" x14ac:dyDescent="0.2">
      <c r="A290" s="448" t="s">
        <v>170</v>
      </c>
      <c r="B290" s="448" t="s">
        <v>128</v>
      </c>
      <c r="C290" s="448">
        <v>35000</v>
      </c>
      <c r="D290" s="448">
        <v>1</v>
      </c>
      <c r="E290" s="448">
        <f t="shared" ref="E290:E305" si="12">C290*D290</f>
        <v>35000</v>
      </c>
    </row>
    <row r="291" spans="1:5" x14ac:dyDescent="0.2">
      <c r="A291" s="431" t="s">
        <v>993</v>
      </c>
      <c r="B291" s="431" t="s">
        <v>990</v>
      </c>
      <c r="C291" s="431">
        <v>80000</v>
      </c>
      <c r="D291" s="431">
        <v>7</v>
      </c>
      <c r="E291" s="431">
        <f t="shared" si="12"/>
        <v>560000</v>
      </c>
    </row>
    <row r="292" spans="1:5" x14ac:dyDescent="0.2">
      <c r="A292" s="431" t="s">
        <v>992</v>
      </c>
      <c r="B292" s="431" t="s">
        <v>990</v>
      </c>
      <c r="C292" s="431">
        <v>75000</v>
      </c>
      <c r="D292" s="431">
        <v>18</v>
      </c>
      <c r="E292" s="431">
        <f t="shared" si="12"/>
        <v>1350000</v>
      </c>
    </row>
    <row r="293" spans="1:5" x14ac:dyDescent="0.2">
      <c r="A293" s="448" t="s">
        <v>472</v>
      </c>
      <c r="B293" s="448" t="s">
        <v>471</v>
      </c>
      <c r="C293" s="448">
        <v>50000</v>
      </c>
      <c r="D293" s="448">
        <v>3</v>
      </c>
      <c r="E293" s="448">
        <f t="shared" si="12"/>
        <v>150000</v>
      </c>
    </row>
    <row r="294" spans="1:5" x14ac:dyDescent="0.2">
      <c r="A294" s="431" t="s">
        <v>996</v>
      </c>
      <c r="B294" s="431" t="s">
        <v>990</v>
      </c>
      <c r="C294" s="431">
        <v>100000</v>
      </c>
      <c r="D294" s="431">
        <v>1</v>
      </c>
      <c r="E294" s="431">
        <f t="shared" si="12"/>
        <v>100000</v>
      </c>
    </row>
    <row r="295" spans="1:5" x14ac:dyDescent="0.2">
      <c r="A295" s="431" t="s">
        <v>648</v>
      </c>
      <c r="B295" s="431" t="s">
        <v>930</v>
      </c>
      <c r="C295" s="431">
        <v>85000</v>
      </c>
      <c r="D295" s="431">
        <v>63</v>
      </c>
      <c r="E295" s="431">
        <f t="shared" si="12"/>
        <v>5355000</v>
      </c>
    </row>
    <row r="296" spans="1:5" x14ac:dyDescent="0.2">
      <c r="A296" s="431" t="s">
        <v>648</v>
      </c>
      <c r="B296" s="431" t="s">
        <v>639</v>
      </c>
      <c r="C296" s="431">
        <v>50000</v>
      </c>
      <c r="D296" s="431">
        <v>1</v>
      </c>
      <c r="E296" s="431">
        <f t="shared" si="12"/>
        <v>50000</v>
      </c>
    </row>
    <row r="297" spans="1:5" x14ac:dyDescent="0.2">
      <c r="A297" s="431" t="s">
        <v>923</v>
      </c>
      <c r="B297" s="431" t="s">
        <v>908</v>
      </c>
      <c r="C297" s="431">
        <v>37000</v>
      </c>
      <c r="D297" s="431">
        <v>1</v>
      </c>
      <c r="E297" s="431">
        <f t="shared" si="12"/>
        <v>37000</v>
      </c>
    </row>
    <row r="298" spans="1:5" x14ac:dyDescent="0.2">
      <c r="A298" s="448" t="s">
        <v>473</v>
      </c>
      <c r="B298" s="448" t="s">
        <v>471</v>
      </c>
      <c r="C298" s="448">
        <v>50000</v>
      </c>
      <c r="D298" s="448">
        <v>4</v>
      </c>
      <c r="E298" s="448">
        <f t="shared" si="12"/>
        <v>200000</v>
      </c>
    </row>
    <row r="299" spans="1:5" x14ac:dyDescent="0.2">
      <c r="A299" s="431" t="s">
        <v>917</v>
      </c>
      <c r="B299" s="431" t="s">
        <v>568</v>
      </c>
      <c r="C299" s="431">
        <v>41000</v>
      </c>
      <c r="D299" s="431">
        <v>3</v>
      </c>
      <c r="E299" s="431">
        <f t="shared" si="12"/>
        <v>123000</v>
      </c>
    </row>
    <row r="300" spans="1:5" x14ac:dyDescent="0.2">
      <c r="A300" s="431" t="s">
        <v>649</v>
      </c>
      <c r="B300" s="431" t="s">
        <v>639</v>
      </c>
      <c r="C300" s="431">
        <v>40000</v>
      </c>
      <c r="D300" s="431">
        <v>2</v>
      </c>
      <c r="E300" s="431">
        <f t="shared" si="12"/>
        <v>80000</v>
      </c>
    </row>
    <row r="301" spans="1:5" x14ac:dyDescent="0.2">
      <c r="A301" s="431" t="s">
        <v>650</v>
      </c>
      <c r="B301" s="431" t="s">
        <v>639</v>
      </c>
      <c r="C301" s="431">
        <v>50000</v>
      </c>
      <c r="D301" s="431">
        <v>1</v>
      </c>
      <c r="E301" s="431">
        <f t="shared" si="12"/>
        <v>50000</v>
      </c>
    </row>
    <row r="302" spans="1:5" x14ac:dyDescent="0.2">
      <c r="A302" s="448" t="s">
        <v>158</v>
      </c>
      <c r="B302" s="448" t="s">
        <v>129</v>
      </c>
      <c r="C302" s="448">
        <v>75000</v>
      </c>
      <c r="D302" s="448">
        <v>8</v>
      </c>
      <c r="E302" s="448">
        <f t="shared" si="12"/>
        <v>600000</v>
      </c>
    </row>
    <row r="303" spans="1:5" x14ac:dyDescent="0.2">
      <c r="A303" s="431" t="s">
        <v>960</v>
      </c>
      <c r="B303" s="431" t="s">
        <v>956</v>
      </c>
      <c r="C303" s="431">
        <v>89708</v>
      </c>
      <c r="D303" s="431">
        <v>-4</v>
      </c>
      <c r="E303" s="431">
        <f t="shared" si="12"/>
        <v>-358832</v>
      </c>
    </row>
    <row r="304" spans="1:5" x14ac:dyDescent="0.2">
      <c r="A304" s="431" t="s">
        <v>571</v>
      </c>
      <c r="B304" s="431" t="s">
        <v>569</v>
      </c>
      <c r="C304" s="431">
        <v>40000</v>
      </c>
      <c r="D304" s="431">
        <v>5</v>
      </c>
      <c r="E304" s="431">
        <f t="shared" si="12"/>
        <v>200000</v>
      </c>
    </row>
    <row r="305" spans="1:5" x14ac:dyDescent="0.2">
      <c r="A305" s="431" t="s">
        <v>613</v>
      </c>
      <c r="B305" s="431" t="s">
        <v>609</v>
      </c>
      <c r="C305" s="431">
        <v>60000</v>
      </c>
      <c r="D305" s="431">
        <v>5</v>
      </c>
      <c r="E305" s="431">
        <f t="shared" si="12"/>
        <v>300000</v>
      </c>
    </row>
    <row r="306" spans="1:5" x14ac:dyDescent="0.2">
      <c r="A306" s="2221" t="s">
        <v>69</v>
      </c>
      <c r="B306" s="430"/>
      <c r="C306" s="2222">
        <f>E306/D306</f>
        <v>74211.495798319331</v>
      </c>
      <c r="D306" s="430">
        <f>SUM(D290:D305)</f>
        <v>119</v>
      </c>
      <c r="E306" s="430">
        <f>SUM(E290:E305)</f>
        <v>8831168</v>
      </c>
    </row>
    <row r="307" spans="1:5" x14ac:dyDescent="0.2">
      <c r="A307" s="431"/>
      <c r="B307" s="431"/>
      <c r="C307" s="431"/>
      <c r="D307" s="431"/>
      <c r="E307" s="431"/>
    </row>
    <row r="308" spans="1:5" ht="15.75" x14ac:dyDescent="0.25">
      <c r="A308" s="2207" t="s">
        <v>1090</v>
      </c>
      <c r="B308" s="2207"/>
      <c r="C308" s="2207"/>
      <c r="D308" s="2207"/>
      <c r="E308" s="2207"/>
    </row>
    <row r="309" spans="1:5" x14ac:dyDescent="0.2">
      <c r="A309" s="431" t="s">
        <v>575</v>
      </c>
      <c r="B309" s="431" t="s">
        <v>568</v>
      </c>
      <c r="C309" s="431">
        <v>55000</v>
      </c>
      <c r="D309" s="431">
        <v>1</v>
      </c>
      <c r="E309" s="431">
        <f t="shared" ref="E309:E343" si="13">C309*D309</f>
        <v>55000</v>
      </c>
    </row>
    <row r="310" spans="1:5" x14ac:dyDescent="0.2">
      <c r="A310" s="431" t="s">
        <v>645</v>
      </c>
      <c r="B310" s="431" t="s">
        <v>569</v>
      </c>
      <c r="C310" s="431">
        <v>250000</v>
      </c>
      <c r="D310" s="431">
        <v>1</v>
      </c>
      <c r="E310" s="431">
        <f t="shared" si="13"/>
        <v>250000</v>
      </c>
    </row>
    <row r="311" spans="1:5" x14ac:dyDescent="0.2">
      <c r="A311" s="431" t="s">
        <v>701</v>
      </c>
      <c r="B311" s="431" t="s">
        <v>425</v>
      </c>
      <c r="C311" s="431">
        <v>70000</v>
      </c>
      <c r="D311" s="431">
        <v>1</v>
      </c>
      <c r="E311" s="431">
        <f t="shared" si="13"/>
        <v>70000</v>
      </c>
    </row>
    <row r="312" spans="1:5" x14ac:dyDescent="0.2">
      <c r="A312" s="431" t="s">
        <v>701</v>
      </c>
      <c r="B312" s="431" t="s">
        <v>764</v>
      </c>
      <c r="C312" s="431">
        <v>125000</v>
      </c>
      <c r="D312" s="431">
        <v>1</v>
      </c>
      <c r="E312" s="431">
        <f t="shared" si="13"/>
        <v>125000</v>
      </c>
    </row>
    <row r="313" spans="1:5" x14ac:dyDescent="0.2">
      <c r="A313" s="431" t="s">
        <v>535</v>
      </c>
      <c r="B313" s="431" t="s">
        <v>531</v>
      </c>
      <c r="C313" s="431">
        <v>67794</v>
      </c>
      <c r="D313" s="431">
        <v>7</v>
      </c>
      <c r="E313" s="431">
        <f t="shared" si="13"/>
        <v>474558</v>
      </c>
    </row>
    <row r="314" spans="1:5" x14ac:dyDescent="0.2">
      <c r="A314" s="431" t="s">
        <v>994</v>
      </c>
      <c r="B314" s="431" t="s">
        <v>990</v>
      </c>
      <c r="C314" s="431">
        <v>150000</v>
      </c>
      <c r="D314" s="431">
        <v>4</v>
      </c>
      <c r="E314" s="431">
        <f t="shared" si="13"/>
        <v>600000</v>
      </c>
    </row>
    <row r="315" spans="1:5" x14ac:dyDescent="0.2">
      <c r="A315" s="448" t="s">
        <v>325</v>
      </c>
      <c r="B315" s="448" t="s">
        <v>129</v>
      </c>
      <c r="C315" s="448">
        <v>45000</v>
      </c>
      <c r="D315" s="448">
        <v>8</v>
      </c>
      <c r="E315" s="448">
        <f t="shared" si="13"/>
        <v>360000</v>
      </c>
    </row>
    <row r="316" spans="1:5" x14ac:dyDescent="0.2">
      <c r="A316" s="431" t="s">
        <v>533</v>
      </c>
      <c r="B316" s="431" t="s">
        <v>531</v>
      </c>
      <c r="C316" s="431">
        <v>39399</v>
      </c>
      <c r="D316" s="431">
        <v>2</v>
      </c>
      <c r="E316" s="431">
        <f t="shared" si="13"/>
        <v>78798</v>
      </c>
    </row>
    <row r="317" spans="1:5" x14ac:dyDescent="0.2">
      <c r="A317" s="431" t="s">
        <v>693</v>
      </c>
      <c r="B317" s="431" t="s">
        <v>425</v>
      </c>
      <c r="C317" s="431">
        <v>45000</v>
      </c>
      <c r="D317" s="431">
        <v>1</v>
      </c>
      <c r="E317" s="431">
        <f t="shared" si="13"/>
        <v>45000</v>
      </c>
    </row>
    <row r="318" spans="1:5" x14ac:dyDescent="0.2">
      <c r="A318" s="431" t="s">
        <v>818</v>
      </c>
      <c r="B318" s="431" t="s">
        <v>815</v>
      </c>
      <c r="C318" s="431">
        <v>36400</v>
      </c>
      <c r="D318" s="431">
        <v>2</v>
      </c>
      <c r="E318" s="431">
        <f t="shared" si="13"/>
        <v>72800</v>
      </c>
    </row>
    <row r="319" spans="1:5" x14ac:dyDescent="0.2">
      <c r="A319" s="431" t="s">
        <v>922</v>
      </c>
      <c r="B319" s="431" t="s">
        <v>908</v>
      </c>
      <c r="C319" s="431">
        <v>70000</v>
      </c>
      <c r="D319" s="431">
        <v>1</v>
      </c>
      <c r="E319" s="431">
        <f t="shared" si="13"/>
        <v>70000</v>
      </c>
    </row>
    <row r="320" spans="1:5" x14ac:dyDescent="0.2">
      <c r="A320" s="448" t="s">
        <v>326</v>
      </c>
      <c r="B320" s="448" t="s">
        <v>129</v>
      </c>
      <c r="C320" s="448">
        <v>50000</v>
      </c>
      <c r="D320" s="448">
        <v>4</v>
      </c>
      <c r="E320" s="448">
        <f t="shared" si="13"/>
        <v>200000</v>
      </c>
    </row>
    <row r="321" spans="1:5" x14ac:dyDescent="0.2">
      <c r="A321" s="431" t="s">
        <v>763</v>
      </c>
      <c r="B321" s="431" t="s">
        <v>759</v>
      </c>
      <c r="C321" s="431">
        <v>50000</v>
      </c>
      <c r="D321" s="431">
        <v>2</v>
      </c>
      <c r="E321" s="431">
        <f t="shared" si="13"/>
        <v>100000</v>
      </c>
    </row>
    <row r="322" spans="1:5" x14ac:dyDescent="0.2">
      <c r="A322" s="431" t="s">
        <v>697</v>
      </c>
      <c r="B322" s="448" t="s">
        <v>425</v>
      </c>
      <c r="C322" s="448">
        <v>60000</v>
      </c>
      <c r="D322" s="448">
        <v>1</v>
      </c>
      <c r="E322" s="448">
        <f t="shared" si="13"/>
        <v>60000</v>
      </c>
    </row>
    <row r="323" spans="1:5" x14ac:dyDescent="0.2">
      <c r="A323" s="431" t="s">
        <v>920</v>
      </c>
      <c r="B323" s="431" t="s">
        <v>908</v>
      </c>
      <c r="C323" s="431">
        <v>82330</v>
      </c>
      <c r="D323" s="431">
        <v>0</v>
      </c>
      <c r="E323" s="431">
        <f t="shared" si="13"/>
        <v>0</v>
      </c>
    </row>
    <row r="324" spans="1:5" x14ac:dyDescent="0.2">
      <c r="A324" s="431" t="s">
        <v>921</v>
      </c>
      <c r="B324" s="431" t="s">
        <v>908</v>
      </c>
      <c r="C324" s="431">
        <v>70000</v>
      </c>
      <c r="D324" s="431">
        <v>1</v>
      </c>
      <c r="E324" s="431">
        <f t="shared" si="13"/>
        <v>70000</v>
      </c>
    </row>
    <row r="325" spans="1:5" x14ac:dyDescent="0.2">
      <c r="A325" s="431" t="s">
        <v>718</v>
      </c>
      <c r="B325" s="431" t="s">
        <v>719</v>
      </c>
      <c r="C325" s="431">
        <v>125000</v>
      </c>
      <c r="D325" s="431">
        <v>6</v>
      </c>
      <c r="E325" s="431">
        <f t="shared" si="13"/>
        <v>750000</v>
      </c>
    </row>
    <row r="326" spans="1:5" x14ac:dyDescent="0.2">
      <c r="A326" s="431" t="s">
        <v>644</v>
      </c>
      <c r="B326" s="431" t="s">
        <v>569</v>
      </c>
      <c r="C326" s="431">
        <v>110000</v>
      </c>
      <c r="D326" s="431">
        <v>2</v>
      </c>
      <c r="E326" s="431">
        <f t="shared" si="13"/>
        <v>220000</v>
      </c>
    </row>
    <row r="327" spans="1:5" x14ac:dyDescent="0.2">
      <c r="A327" s="431" t="s">
        <v>574</v>
      </c>
      <c r="B327" s="431" t="s">
        <v>568</v>
      </c>
      <c r="C327" s="431">
        <v>82500</v>
      </c>
      <c r="D327" s="431">
        <v>3</v>
      </c>
      <c r="E327" s="431">
        <f t="shared" si="13"/>
        <v>247500</v>
      </c>
    </row>
    <row r="328" spans="1:5" x14ac:dyDescent="0.2">
      <c r="A328" s="431" t="s">
        <v>574</v>
      </c>
      <c r="B328" s="431" t="s">
        <v>863</v>
      </c>
      <c r="C328" s="431">
        <v>75000</v>
      </c>
      <c r="D328" s="431">
        <v>1</v>
      </c>
      <c r="E328" s="431">
        <f t="shared" si="13"/>
        <v>75000</v>
      </c>
    </row>
    <row r="329" spans="1:5" x14ac:dyDescent="0.2">
      <c r="A329" s="431" t="s">
        <v>702</v>
      </c>
      <c r="B329" s="431" t="s">
        <v>425</v>
      </c>
      <c r="C329" s="431">
        <v>90000</v>
      </c>
      <c r="D329" s="431">
        <v>1</v>
      </c>
      <c r="E329" s="431">
        <f t="shared" si="13"/>
        <v>90000</v>
      </c>
    </row>
    <row r="330" spans="1:5" x14ac:dyDescent="0.2">
      <c r="A330" s="431" t="s">
        <v>767</v>
      </c>
      <c r="B330" s="431" t="s">
        <v>766</v>
      </c>
      <c r="C330" s="431">
        <v>45000</v>
      </c>
      <c r="D330" s="431">
        <v>1</v>
      </c>
      <c r="E330" s="431">
        <f t="shared" si="13"/>
        <v>45000</v>
      </c>
    </row>
    <row r="331" spans="1:5" x14ac:dyDescent="0.2">
      <c r="A331" s="431" t="s">
        <v>768</v>
      </c>
      <c r="B331" s="431" t="s">
        <v>760</v>
      </c>
      <c r="C331" s="431">
        <v>95000</v>
      </c>
      <c r="D331" s="431">
        <v>1</v>
      </c>
      <c r="E331" s="431">
        <f t="shared" si="13"/>
        <v>95000</v>
      </c>
    </row>
    <row r="332" spans="1:5" x14ac:dyDescent="0.2">
      <c r="A332" s="448" t="s">
        <v>428</v>
      </c>
      <c r="B332" s="448" t="s">
        <v>425</v>
      </c>
      <c r="C332" s="448">
        <v>40000</v>
      </c>
      <c r="D332" s="448">
        <v>1</v>
      </c>
      <c r="E332" s="448">
        <f t="shared" si="13"/>
        <v>40000</v>
      </c>
    </row>
    <row r="333" spans="1:5" x14ac:dyDescent="0.2">
      <c r="A333" s="448" t="s">
        <v>166</v>
      </c>
      <c r="B333" s="448" t="s">
        <v>127</v>
      </c>
      <c r="C333" s="448">
        <v>39000</v>
      </c>
      <c r="D333" s="448">
        <v>2</v>
      </c>
      <c r="E333" s="448">
        <f t="shared" si="13"/>
        <v>78000</v>
      </c>
    </row>
    <row r="334" spans="1:5" x14ac:dyDescent="0.2">
      <c r="A334" s="448" t="s">
        <v>162</v>
      </c>
      <c r="B334" s="448" t="s">
        <v>127</v>
      </c>
      <c r="C334" s="448">
        <v>96000</v>
      </c>
      <c r="D334" s="448">
        <v>1</v>
      </c>
      <c r="E334" s="448">
        <f t="shared" si="13"/>
        <v>96000</v>
      </c>
    </row>
    <row r="335" spans="1:5" x14ac:dyDescent="0.2">
      <c r="A335" s="431" t="s">
        <v>765</v>
      </c>
      <c r="B335" s="431" t="s">
        <v>766</v>
      </c>
      <c r="C335" s="431">
        <v>80000</v>
      </c>
      <c r="D335" s="431">
        <v>1</v>
      </c>
      <c r="E335" s="431">
        <f t="shared" si="13"/>
        <v>80000</v>
      </c>
    </row>
    <row r="336" spans="1:5" x14ac:dyDescent="0.2">
      <c r="A336" s="431" t="s">
        <v>765</v>
      </c>
      <c r="B336" s="431" t="s">
        <v>1051</v>
      </c>
      <c r="C336" s="431">
        <v>44804</v>
      </c>
      <c r="D336" s="431">
        <v>2</v>
      </c>
      <c r="E336" s="431">
        <f t="shared" si="13"/>
        <v>89608</v>
      </c>
    </row>
    <row r="337" spans="1:5" x14ac:dyDescent="0.2">
      <c r="A337" s="448" t="s">
        <v>169</v>
      </c>
      <c r="B337" s="448" t="s">
        <v>128</v>
      </c>
      <c r="C337" s="448">
        <v>50000</v>
      </c>
      <c r="D337" s="448">
        <v>1</v>
      </c>
      <c r="E337" s="448">
        <f t="shared" si="13"/>
        <v>50000</v>
      </c>
    </row>
    <row r="338" spans="1:5" x14ac:dyDescent="0.2">
      <c r="A338" s="448" t="s">
        <v>152</v>
      </c>
      <c r="B338" s="448" t="s">
        <v>125</v>
      </c>
      <c r="C338" s="448">
        <v>80000</v>
      </c>
      <c r="D338" s="448">
        <v>1</v>
      </c>
      <c r="E338" s="448">
        <f t="shared" si="13"/>
        <v>80000</v>
      </c>
    </row>
    <row r="339" spans="1:5" x14ac:dyDescent="0.2">
      <c r="A339" s="448" t="s">
        <v>150</v>
      </c>
      <c r="B339" s="448" t="s">
        <v>127</v>
      </c>
      <c r="C339" s="448">
        <v>45000</v>
      </c>
      <c r="D339" s="448">
        <v>3</v>
      </c>
      <c r="E339" s="448">
        <f t="shared" si="13"/>
        <v>135000</v>
      </c>
    </row>
    <row r="340" spans="1:5" x14ac:dyDescent="0.2">
      <c r="A340" s="448" t="s">
        <v>150</v>
      </c>
      <c r="B340" s="448" t="s">
        <v>129</v>
      </c>
      <c r="C340" s="448">
        <v>50000</v>
      </c>
      <c r="D340" s="448">
        <v>4</v>
      </c>
      <c r="E340" s="448">
        <f t="shared" si="13"/>
        <v>200000</v>
      </c>
    </row>
    <row r="341" spans="1:5" x14ac:dyDescent="0.2">
      <c r="A341" s="448" t="s">
        <v>150</v>
      </c>
      <c r="B341" s="448" t="s">
        <v>128</v>
      </c>
      <c r="C341" s="448">
        <v>35000</v>
      </c>
      <c r="D341" s="448">
        <v>1</v>
      </c>
      <c r="E341" s="448">
        <f t="shared" si="13"/>
        <v>35000</v>
      </c>
    </row>
    <row r="342" spans="1:5" x14ac:dyDescent="0.2">
      <c r="A342" s="431" t="s">
        <v>615</v>
      </c>
      <c r="B342" s="431" t="s">
        <v>609</v>
      </c>
      <c r="C342" s="431">
        <v>120000</v>
      </c>
      <c r="D342" s="431">
        <v>2</v>
      </c>
      <c r="E342" s="431">
        <f t="shared" si="13"/>
        <v>240000</v>
      </c>
    </row>
    <row r="343" spans="1:5" x14ac:dyDescent="0.2">
      <c r="A343" s="448" t="s">
        <v>327</v>
      </c>
      <c r="B343" s="448" t="s">
        <v>129</v>
      </c>
      <c r="C343" s="448">
        <v>80000</v>
      </c>
      <c r="D343" s="448">
        <v>1</v>
      </c>
      <c r="E343" s="448">
        <f t="shared" si="13"/>
        <v>80000</v>
      </c>
    </row>
    <row r="344" spans="1:5" x14ac:dyDescent="0.2">
      <c r="A344" s="2221" t="s">
        <v>69</v>
      </c>
      <c r="B344" s="430"/>
      <c r="C344" s="2222">
        <f>E344/D344</f>
        <v>74406.444444444438</v>
      </c>
      <c r="D344" s="430">
        <f>SUM(D309:D343)</f>
        <v>72</v>
      </c>
      <c r="E344" s="430">
        <f>SUM(E309:E343)</f>
        <v>5357264</v>
      </c>
    </row>
    <row r="345" spans="1:5" x14ac:dyDescent="0.2">
      <c r="A345" s="448"/>
      <c r="B345" s="448"/>
      <c r="C345" s="448"/>
      <c r="D345" s="448"/>
      <c r="E345" s="448"/>
    </row>
    <row r="346" spans="1:5" ht="15.75" x14ac:dyDescent="0.25">
      <c r="A346" s="2207" t="s">
        <v>145</v>
      </c>
      <c r="B346" s="2207"/>
      <c r="C346" s="2207"/>
      <c r="D346" s="2207"/>
      <c r="E346" s="2207"/>
    </row>
    <row r="347" spans="1:5" x14ac:dyDescent="0.2">
      <c r="A347" s="431" t="s">
        <v>646</v>
      </c>
      <c r="B347" s="431" t="s">
        <v>639</v>
      </c>
      <c r="C347" s="39">
        <v>31500</v>
      </c>
      <c r="D347" s="39">
        <v>3</v>
      </c>
      <c r="E347" s="39">
        <f t="shared" ref="E347:E384" si="14">C347*D347</f>
        <v>94500</v>
      </c>
    </row>
    <row r="348" spans="1:5" x14ac:dyDescent="0.2">
      <c r="A348" s="448" t="s">
        <v>165</v>
      </c>
      <c r="B348" s="448" t="s">
        <v>127</v>
      </c>
      <c r="C348" s="448">
        <v>27040</v>
      </c>
      <c r="D348" s="448">
        <v>64</v>
      </c>
      <c r="E348" s="448">
        <f t="shared" si="14"/>
        <v>1730560</v>
      </c>
    </row>
    <row r="349" spans="1:5" x14ac:dyDescent="0.2">
      <c r="A349" s="431" t="s">
        <v>696</v>
      </c>
      <c r="B349" s="431" t="s">
        <v>425</v>
      </c>
      <c r="C349" s="431">
        <v>50000</v>
      </c>
      <c r="D349" s="431">
        <v>1</v>
      </c>
      <c r="E349" s="431">
        <f t="shared" si="14"/>
        <v>50000</v>
      </c>
    </row>
    <row r="350" spans="1:5" x14ac:dyDescent="0.2">
      <c r="A350" s="431" t="s">
        <v>700</v>
      </c>
      <c r="B350" s="431" t="s">
        <v>425</v>
      </c>
      <c r="C350" s="431">
        <v>30000</v>
      </c>
      <c r="D350" s="431">
        <v>1</v>
      </c>
      <c r="E350" s="431">
        <f t="shared" si="14"/>
        <v>30000</v>
      </c>
    </row>
    <row r="351" spans="1:5" x14ac:dyDescent="0.2">
      <c r="A351" s="448" t="s">
        <v>153</v>
      </c>
      <c r="B351" s="448" t="s">
        <v>129</v>
      </c>
      <c r="C351" s="448">
        <v>26000</v>
      </c>
      <c r="D351" s="448">
        <v>4</v>
      </c>
      <c r="E351" s="448">
        <f t="shared" si="14"/>
        <v>104000</v>
      </c>
    </row>
    <row r="352" spans="1:5" x14ac:dyDescent="0.2">
      <c r="A352" s="431" t="s">
        <v>958</v>
      </c>
      <c r="B352" s="431" t="s">
        <v>956</v>
      </c>
      <c r="C352" s="431">
        <v>29406</v>
      </c>
      <c r="D352" s="431">
        <v>70</v>
      </c>
      <c r="E352" s="431">
        <f t="shared" si="14"/>
        <v>2058420</v>
      </c>
    </row>
    <row r="353" spans="1:5" x14ac:dyDescent="0.2">
      <c r="A353" s="431" t="s">
        <v>713</v>
      </c>
      <c r="B353" s="431" t="s">
        <v>815</v>
      </c>
      <c r="C353" s="431">
        <v>27040</v>
      </c>
      <c r="D353" s="431">
        <v>2</v>
      </c>
      <c r="E353" s="431">
        <f t="shared" si="14"/>
        <v>54080</v>
      </c>
    </row>
    <row r="354" spans="1:5" x14ac:dyDescent="0.2">
      <c r="A354" s="431" t="s">
        <v>770</v>
      </c>
      <c r="B354" s="431" t="s">
        <v>760</v>
      </c>
      <c r="C354" s="431">
        <v>27000</v>
      </c>
      <c r="D354" s="431">
        <v>10</v>
      </c>
      <c r="E354" s="431">
        <f t="shared" si="14"/>
        <v>270000</v>
      </c>
    </row>
    <row r="355" spans="1:5" x14ac:dyDescent="0.2">
      <c r="A355" s="431" t="s">
        <v>959</v>
      </c>
      <c r="B355" s="431" t="s">
        <v>956</v>
      </c>
      <c r="C355" s="431">
        <v>56953</v>
      </c>
      <c r="D355" s="431">
        <v>11</v>
      </c>
      <c r="E355" s="431">
        <f t="shared" si="14"/>
        <v>626483</v>
      </c>
    </row>
    <row r="356" spans="1:5" x14ac:dyDescent="0.2">
      <c r="A356" s="431" t="s">
        <v>981</v>
      </c>
      <c r="B356" s="431" t="s">
        <v>864</v>
      </c>
      <c r="C356" s="431">
        <v>30000</v>
      </c>
      <c r="D356" s="431">
        <v>21</v>
      </c>
      <c r="E356" s="431">
        <f t="shared" si="14"/>
        <v>630000</v>
      </c>
    </row>
    <row r="357" spans="1:5" x14ac:dyDescent="0.2">
      <c r="A357" s="431" t="s">
        <v>817</v>
      </c>
      <c r="B357" s="431" t="s">
        <v>815</v>
      </c>
      <c r="C357" s="431">
        <v>26832</v>
      </c>
      <c r="D357" s="431">
        <v>1</v>
      </c>
      <c r="E357" s="431">
        <f t="shared" si="14"/>
        <v>26832</v>
      </c>
    </row>
    <row r="358" spans="1:5" x14ac:dyDescent="0.2">
      <c r="A358" s="431" t="s">
        <v>916</v>
      </c>
      <c r="B358" s="431" t="s">
        <v>568</v>
      </c>
      <c r="C358" s="431">
        <v>29000</v>
      </c>
      <c r="D358" s="431">
        <v>13</v>
      </c>
      <c r="E358" s="431">
        <f t="shared" si="14"/>
        <v>377000</v>
      </c>
    </row>
    <row r="359" spans="1:5" x14ac:dyDescent="0.2">
      <c r="A359" s="431" t="s">
        <v>1052</v>
      </c>
      <c r="B359" s="431" t="s">
        <v>1051</v>
      </c>
      <c r="C359" s="431">
        <v>27158</v>
      </c>
      <c r="D359" s="431">
        <v>6</v>
      </c>
      <c r="E359" s="431">
        <f t="shared" si="14"/>
        <v>162948</v>
      </c>
    </row>
    <row r="360" spans="1:5" x14ac:dyDescent="0.2">
      <c r="A360" s="431" t="s">
        <v>1018</v>
      </c>
      <c r="B360" s="431" t="s">
        <v>759</v>
      </c>
      <c r="C360" s="431">
        <v>30000</v>
      </c>
      <c r="D360" s="431">
        <v>9</v>
      </c>
      <c r="E360" s="431">
        <f t="shared" si="14"/>
        <v>270000</v>
      </c>
    </row>
    <row r="361" spans="1:5" x14ac:dyDescent="0.2">
      <c r="A361" s="431" t="s">
        <v>711</v>
      </c>
      <c r="B361" s="431" t="s">
        <v>815</v>
      </c>
      <c r="C361" s="431">
        <v>29120</v>
      </c>
      <c r="D361" s="431">
        <v>4</v>
      </c>
      <c r="E361" s="431">
        <f t="shared" si="14"/>
        <v>116480</v>
      </c>
    </row>
    <row r="362" spans="1:5" x14ac:dyDescent="0.2">
      <c r="A362" s="431" t="s">
        <v>715</v>
      </c>
      <c r="B362" s="431" t="s">
        <v>690</v>
      </c>
      <c r="C362" s="448">
        <v>27000</v>
      </c>
      <c r="D362" s="431">
        <v>63</v>
      </c>
      <c r="E362" s="431">
        <f t="shared" si="14"/>
        <v>1701000</v>
      </c>
    </row>
    <row r="363" spans="1:5" x14ac:dyDescent="0.2">
      <c r="A363" s="431" t="s">
        <v>710</v>
      </c>
      <c r="B363" s="431" t="s">
        <v>815</v>
      </c>
      <c r="C363" s="448">
        <v>27040</v>
      </c>
      <c r="D363" s="431">
        <v>8</v>
      </c>
      <c r="E363" s="431">
        <f t="shared" si="14"/>
        <v>216320</v>
      </c>
    </row>
    <row r="364" spans="1:5" x14ac:dyDescent="0.2">
      <c r="A364" s="448" t="s">
        <v>148</v>
      </c>
      <c r="B364" s="448" t="s">
        <v>124</v>
      </c>
      <c r="C364" s="448">
        <v>40000</v>
      </c>
      <c r="D364" s="448">
        <v>48</v>
      </c>
      <c r="E364" s="448">
        <f t="shared" si="14"/>
        <v>1920000</v>
      </c>
    </row>
    <row r="365" spans="1:5" x14ac:dyDescent="0.2">
      <c r="A365" s="448" t="s">
        <v>148</v>
      </c>
      <c r="B365" s="431" t="s">
        <v>639</v>
      </c>
      <c r="C365" s="431">
        <v>40000</v>
      </c>
      <c r="D365" s="431">
        <v>1</v>
      </c>
      <c r="E365" s="431">
        <f t="shared" si="14"/>
        <v>40000</v>
      </c>
    </row>
    <row r="366" spans="1:5" x14ac:dyDescent="0.2">
      <c r="A366" s="448" t="s">
        <v>427</v>
      </c>
      <c r="B366" s="448" t="s">
        <v>425</v>
      </c>
      <c r="C366" s="448">
        <v>40000</v>
      </c>
      <c r="D366" s="448">
        <v>1</v>
      </c>
      <c r="E366" s="448">
        <f t="shared" si="14"/>
        <v>40000</v>
      </c>
    </row>
    <row r="367" spans="1:5" x14ac:dyDescent="0.2">
      <c r="A367" s="431" t="s">
        <v>997</v>
      </c>
      <c r="B367" s="431" t="s">
        <v>990</v>
      </c>
      <c r="C367" s="431">
        <v>50000</v>
      </c>
      <c r="D367" s="431">
        <v>13</v>
      </c>
      <c r="E367" s="431">
        <f t="shared" si="14"/>
        <v>650000</v>
      </c>
    </row>
    <row r="368" spans="1:5" x14ac:dyDescent="0.2">
      <c r="A368" s="431" t="s">
        <v>997</v>
      </c>
      <c r="B368" s="431" t="s">
        <v>1051</v>
      </c>
      <c r="C368" s="431">
        <v>54696</v>
      </c>
      <c r="D368" s="431">
        <v>6</v>
      </c>
      <c r="E368" s="431">
        <f t="shared" si="14"/>
        <v>328176</v>
      </c>
    </row>
    <row r="369" spans="1:5" x14ac:dyDescent="0.2">
      <c r="A369" s="448" t="s">
        <v>160</v>
      </c>
      <c r="B369" s="448" t="s">
        <v>125</v>
      </c>
      <c r="C369" s="448">
        <v>52800</v>
      </c>
      <c r="D369" s="448">
        <v>18</v>
      </c>
      <c r="E369" s="448">
        <f t="shared" si="14"/>
        <v>950400</v>
      </c>
    </row>
    <row r="370" spans="1:5" x14ac:dyDescent="0.2">
      <c r="A370" s="431" t="s">
        <v>980</v>
      </c>
      <c r="B370" s="431" t="s">
        <v>863</v>
      </c>
      <c r="C370" s="431">
        <v>27000</v>
      </c>
      <c r="D370" s="431">
        <v>2</v>
      </c>
      <c r="E370" s="431">
        <f t="shared" si="14"/>
        <v>54000</v>
      </c>
    </row>
    <row r="371" spans="1:5" x14ac:dyDescent="0.2">
      <c r="A371" s="431" t="s">
        <v>614</v>
      </c>
      <c r="B371" s="431" t="s">
        <v>609</v>
      </c>
      <c r="C371" s="431">
        <v>40000</v>
      </c>
      <c r="D371" s="431">
        <v>17</v>
      </c>
      <c r="E371" s="431">
        <f t="shared" si="14"/>
        <v>680000</v>
      </c>
    </row>
    <row r="372" spans="1:5" x14ac:dyDescent="0.2">
      <c r="A372" s="431" t="s">
        <v>145</v>
      </c>
      <c r="B372" s="431" t="s">
        <v>568</v>
      </c>
      <c r="C372" s="431">
        <v>41000</v>
      </c>
      <c r="D372" s="431">
        <v>6</v>
      </c>
      <c r="E372" s="431">
        <f t="shared" si="14"/>
        <v>246000</v>
      </c>
    </row>
    <row r="373" spans="1:5" x14ac:dyDescent="0.2">
      <c r="A373" s="448" t="s">
        <v>145</v>
      </c>
      <c r="B373" s="448" t="s">
        <v>129</v>
      </c>
      <c r="C373" s="448">
        <v>27000</v>
      </c>
      <c r="D373" s="448">
        <v>250</v>
      </c>
      <c r="E373" s="448">
        <f t="shared" si="14"/>
        <v>6750000</v>
      </c>
    </row>
    <row r="374" spans="1:5" x14ac:dyDescent="0.2">
      <c r="A374" s="448" t="s">
        <v>145</v>
      </c>
      <c r="B374" s="448" t="s">
        <v>128</v>
      </c>
      <c r="C374" s="448">
        <v>28000</v>
      </c>
      <c r="D374" s="448">
        <v>21</v>
      </c>
      <c r="E374" s="448">
        <f t="shared" si="14"/>
        <v>588000</v>
      </c>
    </row>
    <row r="375" spans="1:5" x14ac:dyDescent="0.2">
      <c r="A375" s="431" t="s">
        <v>145</v>
      </c>
      <c r="B375" s="431" t="s">
        <v>907</v>
      </c>
      <c r="C375" s="431">
        <v>27871</v>
      </c>
      <c r="D375" s="431">
        <v>98</v>
      </c>
      <c r="E375" s="431">
        <f t="shared" si="14"/>
        <v>2731358</v>
      </c>
    </row>
    <row r="376" spans="1:5" x14ac:dyDescent="0.2">
      <c r="A376" s="431" t="s">
        <v>819</v>
      </c>
      <c r="B376" s="431" t="s">
        <v>813</v>
      </c>
      <c r="C376" s="431">
        <v>30567</v>
      </c>
      <c r="D376" s="431">
        <v>21</v>
      </c>
      <c r="E376" s="431">
        <f t="shared" si="14"/>
        <v>641907</v>
      </c>
    </row>
    <row r="377" spans="1:5" x14ac:dyDescent="0.2">
      <c r="A377" s="431" t="s">
        <v>145</v>
      </c>
      <c r="B377" s="431" t="s">
        <v>703</v>
      </c>
      <c r="C377" s="431">
        <v>41306</v>
      </c>
      <c r="D377" s="431">
        <v>43</v>
      </c>
      <c r="E377" s="431">
        <f t="shared" si="14"/>
        <v>1776158</v>
      </c>
    </row>
    <row r="378" spans="1:5" x14ac:dyDescent="0.2">
      <c r="A378" s="431" t="s">
        <v>145</v>
      </c>
      <c r="B378" s="431" t="s">
        <v>909</v>
      </c>
      <c r="C378" s="431">
        <v>35000</v>
      </c>
      <c r="D378" s="431">
        <v>30</v>
      </c>
      <c r="E378" s="431">
        <f t="shared" si="14"/>
        <v>1050000</v>
      </c>
    </row>
    <row r="379" spans="1:5" x14ac:dyDescent="0.2">
      <c r="A379" s="431" t="s">
        <v>769</v>
      </c>
      <c r="B379" s="431" t="s">
        <v>760</v>
      </c>
      <c r="C379" s="431">
        <v>30000</v>
      </c>
      <c r="D379" s="431">
        <v>9</v>
      </c>
      <c r="E379" s="431">
        <f t="shared" si="14"/>
        <v>270000</v>
      </c>
    </row>
    <row r="380" spans="1:5" x14ac:dyDescent="0.2">
      <c r="A380" s="448" t="s">
        <v>156</v>
      </c>
      <c r="B380" s="448" t="s">
        <v>129</v>
      </c>
      <c r="C380" s="448">
        <v>39000</v>
      </c>
      <c r="D380" s="448">
        <v>4</v>
      </c>
      <c r="E380" s="448">
        <f t="shared" si="14"/>
        <v>156000</v>
      </c>
    </row>
    <row r="381" spans="1:5" x14ac:dyDescent="0.2">
      <c r="A381" s="431" t="s">
        <v>716</v>
      </c>
      <c r="B381" s="431" t="s">
        <v>690</v>
      </c>
      <c r="C381" s="431">
        <v>36000</v>
      </c>
      <c r="D381" s="431">
        <v>10</v>
      </c>
      <c r="E381" s="431">
        <f t="shared" si="14"/>
        <v>360000</v>
      </c>
    </row>
    <row r="382" spans="1:5" x14ac:dyDescent="0.2">
      <c r="A382" s="431" t="s">
        <v>716</v>
      </c>
      <c r="B382" s="431" t="s">
        <v>907</v>
      </c>
      <c r="C382" s="431">
        <v>43788</v>
      </c>
      <c r="D382" s="431">
        <v>8</v>
      </c>
      <c r="E382" s="431">
        <f t="shared" si="14"/>
        <v>350304</v>
      </c>
    </row>
    <row r="383" spans="1:5" x14ac:dyDescent="0.2">
      <c r="A383" s="431" t="s">
        <v>1054</v>
      </c>
      <c r="B383" s="431" t="s">
        <v>1051</v>
      </c>
      <c r="C383" s="431">
        <v>30000</v>
      </c>
      <c r="D383" s="431">
        <v>23</v>
      </c>
      <c r="E383" s="431">
        <f t="shared" si="14"/>
        <v>690000</v>
      </c>
    </row>
    <row r="384" spans="1:5" x14ac:dyDescent="0.2">
      <c r="A384" s="431" t="s">
        <v>709</v>
      </c>
      <c r="B384" s="431" t="s">
        <v>816</v>
      </c>
      <c r="C384" s="431">
        <v>31200</v>
      </c>
      <c r="D384" s="431">
        <v>24</v>
      </c>
      <c r="E384" s="431">
        <f t="shared" si="14"/>
        <v>748800</v>
      </c>
    </row>
    <row r="385" spans="1:5" x14ac:dyDescent="0.2">
      <c r="A385" s="2221" t="s">
        <v>69</v>
      </c>
      <c r="B385" s="430"/>
      <c r="C385" s="2222">
        <f>E385/D385</f>
        <v>31292.082627118645</v>
      </c>
      <c r="D385" s="430">
        <f>SUM(D347:D384)</f>
        <v>944</v>
      </c>
      <c r="E385" s="430">
        <f>SUM(E347:E384)</f>
        <v>29539726</v>
      </c>
    </row>
    <row r="386" spans="1:5" x14ac:dyDescent="0.2">
      <c r="A386" s="431"/>
      <c r="B386" s="431"/>
      <c r="C386" s="431"/>
      <c r="D386" s="431"/>
      <c r="E386" s="431"/>
    </row>
    <row r="387" spans="1:5" ht="15.75" x14ac:dyDescent="0.25">
      <c r="A387" s="2207" t="s">
        <v>1091</v>
      </c>
      <c r="B387" s="2207"/>
      <c r="C387" s="2207"/>
      <c r="D387" s="2207"/>
      <c r="E387" s="2207"/>
    </row>
    <row r="388" spans="1:5" x14ac:dyDescent="0.2">
      <c r="A388" s="431" t="s">
        <v>976</v>
      </c>
      <c r="B388" s="431" t="s">
        <v>863</v>
      </c>
      <c r="C388" s="431">
        <v>33000</v>
      </c>
      <c r="D388" s="431">
        <v>3</v>
      </c>
      <c r="E388" s="431">
        <f t="shared" ref="E388:E396" si="15">C388*D388</f>
        <v>99000</v>
      </c>
    </row>
    <row r="389" spans="1:5" x14ac:dyDescent="0.2">
      <c r="A389" s="431" t="s">
        <v>1053</v>
      </c>
      <c r="B389" s="431" t="s">
        <v>1051</v>
      </c>
      <c r="C389" s="431">
        <v>30289</v>
      </c>
      <c r="D389" s="431">
        <v>3</v>
      </c>
      <c r="E389" s="431">
        <f t="shared" si="15"/>
        <v>90867</v>
      </c>
    </row>
    <row r="390" spans="1:5" x14ac:dyDescent="0.2">
      <c r="A390" s="448" t="s">
        <v>164</v>
      </c>
      <c r="B390" s="448" t="s">
        <v>127</v>
      </c>
      <c r="C390" s="448">
        <v>55000</v>
      </c>
      <c r="D390" s="448">
        <v>1</v>
      </c>
      <c r="E390" s="448">
        <f t="shared" si="15"/>
        <v>55000</v>
      </c>
    </row>
    <row r="391" spans="1:5" x14ac:dyDescent="0.2">
      <c r="A391" s="431" t="s">
        <v>611</v>
      </c>
      <c r="B391" s="431" t="s">
        <v>609</v>
      </c>
      <c r="C391" s="431">
        <v>75000</v>
      </c>
      <c r="D391" s="431">
        <v>2</v>
      </c>
      <c r="E391" s="431">
        <f t="shared" si="15"/>
        <v>150000</v>
      </c>
    </row>
    <row r="392" spans="1:5" x14ac:dyDescent="0.2">
      <c r="A392" s="448" t="s">
        <v>322</v>
      </c>
      <c r="B392" s="448" t="s">
        <v>129</v>
      </c>
      <c r="C392" s="448">
        <v>45000</v>
      </c>
      <c r="D392" s="448">
        <v>2</v>
      </c>
      <c r="E392" s="448">
        <f t="shared" si="15"/>
        <v>90000</v>
      </c>
    </row>
    <row r="393" spans="1:5" x14ac:dyDescent="0.2">
      <c r="A393" s="431" t="s">
        <v>982</v>
      </c>
      <c r="B393" s="431" t="s">
        <v>864</v>
      </c>
      <c r="C393" s="431">
        <v>45000</v>
      </c>
      <c r="D393" s="431">
        <v>1</v>
      </c>
      <c r="E393" s="431">
        <f t="shared" si="15"/>
        <v>45000</v>
      </c>
    </row>
    <row r="394" spans="1:5" x14ac:dyDescent="0.2">
      <c r="A394" s="431" t="s">
        <v>706</v>
      </c>
      <c r="B394" s="431" t="s">
        <v>703</v>
      </c>
      <c r="C394" s="431">
        <v>42500</v>
      </c>
      <c r="D394" s="431">
        <v>6</v>
      </c>
      <c r="E394" s="431">
        <f t="shared" si="15"/>
        <v>255000</v>
      </c>
    </row>
    <row r="395" spans="1:5" x14ac:dyDescent="0.2">
      <c r="A395" s="431" t="s">
        <v>983</v>
      </c>
      <c r="B395" s="431" t="s">
        <v>864</v>
      </c>
      <c r="C395" s="431">
        <v>55000</v>
      </c>
      <c r="D395" s="431">
        <v>1</v>
      </c>
      <c r="E395" s="431">
        <f t="shared" si="15"/>
        <v>55000</v>
      </c>
    </row>
    <row r="396" spans="1:5" x14ac:dyDescent="0.2">
      <c r="A396" s="431" t="s">
        <v>712</v>
      </c>
      <c r="B396" s="431" t="s">
        <v>815</v>
      </c>
      <c r="C396" s="431">
        <v>37060</v>
      </c>
      <c r="D396" s="431">
        <v>2</v>
      </c>
      <c r="E396" s="431">
        <f t="shared" si="15"/>
        <v>74120</v>
      </c>
    </row>
    <row r="397" spans="1:5" x14ac:dyDescent="0.2">
      <c r="A397" s="2221" t="s">
        <v>69</v>
      </c>
      <c r="B397" s="430"/>
      <c r="C397" s="2222">
        <f>E397/D397</f>
        <v>43523.190476190473</v>
      </c>
      <c r="D397" s="430">
        <f>SUM(D388:D396)</f>
        <v>21</v>
      </c>
      <c r="E397" s="430">
        <f>SUM(E388:E396)</f>
        <v>913987</v>
      </c>
    </row>
    <row r="398" spans="1:5" x14ac:dyDescent="0.2">
      <c r="A398" s="431"/>
      <c r="B398" s="431"/>
      <c r="C398" s="431"/>
      <c r="D398" s="431"/>
      <c r="E398" s="431"/>
    </row>
    <row r="399" spans="1:5" ht="15.75" x14ac:dyDescent="0.25">
      <c r="A399" s="2207" t="s">
        <v>705</v>
      </c>
      <c r="B399" s="2207"/>
      <c r="C399" s="2207"/>
      <c r="D399" s="2207"/>
      <c r="E399" s="2207"/>
    </row>
    <row r="400" spans="1:5" x14ac:dyDescent="0.2">
      <c r="A400" s="431" t="s">
        <v>924</v>
      </c>
      <c r="B400" s="431" t="s">
        <v>908</v>
      </c>
      <c r="C400" s="431">
        <v>55000</v>
      </c>
      <c r="D400" s="431">
        <v>1</v>
      </c>
      <c r="E400" s="431">
        <f t="shared" ref="E400:E406" si="16">C400*D400</f>
        <v>55000</v>
      </c>
    </row>
    <row r="401" spans="1:5" x14ac:dyDescent="0.2">
      <c r="A401" s="431" t="s">
        <v>927</v>
      </c>
      <c r="B401" s="431" t="s">
        <v>908</v>
      </c>
      <c r="C401" s="431">
        <v>37000</v>
      </c>
      <c r="D401" s="431">
        <v>1</v>
      </c>
      <c r="E401" s="431">
        <f t="shared" si="16"/>
        <v>37000</v>
      </c>
    </row>
    <row r="402" spans="1:5" x14ac:dyDescent="0.2">
      <c r="A402" s="448" t="s">
        <v>161</v>
      </c>
      <c r="B402" s="448" t="s">
        <v>125</v>
      </c>
      <c r="C402" s="448">
        <v>50000</v>
      </c>
      <c r="D402" s="448">
        <v>3</v>
      </c>
      <c r="E402" s="448">
        <f t="shared" si="16"/>
        <v>150000</v>
      </c>
    </row>
    <row r="403" spans="1:5" x14ac:dyDescent="0.2">
      <c r="A403" s="448" t="s">
        <v>147</v>
      </c>
      <c r="B403" s="448" t="s">
        <v>124</v>
      </c>
      <c r="C403" s="448">
        <v>50000</v>
      </c>
      <c r="D403" s="448">
        <v>107</v>
      </c>
      <c r="E403" s="448">
        <f t="shared" si="16"/>
        <v>5350000</v>
      </c>
    </row>
    <row r="404" spans="1:5" x14ac:dyDescent="0.2">
      <c r="A404" s="431" t="s">
        <v>699</v>
      </c>
      <c r="B404" s="431" t="s">
        <v>425</v>
      </c>
      <c r="C404" s="431">
        <v>50000</v>
      </c>
      <c r="D404" s="431">
        <v>1</v>
      </c>
      <c r="E404" s="431">
        <f t="shared" si="16"/>
        <v>50000</v>
      </c>
    </row>
    <row r="405" spans="1:5" x14ac:dyDescent="0.2">
      <c r="A405" s="431" t="s">
        <v>705</v>
      </c>
      <c r="B405" s="431" t="s">
        <v>703</v>
      </c>
      <c r="C405" s="431">
        <v>85588</v>
      </c>
      <c r="D405" s="431">
        <v>17</v>
      </c>
      <c r="E405" s="431">
        <f t="shared" si="16"/>
        <v>1454996</v>
      </c>
    </row>
    <row r="406" spans="1:5" x14ac:dyDescent="0.2">
      <c r="A406" s="448" t="s">
        <v>168</v>
      </c>
      <c r="B406" s="448" t="s">
        <v>127</v>
      </c>
      <c r="C406" s="448">
        <v>60000</v>
      </c>
      <c r="D406" s="448">
        <v>1</v>
      </c>
      <c r="E406" s="448">
        <f t="shared" si="16"/>
        <v>60000</v>
      </c>
    </row>
    <row r="407" spans="1:5" x14ac:dyDescent="0.2">
      <c r="A407" s="2221" t="s">
        <v>69</v>
      </c>
      <c r="B407" s="430"/>
      <c r="C407" s="2222">
        <f>E407/D407</f>
        <v>54633.557251908394</v>
      </c>
      <c r="D407" s="430">
        <f>SUM(D400:D406)</f>
        <v>131</v>
      </c>
      <c r="E407" s="430">
        <f>SUM(E400:E406)</f>
        <v>7156996</v>
      </c>
    </row>
    <row r="408" spans="1:5" x14ac:dyDescent="0.2">
      <c r="A408" s="448"/>
      <c r="B408" s="448"/>
      <c r="C408" s="448"/>
      <c r="D408" s="448"/>
      <c r="E408" s="448"/>
    </row>
    <row r="409" spans="1:5" ht="15.75" x14ac:dyDescent="0.25">
      <c r="A409" s="2207" t="s">
        <v>1092</v>
      </c>
      <c r="B409" s="2207"/>
      <c r="C409" s="2207"/>
      <c r="D409" s="2207"/>
      <c r="E409" s="2207"/>
    </row>
    <row r="410" spans="1:5" x14ac:dyDescent="0.2">
      <c r="A410" s="431" t="s">
        <v>1007</v>
      </c>
      <c r="B410" s="431" t="s">
        <v>908</v>
      </c>
      <c r="C410" s="431">
        <v>40000</v>
      </c>
      <c r="D410" s="431">
        <v>1</v>
      </c>
      <c r="E410" s="431">
        <f t="shared" ref="E410:E422" si="17">C410*D410</f>
        <v>40000</v>
      </c>
    </row>
    <row r="411" spans="1:5" x14ac:dyDescent="0.2">
      <c r="A411" s="431" t="s">
        <v>695</v>
      </c>
      <c r="B411" s="431" t="s">
        <v>425</v>
      </c>
      <c r="C411" s="431">
        <v>40000</v>
      </c>
      <c r="D411" s="431">
        <v>1</v>
      </c>
      <c r="E411" s="431">
        <f t="shared" si="17"/>
        <v>40000</v>
      </c>
    </row>
    <row r="412" spans="1:5" x14ac:dyDescent="0.2">
      <c r="A412" s="431" t="s">
        <v>704</v>
      </c>
      <c r="B412" s="431" t="s">
        <v>703</v>
      </c>
      <c r="C412" s="431">
        <v>69188</v>
      </c>
      <c r="D412" s="431">
        <v>16</v>
      </c>
      <c r="E412" s="431">
        <f t="shared" si="17"/>
        <v>1107008</v>
      </c>
    </row>
    <row r="413" spans="1:5" x14ac:dyDescent="0.2">
      <c r="A413" s="431" t="s">
        <v>919</v>
      </c>
      <c r="B413" s="431" t="s">
        <v>908</v>
      </c>
      <c r="C413" s="431">
        <v>80000</v>
      </c>
      <c r="D413" s="431">
        <v>0</v>
      </c>
      <c r="E413" s="431">
        <f t="shared" si="17"/>
        <v>0</v>
      </c>
    </row>
    <row r="414" spans="1:5" x14ac:dyDescent="0.2">
      <c r="A414" s="431" t="s">
        <v>820</v>
      </c>
      <c r="B414" s="431" t="s">
        <v>813</v>
      </c>
      <c r="C414" s="431">
        <v>47348</v>
      </c>
      <c r="D414" s="431">
        <v>6</v>
      </c>
      <c r="E414" s="431">
        <f t="shared" si="17"/>
        <v>284088</v>
      </c>
    </row>
    <row r="415" spans="1:5" x14ac:dyDescent="0.2">
      <c r="A415" s="431" t="s">
        <v>995</v>
      </c>
      <c r="B415" s="431" t="s">
        <v>990</v>
      </c>
      <c r="C415" s="431">
        <v>50000</v>
      </c>
      <c r="D415" s="431">
        <v>8</v>
      </c>
      <c r="E415" s="431">
        <f t="shared" si="17"/>
        <v>400000</v>
      </c>
    </row>
    <row r="416" spans="1:5" x14ac:dyDescent="0.2">
      <c r="A416" s="431" t="s">
        <v>577</v>
      </c>
      <c r="B416" s="431" t="s">
        <v>1051</v>
      </c>
      <c r="C416" s="431">
        <v>65780</v>
      </c>
      <c r="D416" s="431">
        <v>2</v>
      </c>
      <c r="E416" s="431">
        <f t="shared" si="17"/>
        <v>131560</v>
      </c>
    </row>
    <row r="417" spans="1:5" x14ac:dyDescent="0.2">
      <c r="A417" s="431" t="s">
        <v>577</v>
      </c>
      <c r="B417" s="431" t="s">
        <v>956</v>
      </c>
      <c r="C417" s="431">
        <v>88611</v>
      </c>
      <c r="D417" s="431">
        <v>6</v>
      </c>
      <c r="E417" s="431">
        <f t="shared" si="17"/>
        <v>531666</v>
      </c>
    </row>
    <row r="418" spans="1:5" x14ac:dyDescent="0.2">
      <c r="A418" s="431" t="s">
        <v>577</v>
      </c>
      <c r="B418" s="431" t="s">
        <v>690</v>
      </c>
      <c r="C418" s="431">
        <v>75000</v>
      </c>
      <c r="D418" s="431">
        <v>2</v>
      </c>
      <c r="E418" s="431">
        <f t="shared" si="17"/>
        <v>150000</v>
      </c>
    </row>
    <row r="419" spans="1:5" x14ac:dyDescent="0.2">
      <c r="A419" s="448" t="s">
        <v>328</v>
      </c>
      <c r="B419" s="448" t="s">
        <v>125</v>
      </c>
      <c r="C419" s="448">
        <v>35000</v>
      </c>
      <c r="D419" s="448">
        <v>1</v>
      </c>
      <c r="E419" s="448">
        <f t="shared" si="17"/>
        <v>35000</v>
      </c>
    </row>
    <row r="420" spans="1:5" x14ac:dyDescent="0.2">
      <c r="A420" s="448" t="s">
        <v>159</v>
      </c>
      <c r="B420" s="448" t="s">
        <v>124</v>
      </c>
      <c r="C420" s="448">
        <v>45000</v>
      </c>
      <c r="D420" s="448">
        <v>42</v>
      </c>
      <c r="E420" s="448">
        <f t="shared" si="17"/>
        <v>1890000</v>
      </c>
    </row>
    <row r="421" spans="1:5" x14ac:dyDescent="0.2">
      <c r="A421" s="431" t="s">
        <v>926</v>
      </c>
      <c r="B421" s="431" t="s">
        <v>908</v>
      </c>
      <c r="C421" s="431">
        <v>46000</v>
      </c>
      <c r="D421" s="431">
        <v>1</v>
      </c>
      <c r="E421" s="431">
        <f t="shared" si="17"/>
        <v>46000</v>
      </c>
    </row>
    <row r="422" spans="1:5" x14ac:dyDescent="0.2">
      <c r="A422" s="431" t="s">
        <v>1009</v>
      </c>
      <c r="B422" s="431" t="s">
        <v>908</v>
      </c>
      <c r="C422" s="431">
        <v>60000</v>
      </c>
      <c r="D422" s="431">
        <v>1</v>
      </c>
      <c r="E422" s="431">
        <f t="shared" si="17"/>
        <v>60000</v>
      </c>
    </row>
    <row r="423" spans="1:5" x14ac:dyDescent="0.2">
      <c r="A423" s="2221" t="s">
        <v>69</v>
      </c>
      <c r="B423" s="430"/>
      <c r="C423" s="2222">
        <f>E423/D423</f>
        <v>54199.103448275862</v>
      </c>
      <c r="D423" s="430">
        <f>SUM(D410:D422)</f>
        <v>87</v>
      </c>
      <c r="E423" s="430">
        <f>SUM(E410:E422)</f>
        <v>4715322</v>
      </c>
    </row>
    <row r="424" spans="1:5" x14ac:dyDescent="0.2">
      <c r="A424" s="431"/>
      <c r="B424" s="431"/>
      <c r="C424" s="431"/>
      <c r="D424" s="431"/>
      <c r="E424" s="431"/>
    </row>
    <row r="425" spans="1:5" ht="15.75" x14ac:dyDescent="0.25">
      <c r="A425" s="2207" t="s">
        <v>1094</v>
      </c>
      <c r="B425" s="2207"/>
      <c r="C425" s="2207"/>
      <c r="D425" s="2207"/>
      <c r="E425" s="2207"/>
    </row>
    <row r="426" spans="1:5" x14ac:dyDescent="0.2">
      <c r="A426" s="431" t="s">
        <v>762</v>
      </c>
      <c r="B426" s="431" t="s">
        <v>759</v>
      </c>
      <c r="C426" s="431">
        <v>34000</v>
      </c>
      <c r="D426" s="431">
        <v>2</v>
      </c>
      <c r="E426" s="431">
        <f t="shared" ref="E426:E442" si="18">C426*D426</f>
        <v>68000</v>
      </c>
    </row>
    <row r="427" spans="1:5" x14ac:dyDescent="0.2">
      <c r="A427" s="448" t="s">
        <v>155</v>
      </c>
      <c r="B427" s="448" t="s">
        <v>129</v>
      </c>
      <c r="C427" s="448">
        <v>40000</v>
      </c>
      <c r="D427" s="448">
        <v>5</v>
      </c>
      <c r="E427" s="448">
        <f t="shared" si="18"/>
        <v>200000</v>
      </c>
    </row>
    <row r="428" spans="1:5" x14ac:dyDescent="0.2">
      <c r="A428" s="431" t="s">
        <v>325</v>
      </c>
      <c r="B428" s="431" t="s">
        <v>531</v>
      </c>
      <c r="C428" s="431">
        <v>27620</v>
      </c>
      <c r="D428" s="431">
        <v>4</v>
      </c>
      <c r="E428" s="431">
        <f t="shared" si="18"/>
        <v>110480</v>
      </c>
    </row>
    <row r="429" spans="1:5" x14ac:dyDescent="0.2">
      <c r="A429" s="431" t="s">
        <v>1008</v>
      </c>
      <c r="B429" s="431" t="s">
        <v>908</v>
      </c>
      <c r="C429" s="431">
        <v>36000</v>
      </c>
      <c r="D429" s="431">
        <v>1</v>
      </c>
      <c r="E429" s="431">
        <f t="shared" si="18"/>
        <v>36000</v>
      </c>
    </row>
    <row r="430" spans="1:5" x14ac:dyDescent="0.2">
      <c r="A430" s="431" t="s">
        <v>534</v>
      </c>
      <c r="B430" s="431" t="s">
        <v>531</v>
      </c>
      <c r="C430" s="431">
        <v>28000</v>
      </c>
      <c r="D430" s="431">
        <v>1</v>
      </c>
      <c r="E430" s="431">
        <f t="shared" si="18"/>
        <v>28000</v>
      </c>
    </row>
    <row r="431" spans="1:5" x14ac:dyDescent="0.2">
      <c r="A431" s="448" t="s">
        <v>151</v>
      </c>
      <c r="B431" s="448" t="s">
        <v>129</v>
      </c>
      <c r="C431" s="448">
        <v>39000</v>
      </c>
      <c r="D431" s="448">
        <v>15</v>
      </c>
      <c r="E431" s="448">
        <f t="shared" si="18"/>
        <v>585000</v>
      </c>
    </row>
    <row r="432" spans="1:5" x14ac:dyDescent="0.2">
      <c r="A432" s="431" t="s">
        <v>978</v>
      </c>
      <c r="B432" s="431" t="s">
        <v>864</v>
      </c>
      <c r="C432" s="431">
        <v>41000</v>
      </c>
      <c r="D432" s="431">
        <v>1</v>
      </c>
      <c r="E432" s="431">
        <f t="shared" si="18"/>
        <v>41000</v>
      </c>
    </row>
    <row r="433" spans="1:5" x14ac:dyDescent="0.2">
      <c r="A433" s="431" t="s">
        <v>979</v>
      </c>
      <c r="B433" s="431" t="s">
        <v>863</v>
      </c>
      <c r="C433" s="431">
        <v>27000</v>
      </c>
      <c r="D433" s="431">
        <v>3</v>
      </c>
      <c r="E433" s="431">
        <f t="shared" si="18"/>
        <v>81000</v>
      </c>
    </row>
    <row r="434" spans="1:5" x14ac:dyDescent="0.2">
      <c r="A434" s="431" t="s">
        <v>707</v>
      </c>
      <c r="B434" s="431" t="s">
        <v>703</v>
      </c>
      <c r="C434" s="431">
        <v>52000</v>
      </c>
      <c r="D434" s="431">
        <v>2</v>
      </c>
      <c r="E434" s="431">
        <f t="shared" si="18"/>
        <v>104000</v>
      </c>
    </row>
    <row r="435" spans="1:5" x14ac:dyDescent="0.2">
      <c r="A435" s="431" t="s">
        <v>928</v>
      </c>
      <c r="B435" s="431" t="s">
        <v>908</v>
      </c>
      <c r="C435" s="431">
        <v>35000</v>
      </c>
      <c r="D435" s="431">
        <v>1</v>
      </c>
      <c r="E435" s="431">
        <f t="shared" si="18"/>
        <v>35000</v>
      </c>
    </row>
    <row r="436" spans="1:5" x14ac:dyDescent="0.2">
      <c r="A436" s="431" t="s">
        <v>961</v>
      </c>
      <c r="B436" s="431" t="s">
        <v>956</v>
      </c>
      <c r="C436" s="431">
        <v>27849</v>
      </c>
      <c r="D436" s="431">
        <v>2</v>
      </c>
      <c r="E436" s="431">
        <f t="shared" si="18"/>
        <v>55698</v>
      </c>
    </row>
    <row r="437" spans="1:5" x14ac:dyDescent="0.2">
      <c r="A437" s="431" t="s">
        <v>1055</v>
      </c>
      <c r="B437" s="431" t="s">
        <v>1051</v>
      </c>
      <c r="C437" s="431">
        <v>26832</v>
      </c>
      <c r="D437" s="431">
        <v>2</v>
      </c>
      <c r="E437" s="431">
        <f t="shared" si="18"/>
        <v>53664</v>
      </c>
    </row>
    <row r="438" spans="1:5" x14ac:dyDescent="0.2">
      <c r="A438" s="431" t="s">
        <v>694</v>
      </c>
      <c r="B438" s="431" t="s">
        <v>759</v>
      </c>
      <c r="C438" s="431">
        <v>26850</v>
      </c>
      <c r="D438" s="431">
        <v>4</v>
      </c>
      <c r="E438" s="431">
        <f t="shared" si="18"/>
        <v>107400</v>
      </c>
    </row>
    <row r="439" spans="1:5" x14ac:dyDescent="0.2">
      <c r="A439" s="431" t="s">
        <v>694</v>
      </c>
      <c r="B439" s="431" t="s">
        <v>425</v>
      </c>
      <c r="C439" s="431">
        <v>30000</v>
      </c>
      <c r="D439" s="431">
        <v>1</v>
      </c>
      <c r="E439" s="431">
        <f t="shared" si="18"/>
        <v>30000</v>
      </c>
    </row>
    <row r="440" spans="1:5" x14ac:dyDescent="0.2">
      <c r="A440" s="431" t="s">
        <v>708</v>
      </c>
      <c r="B440" s="431" t="s">
        <v>703</v>
      </c>
      <c r="C440" s="431">
        <v>27000</v>
      </c>
      <c r="D440" s="431">
        <v>3</v>
      </c>
      <c r="E440" s="431">
        <f t="shared" si="18"/>
        <v>81000</v>
      </c>
    </row>
    <row r="441" spans="1:5" x14ac:dyDescent="0.2">
      <c r="A441" s="448" t="s">
        <v>323</v>
      </c>
      <c r="B441" s="448" t="s">
        <v>129</v>
      </c>
      <c r="C441" s="448">
        <v>27000</v>
      </c>
      <c r="D441" s="448">
        <v>39</v>
      </c>
      <c r="E441" s="448">
        <f t="shared" si="18"/>
        <v>1053000</v>
      </c>
    </row>
    <row r="442" spans="1:5" x14ac:dyDescent="0.2">
      <c r="A442" s="431" t="s">
        <v>925</v>
      </c>
      <c r="B442" s="431" t="s">
        <v>908</v>
      </c>
      <c r="C442" s="431">
        <v>28500</v>
      </c>
      <c r="D442" s="431">
        <v>2</v>
      </c>
      <c r="E442" s="431">
        <f t="shared" si="18"/>
        <v>57000</v>
      </c>
    </row>
    <row r="443" spans="1:5" x14ac:dyDescent="0.2">
      <c r="A443" s="2221" t="s">
        <v>69</v>
      </c>
      <c r="B443" s="2209"/>
      <c r="C443" s="2222">
        <f>E443/D443</f>
        <v>30980.022727272728</v>
      </c>
      <c r="D443" s="430">
        <f>SUM(D426:D442)</f>
        <v>88</v>
      </c>
      <c r="E443" s="430">
        <f>SUM(E426:E442)</f>
        <v>2726242</v>
      </c>
    </row>
    <row r="445" spans="1:5" x14ac:dyDescent="0.2">
      <c r="C445" s="2205" t="s">
        <v>70</v>
      </c>
      <c r="D445" s="2205">
        <f>SUM(D227,D249,D262,D272,D287,D306,D344,D385,D397,D407,D423,D443)</f>
        <v>1885</v>
      </c>
    </row>
    <row r="447" spans="1:5" ht="18" x14ac:dyDescent="0.25">
      <c r="A447" s="2216" t="s">
        <v>1096</v>
      </c>
      <c r="C447" s="2209" t="s">
        <v>1098</v>
      </c>
      <c r="D447" s="2209" t="s">
        <v>1097</v>
      </c>
    </row>
    <row r="449" spans="1:5" ht="15.75" x14ac:dyDescent="0.25">
      <c r="A449" s="2207" t="s">
        <v>1095</v>
      </c>
      <c r="C449" s="2213">
        <f>C227</f>
        <v>75446.428571428565</v>
      </c>
      <c r="D449" s="2220">
        <f>D227</f>
        <v>28</v>
      </c>
    </row>
    <row r="450" spans="1:5" ht="15.75" x14ac:dyDescent="0.25">
      <c r="A450" s="2207" t="s">
        <v>1087</v>
      </c>
      <c r="C450" s="2213">
        <f>C249</f>
        <v>52172.277777777781</v>
      </c>
      <c r="D450" s="2220">
        <f>D249</f>
        <v>180</v>
      </c>
    </row>
    <row r="451" spans="1:5" ht="15.75" x14ac:dyDescent="0.25">
      <c r="A451" s="2207" t="s">
        <v>1088</v>
      </c>
      <c r="C451" s="2213">
        <f>C262</f>
        <v>67021.428571428565</v>
      </c>
      <c r="D451" s="2220">
        <f>D262</f>
        <v>70</v>
      </c>
    </row>
    <row r="452" spans="1:5" ht="15.75" x14ac:dyDescent="0.25">
      <c r="A452" s="2207" t="s">
        <v>1093</v>
      </c>
      <c r="C452" s="2213">
        <f>C272</f>
        <v>43760.869565217392</v>
      </c>
      <c r="D452" s="2220">
        <f>D272</f>
        <v>46</v>
      </c>
    </row>
    <row r="453" spans="1:5" ht="15.75" x14ac:dyDescent="0.25">
      <c r="A453" s="2207" t="s">
        <v>918</v>
      </c>
      <c r="C453" s="2213">
        <f>C287</f>
        <v>73742.585858585851</v>
      </c>
      <c r="D453" s="2220">
        <f>D287</f>
        <v>99</v>
      </c>
    </row>
    <row r="454" spans="1:5" ht="15.75" x14ac:dyDescent="0.25">
      <c r="A454" s="2207" t="s">
        <v>1089</v>
      </c>
      <c r="C454" s="2213">
        <f>C306</f>
        <v>74211.495798319331</v>
      </c>
      <c r="D454" s="2220">
        <f>D306</f>
        <v>119</v>
      </c>
    </row>
    <row r="455" spans="1:5" ht="15.75" x14ac:dyDescent="0.25">
      <c r="A455" s="2207" t="s">
        <v>1090</v>
      </c>
      <c r="C455" s="2213">
        <f>C344</f>
        <v>74406.444444444438</v>
      </c>
      <c r="D455" s="2220">
        <f>D344</f>
        <v>72</v>
      </c>
    </row>
    <row r="456" spans="1:5" ht="15.75" x14ac:dyDescent="0.25">
      <c r="A456" s="2207" t="s">
        <v>145</v>
      </c>
      <c r="C456" s="2213">
        <f>C385</f>
        <v>31292.082627118645</v>
      </c>
      <c r="D456" s="2220">
        <f>D385</f>
        <v>944</v>
      </c>
    </row>
    <row r="457" spans="1:5" ht="15.75" x14ac:dyDescent="0.25">
      <c r="A457" s="2207" t="s">
        <v>1091</v>
      </c>
      <c r="C457" s="2213">
        <f>C397</f>
        <v>43523.190476190473</v>
      </c>
      <c r="D457" s="2220">
        <f>D397</f>
        <v>21</v>
      </c>
    </row>
    <row r="458" spans="1:5" ht="15.75" x14ac:dyDescent="0.25">
      <c r="A458" s="2207" t="s">
        <v>705</v>
      </c>
      <c r="C458" s="2213">
        <f>C407</f>
        <v>54633.557251908394</v>
      </c>
      <c r="D458" s="2220">
        <f>D407</f>
        <v>131</v>
      </c>
    </row>
    <row r="459" spans="1:5" ht="15.75" x14ac:dyDescent="0.25">
      <c r="A459" s="2207" t="s">
        <v>1092</v>
      </c>
      <c r="C459" s="2213">
        <f>C423</f>
        <v>54199.103448275862</v>
      </c>
      <c r="D459" s="2220">
        <f>D423</f>
        <v>87</v>
      </c>
    </row>
    <row r="460" spans="1:5" ht="15.75" x14ac:dyDescent="0.25">
      <c r="A460" s="2207" t="s">
        <v>1094</v>
      </c>
      <c r="C460" s="2213">
        <f>C443</f>
        <v>30980.022727272728</v>
      </c>
      <c r="D460" s="2220">
        <f>D443</f>
        <v>88</v>
      </c>
    </row>
    <row r="461" spans="1:5" x14ac:dyDescent="0.2">
      <c r="C461" s="2213"/>
    </row>
    <row r="462" spans="1:5" x14ac:dyDescent="0.2">
      <c r="C462" s="2213">
        <f>AVERAGE(C449:C460)</f>
        <v>56282.457259830662</v>
      </c>
      <c r="D462" s="2220">
        <f>SUM(D449:D460)</f>
        <v>1885</v>
      </c>
      <c r="E462" s="2205" t="s">
        <v>105</v>
      </c>
    </row>
    <row r="479" spans="1:5" x14ac:dyDescent="0.2">
      <c r="A479" s="2208"/>
      <c r="B479" s="2208"/>
      <c r="C479" s="2208"/>
      <c r="D479" s="2208"/>
      <c r="E479" s="2208"/>
    </row>
    <row r="480" spans="1:5" x14ac:dyDescent="0.2">
      <c r="A480" s="2208"/>
      <c r="B480" s="2208"/>
      <c r="C480" s="2208"/>
      <c r="D480" s="2208"/>
      <c r="E480" s="2208"/>
    </row>
    <row r="481" spans="1:5" x14ac:dyDescent="0.2">
      <c r="A481" s="2208"/>
      <c r="B481" s="2208"/>
      <c r="C481" s="2208"/>
      <c r="D481" s="2208"/>
      <c r="E481" s="2208"/>
    </row>
    <row r="482" spans="1:5" x14ac:dyDescent="0.2">
      <c r="A482" s="2208"/>
      <c r="B482" s="2208"/>
      <c r="C482" s="2208"/>
      <c r="D482" s="2208"/>
      <c r="E482" s="2208"/>
    </row>
    <row r="483" spans="1:5" x14ac:dyDescent="0.2">
      <c r="A483" s="2208"/>
      <c r="B483" s="2208"/>
      <c r="C483" s="2208"/>
      <c r="D483" s="2208"/>
      <c r="E483" s="2208"/>
    </row>
    <row r="484" spans="1:5" x14ac:dyDescent="0.2">
      <c r="A484" s="2208"/>
      <c r="B484" s="2208"/>
      <c r="C484" s="2208"/>
      <c r="D484" s="2208"/>
      <c r="E484" s="2208"/>
    </row>
    <row r="485" spans="1:5" x14ac:dyDescent="0.2">
      <c r="A485" s="2208"/>
      <c r="B485" s="2208"/>
      <c r="C485" s="2208"/>
      <c r="D485" s="2208"/>
      <c r="E485" s="2208"/>
    </row>
    <row r="486" spans="1:5" x14ac:dyDescent="0.2">
      <c r="A486" s="2208"/>
      <c r="B486" s="2208"/>
      <c r="C486" s="2208"/>
      <c r="D486" s="2208"/>
      <c r="E486" s="2208"/>
    </row>
    <row r="487" spans="1:5" x14ac:dyDescent="0.2">
      <c r="A487" s="2208"/>
      <c r="B487" s="2208"/>
      <c r="C487" s="2208"/>
      <c r="D487" s="2208"/>
      <c r="E487" s="2208"/>
    </row>
    <row r="488" spans="1:5" x14ac:dyDescent="0.2">
      <c r="A488" s="2208"/>
      <c r="B488" s="2208"/>
      <c r="C488" s="2208"/>
      <c r="D488" s="2208"/>
      <c r="E488" s="2208"/>
    </row>
    <row r="489" spans="1:5" x14ac:dyDescent="0.2">
      <c r="A489" s="2208"/>
      <c r="B489" s="2208"/>
      <c r="C489" s="2208"/>
      <c r="D489" s="2208"/>
      <c r="E489" s="2208"/>
    </row>
    <row r="490" spans="1:5" x14ac:dyDescent="0.2">
      <c r="A490" s="2208"/>
      <c r="B490" s="2208"/>
      <c r="C490" s="2208"/>
      <c r="D490" s="2208"/>
      <c r="E490" s="2208"/>
    </row>
    <row r="491" spans="1:5" x14ac:dyDescent="0.2">
      <c r="A491" s="2208"/>
      <c r="B491" s="2208"/>
      <c r="C491" s="2208"/>
      <c r="D491" s="2208"/>
      <c r="E491" s="2208"/>
    </row>
    <row r="492" spans="1:5" x14ac:dyDescent="0.2">
      <c r="A492" s="2208"/>
      <c r="B492" s="2208"/>
      <c r="C492" s="2208"/>
      <c r="D492" s="2208"/>
      <c r="E492" s="2208"/>
    </row>
    <row r="493" spans="1:5" x14ac:dyDescent="0.2">
      <c r="A493" s="2208"/>
      <c r="B493" s="2208"/>
      <c r="C493" s="2208"/>
      <c r="D493" s="2208"/>
      <c r="E493" s="2208"/>
    </row>
    <row r="494" spans="1:5" x14ac:dyDescent="0.2">
      <c r="A494" s="2208"/>
      <c r="B494" s="2208"/>
      <c r="C494" s="2208"/>
      <c r="D494" s="2208"/>
      <c r="E494" s="2208"/>
    </row>
    <row r="495" spans="1:5" x14ac:dyDescent="0.2">
      <c r="A495" s="2208"/>
      <c r="B495" s="2208"/>
      <c r="C495" s="2208"/>
      <c r="D495" s="2208"/>
      <c r="E495" s="2208"/>
    </row>
    <row r="496" spans="1:5" x14ac:dyDescent="0.2">
      <c r="A496" s="2208"/>
      <c r="B496" s="2208"/>
      <c r="C496" s="2208"/>
      <c r="D496" s="2208"/>
      <c r="E496" s="2208"/>
    </row>
    <row r="497" spans="1:5" x14ac:dyDescent="0.2">
      <c r="A497" s="2208"/>
      <c r="B497" s="2208"/>
      <c r="C497" s="2208"/>
      <c r="D497" s="2208"/>
      <c r="E497" s="2208"/>
    </row>
    <row r="498" spans="1:5" x14ac:dyDescent="0.2">
      <c r="A498" s="2208"/>
      <c r="B498" s="2208"/>
      <c r="C498" s="2208"/>
      <c r="D498" s="2208"/>
      <c r="E498" s="2208"/>
    </row>
    <row r="499" spans="1:5" x14ac:dyDescent="0.2">
      <c r="A499" s="2208"/>
      <c r="B499" s="2208"/>
      <c r="C499" s="2208"/>
      <c r="D499" s="2208"/>
      <c r="E499" s="2208"/>
    </row>
    <row r="500" spans="1:5" x14ac:dyDescent="0.2">
      <c r="A500" s="2208"/>
      <c r="B500" s="2208"/>
      <c r="C500" s="2208"/>
      <c r="D500" s="2208"/>
      <c r="E500" s="2208"/>
    </row>
    <row r="501" spans="1:5" x14ac:dyDescent="0.2">
      <c r="A501" s="2208"/>
      <c r="B501" s="2208"/>
      <c r="C501" s="2208"/>
      <c r="D501" s="2208"/>
      <c r="E501" s="2208"/>
    </row>
    <row r="502" spans="1:5" x14ac:dyDescent="0.2">
      <c r="A502" s="2208"/>
      <c r="B502" s="2208"/>
      <c r="C502" s="2208"/>
      <c r="D502" s="2208"/>
      <c r="E502" s="2208"/>
    </row>
    <row r="503" spans="1:5" x14ac:dyDescent="0.2">
      <c r="A503" s="2208"/>
      <c r="B503" s="2208"/>
      <c r="C503" s="2208"/>
      <c r="D503" s="2208"/>
      <c r="E503" s="2208"/>
    </row>
    <row r="504" spans="1:5" x14ac:dyDescent="0.2">
      <c r="A504" s="2208"/>
      <c r="B504" s="2208"/>
      <c r="C504" s="2208"/>
      <c r="D504" s="2208"/>
      <c r="E504" s="2208"/>
    </row>
    <row r="505" spans="1:5" x14ac:dyDescent="0.2">
      <c r="A505" s="2208"/>
      <c r="B505" s="2208"/>
      <c r="C505" s="2208"/>
      <c r="D505" s="2208"/>
      <c r="E505" s="2208"/>
    </row>
    <row r="506" spans="1:5" x14ac:dyDescent="0.2">
      <c r="A506" s="2208"/>
      <c r="B506" s="2208"/>
      <c r="C506" s="2208"/>
      <c r="D506" s="2208"/>
      <c r="E506" s="2208"/>
    </row>
    <row r="507" spans="1:5" x14ac:dyDescent="0.2">
      <c r="A507" s="2208"/>
      <c r="B507" s="2208"/>
      <c r="C507" s="2208"/>
      <c r="D507" s="2208"/>
      <c r="E507" s="2208"/>
    </row>
    <row r="508" spans="1:5" x14ac:dyDescent="0.2">
      <c r="A508" s="2208"/>
      <c r="B508" s="2208"/>
      <c r="C508" s="2208"/>
      <c r="D508" s="2208"/>
      <c r="E508" s="2208"/>
    </row>
    <row r="509" spans="1:5" x14ac:dyDescent="0.2">
      <c r="A509" s="2208"/>
      <c r="B509" s="2208"/>
      <c r="C509" s="2208"/>
      <c r="D509" s="2208"/>
      <c r="E509" s="2208"/>
    </row>
    <row r="510" spans="1:5" x14ac:dyDescent="0.2">
      <c r="A510" s="2208"/>
      <c r="B510" s="2208"/>
      <c r="C510" s="2208"/>
      <c r="D510" s="2208"/>
      <c r="E510" s="2208"/>
    </row>
    <row r="511" spans="1:5" x14ac:dyDescent="0.2">
      <c r="A511" s="2208"/>
      <c r="B511" s="2208"/>
      <c r="C511" s="2208"/>
      <c r="D511" s="2208"/>
      <c r="E511" s="2208"/>
    </row>
    <row r="512" spans="1:5" x14ac:dyDescent="0.2">
      <c r="A512" s="2208"/>
      <c r="B512" s="2208"/>
      <c r="C512" s="2208"/>
      <c r="D512" s="2208"/>
      <c r="E512" s="2208"/>
    </row>
    <row r="513" spans="1:5" x14ac:dyDescent="0.2">
      <c r="A513" s="2208"/>
      <c r="B513" s="2208"/>
      <c r="C513" s="2208"/>
      <c r="D513" s="2208"/>
      <c r="E513" s="2208"/>
    </row>
    <row r="514" spans="1:5" x14ac:dyDescent="0.2">
      <c r="A514" s="2208"/>
      <c r="B514" s="2208"/>
      <c r="C514" s="2208"/>
      <c r="D514" s="2208"/>
      <c r="E514" s="2208"/>
    </row>
    <row r="515" spans="1:5" x14ac:dyDescent="0.2">
      <c r="A515" s="2208"/>
      <c r="B515" s="2208"/>
      <c r="C515" s="2208"/>
      <c r="D515" s="2208"/>
      <c r="E515" s="2208"/>
    </row>
    <row r="516" spans="1:5" x14ac:dyDescent="0.2">
      <c r="A516" s="2208"/>
      <c r="B516" s="2208"/>
      <c r="C516" s="2208"/>
      <c r="D516" s="2208"/>
      <c r="E516" s="2208"/>
    </row>
    <row r="517" spans="1:5" x14ac:dyDescent="0.2">
      <c r="A517" s="2208"/>
      <c r="B517" s="2208"/>
      <c r="C517" s="2208"/>
      <c r="D517" s="2208"/>
      <c r="E517" s="2208"/>
    </row>
    <row r="518" spans="1:5" x14ac:dyDescent="0.2">
      <c r="A518" s="2208"/>
      <c r="B518" s="2208"/>
      <c r="C518" s="2208"/>
      <c r="D518" s="2208"/>
      <c r="E518" s="2208"/>
    </row>
    <row r="519" spans="1:5" x14ac:dyDescent="0.2">
      <c r="A519" s="2208"/>
      <c r="B519" s="2208"/>
      <c r="C519" s="2208"/>
      <c r="D519" s="2208"/>
      <c r="E519" s="2208"/>
    </row>
  </sheetData>
  <mergeCells count="1">
    <mergeCell ref="A1:E1"/>
  </mergeCells>
  <printOptions gridLines="1"/>
  <pageMargins left="0.75" right="0.75" top="1" bottom="1" header="0.5" footer="0.5"/>
  <pageSetup scale="23" orientation="portrait" r:id="rId1"/>
  <headerFooter alignWithMargins="0"/>
  <rowBreaks count="1" manualBreakCount="1">
    <brk id="218" max="24" man="1"/>
  </rowBreaks>
  <colBreaks count="1" manualBreakCount="1">
    <brk id="11" max="45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105"/>
  <sheetViews>
    <sheetView workbookViewId="0">
      <selection sqref="A1:H2"/>
    </sheetView>
  </sheetViews>
  <sheetFormatPr defaultRowHeight="12.75" x14ac:dyDescent="0.2"/>
  <cols>
    <col min="1" max="1" width="45.140625" customWidth="1"/>
    <col min="2" max="2" width="21.85546875" style="31" customWidth="1"/>
    <col min="3" max="3" width="15.28515625" style="31" customWidth="1"/>
    <col min="4" max="4" width="20.5703125" style="31" customWidth="1"/>
    <col min="5" max="5" width="11.42578125" style="882" customWidth="1"/>
    <col min="6" max="6" width="15.85546875" style="84" customWidth="1"/>
    <col min="7" max="7" width="12.5703125" style="882" customWidth="1"/>
    <col min="8" max="8" width="14" style="31" customWidth="1"/>
    <col min="9" max="9" width="13.85546875" customWidth="1"/>
    <col min="10" max="10" width="13.85546875" style="39" customWidth="1"/>
    <col min="11" max="11" width="12.28515625" customWidth="1"/>
    <col min="12" max="12" width="9.7109375" bestFit="1" customWidth="1"/>
    <col min="13" max="13" width="10.7109375" customWidth="1"/>
    <col min="14" max="14" width="12.28515625" customWidth="1"/>
    <col min="21" max="21" width="11.140625" bestFit="1" customWidth="1"/>
    <col min="22" max="22" width="9.42578125" bestFit="1" customWidth="1"/>
    <col min="23" max="25" width="11.140625" bestFit="1" customWidth="1"/>
  </cols>
  <sheetData>
    <row r="1" spans="1:46" ht="12.75" customHeight="1" thickTop="1" x14ac:dyDescent="0.3">
      <c r="A1" s="4223" t="s">
        <v>376</v>
      </c>
      <c r="B1" s="4224"/>
      <c r="C1" s="4224"/>
      <c r="D1" s="4224"/>
      <c r="E1" s="4224"/>
      <c r="F1" s="4224"/>
      <c r="G1" s="4224"/>
      <c r="H1" s="4225"/>
      <c r="I1" s="920"/>
      <c r="J1" s="90"/>
      <c r="K1" s="88"/>
      <c r="L1" s="88"/>
      <c r="M1" s="88"/>
      <c r="N1" s="81"/>
      <c r="O1" s="39"/>
      <c r="P1" s="39"/>
      <c r="Q1" s="39"/>
      <c r="R1" s="39"/>
      <c r="S1" s="39"/>
      <c r="T1" s="39"/>
      <c r="U1" s="39"/>
      <c r="V1" s="39"/>
      <c r="W1" s="39"/>
      <c r="X1" s="39"/>
      <c r="Y1" s="39"/>
      <c r="Z1" s="39"/>
      <c r="AA1" s="39"/>
      <c r="AB1" s="39"/>
      <c r="AC1" s="39"/>
      <c r="AD1" s="39"/>
      <c r="AE1" s="39"/>
      <c r="AF1" s="39"/>
      <c r="AG1" s="39"/>
      <c r="AH1" s="39"/>
      <c r="AI1" s="39"/>
      <c r="AJ1" s="39"/>
      <c r="AK1" s="39"/>
      <c r="AL1" s="39"/>
      <c r="AM1" s="39"/>
      <c r="AN1" s="29"/>
      <c r="AO1" s="32"/>
      <c r="AP1" s="33"/>
      <c r="AQ1" s="34"/>
      <c r="AR1" s="37"/>
      <c r="AS1" s="35" t="s">
        <v>71</v>
      </c>
      <c r="AT1" s="36" t="s">
        <v>84</v>
      </c>
    </row>
    <row r="2" spans="1:46" ht="13.5" customHeight="1" thickBot="1" x14ac:dyDescent="0.35">
      <c r="A2" s="4226"/>
      <c r="B2" s="4227"/>
      <c r="C2" s="4227"/>
      <c r="D2" s="4227"/>
      <c r="E2" s="4227"/>
      <c r="F2" s="4227"/>
      <c r="G2" s="4227"/>
      <c r="H2" s="4228"/>
      <c r="I2" s="920"/>
      <c r="J2" s="90"/>
      <c r="K2" s="88"/>
      <c r="L2" s="88"/>
      <c r="M2" s="88"/>
      <c r="N2" s="81"/>
      <c r="O2" s="39"/>
      <c r="P2" s="39"/>
      <c r="Q2" s="39"/>
      <c r="R2" s="39"/>
      <c r="S2" s="39"/>
      <c r="T2" s="39"/>
      <c r="U2" s="39"/>
      <c r="V2" s="39"/>
      <c r="W2" s="39"/>
      <c r="X2" s="39"/>
      <c r="Y2" s="41"/>
      <c r="Z2" s="41"/>
      <c r="AA2" s="41"/>
      <c r="AB2" s="41"/>
      <c r="AC2" s="41"/>
      <c r="AD2" s="41"/>
      <c r="AE2" s="41"/>
      <c r="AF2" s="41"/>
      <c r="AG2" s="41"/>
      <c r="AH2" s="41"/>
      <c r="AI2" s="41"/>
      <c r="AJ2" s="41"/>
      <c r="AK2" s="41"/>
      <c r="AL2" s="41"/>
      <c r="AM2" s="41"/>
      <c r="AN2" s="30"/>
      <c r="AO2" s="32"/>
      <c r="AP2" s="33"/>
      <c r="AQ2" s="34"/>
      <c r="AR2" s="37"/>
      <c r="AS2" s="35" t="s">
        <v>82</v>
      </c>
      <c r="AT2" s="36" t="s">
        <v>85</v>
      </c>
    </row>
    <row r="3" spans="1:46" ht="13.5" thickTop="1" x14ac:dyDescent="0.2">
      <c r="A3" s="374"/>
      <c r="B3" s="375"/>
      <c r="C3" s="376"/>
      <c r="D3" s="377"/>
      <c r="E3" s="876" t="s">
        <v>301</v>
      </c>
      <c r="F3" s="376"/>
      <c r="G3" s="876" t="s">
        <v>370</v>
      </c>
      <c r="H3" s="378"/>
      <c r="I3" s="117"/>
      <c r="J3" s="4229"/>
      <c r="K3" s="4230"/>
      <c r="L3" s="4230"/>
      <c r="M3" s="4231"/>
      <c r="N3" s="82"/>
      <c r="O3" s="39"/>
      <c r="P3" s="39"/>
      <c r="Q3" s="39"/>
      <c r="R3" s="39"/>
      <c r="S3" s="39"/>
      <c r="T3" s="39"/>
      <c r="U3" s="39"/>
      <c r="V3" s="39"/>
      <c r="W3" s="39"/>
      <c r="X3" s="39"/>
      <c r="Y3" s="39"/>
      <c r="Z3" s="39"/>
      <c r="AA3" s="39"/>
      <c r="AB3" s="39"/>
      <c r="AC3" s="39"/>
      <c r="AD3" s="39"/>
      <c r="AE3" s="39"/>
      <c r="AF3" s="39"/>
      <c r="AG3" s="39"/>
      <c r="AH3" s="39"/>
      <c r="AI3" s="39"/>
      <c r="AJ3" s="39"/>
      <c r="AK3" s="39"/>
      <c r="AL3" s="39"/>
      <c r="AN3" s="32"/>
    </row>
    <row r="4" spans="1:46" x14ac:dyDescent="0.2">
      <c r="A4" s="379"/>
      <c r="B4" s="380" t="s">
        <v>240</v>
      </c>
      <c r="C4" s="380" t="s">
        <v>194</v>
      </c>
      <c r="D4" s="381"/>
      <c r="E4" s="877" t="s">
        <v>43</v>
      </c>
      <c r="F4" s="382"/>
      <c r="G4" s="877" t="s">
        <v>53</v>
      </c>
      <c r="H4" s="383" t="s">
        <v>55</v>
      </c>
      <c r="I4" s="117"/>
      <c r="J4" s="117"/>
      <c r="K4" s="201"/>
      <c r="L4" s="201"/>
      <c r="M4" s="81"/>
      <c r="N4" s="82"/>
      <c r="O4" s="39"/>
      <c r="P4" s="39"/>
      <c r="Q4" s="39"/>
      <c r="R4" s="39"/>
      <c r="S4" s="39"/>
      <c r="T4" s="39"/>
      <c r="U4" s="39"/>
      <c r="V4" s="39"/>
      <c r="W4" s="39"/>
      <c r="X4" s="39"/>
      <c r="Y4" s="39"/>
      <c r="Z4" s="39"/>
      <c r="AA4" s="39"/>
      <c r="AB4" s="39"/>
      <c r="AC4" s="39"/>
      <c r="AD4" s="39"/>
      <c r="AE4" s="39"/>
      <c r="AF4" s="39"/>
      <c r="AG4" s="39"/>
      <c r="AH4" s="39"/>
      <c r="AI4" s="39"/>
      <c r="AJ4" s="39"/>
      <c r="AK4" s="39"/>
      <c r="AL4" s="39"/>
      <c r="AN4" s="32"/>
    </row>
    <row r="5" spans="1:46" ht="13.5" thickBot="1" x14ac:dyDescent="0.25">
      <c r="A5" s="610" t="s">
        <v>241</v>
      </c>
      <c r="B5" s="380" t="s">
        <v>242</v>
      </c>
      <c r="C5" s="380" t="s">
        <v>195</v>
      </c>
      <c r="D5" s="381" t="s">
        <v>5</v>
      </c>
      <c r="E5" s="877" t="s">
        <v>242</v>
      </c>
      <c r="F5" s="381" t="s">
        <v>31</v>
      </c>
      <c r="G5" s="877" t="s">
        <v>54</v>
      </c>
      <c r="H5" s="383" t="s">
        <v>56</v>
      </c>
      <c r="I5" s="117"/>
      <c r="J5" s="26"/>
      <c r="K5" s="117"/>
      <c r="L5" s="117"/>
      <c r="M5" s="117"/>
      <c r="N5" s="82"/>
      <c r="O5" s="39"/>
      <c r="P5" s="39"/>
      <c r="Q5" s="39"/>
      <c r="R5" s="39"/>
      <c r="S5" s="39"/>
      <c r="T5" s="39"/>
      <c r="U5" s="39"/>
      <c r="V5" s="39"/>
      <c r="W5" s="39"/>
      <c r="X5" s="39"/>
      <c r="Y5" s="39"/>
      <c r="Z5" s="39"/>
      <c r="AA5" s="39"/>
      <c r="AB5" s="39"/>
      <c r="AC5" s="39"/>
      <c r="AD5" s="39"/>
      <c r="AE5" s="39"/>
      <c r="AF5" s="39"/>
      <c r="AG5" s="39"/>
      <c r="AH5" s="39"/>
      <c r="AI5" s="39"/>
      <c r="AJ5" s="39"/>
      <c r="AK5" s="39"/>
      <c r="AL5" s="39"/>
    </row>
    <row r="6" spans="1:46" x14ac:dyDescent="0.2">
      <c r="A6" s="921" t="s">
        <v>39</v>
      </c>
      <c r="B6" s="883">
        <v>39107</v>
      </c>
      <c r="C6" s="884" t="s">
        <v>45</v>
      </c>
      <c r="D6" s="885" t="s">
        <v>464</v>
      </c>
      <c r="E6" s="886">
        <v>336055</v>
      </c>
      <c r="F6" s="887" t="s">
        <v>32</v>
      </c>
      <c r="G6" s="886">
        <v>0</v>
      </c>
      <c r="H6" s="922" t="s">
        <v>59</v>
      </c>
      <c r="I6" s="28"/>
      <c r="J6" s="91"/>
      <c r="K6" s="201"/>
      <c r="L6" s="91"/>
      <c r="M6" s="609"/>
      <c r="N6" s="82"/>
      <c r="O6" s="39"/>
      <c r="P6" s="39"/>
      <c r="Q6" s="39"/>
      <c r="R6" s="39"/>
      <c r="S6" s="39"/>
      <c r="T6" s="52"/>
      <c r="U6" s="52"/>
      <c r="V6" s="52"/>
      <c r="W6" s="52"/>
      <c r="X6" s="52"/>
      <c r="Y6" s="39"/>
      <c r="Z6" s="39"/>
      <c r="AA6" s="39"/>
      <c r="AB6" s="39"/>
      <c r="AC6" s="39"/>
      <c r="AD6" s="39"/>
      <c r="AE6" s="39"/>
      <c r="AF6" s="39"/>
      <c r="AG6" s="39"/>
      <c r="AH6" s="39"/>
      <c r="AI6" s="39"/>
      <c r="AJ6" s="39"/>
      <c r="AK6" s="39"/>
      <c r="AL6" s="39"/>
    </row>
    <row r="7" spans="1:46" x14ac:dyDescent="0.2">
      <c r="A7" s="923" t="s">
        <v>247</v>
      </c>
      <c r="B7" s="888">
        <v>39107</v>
      </c>
      <c r="C7" s="889" t="s">
        <v>45</v>
      </c>
      <c r="D7" s="890" t="s">
        <v>203</v>
      </c>
      <c r="E7" s="891">
        <v>474428</v>
      </c>
      <c r="F7" s="892" t="s">
        <v>34</v>
      </c>
      <c r="G7" s="891">
        <v>0</v>
      </c>
      <c r="H7" s="924" t="s">
        <v>67</v>
      </c>
      <c r="I7" s="28"/>
      <c r="J7" s="91"/>
      <c r="K7" s="201"/>
      <c r="L7" s="91"/>
      <c r="M7" s="609"/>
      <c r="N7" s="82"/>
      <c r="O7" s="39"/>
      <c r="P7" s="39"/>
      <c r="Q7" s="39"/>
      <c r="R7" s="39"/>
      <c r="S7" s="39"/>
      <c r="T7" s="52"/>
      <c r="U7" s="52"/>
      <c r="V7" s="52"/>
      <c r="W7" s="52"/>
      <c r="X7" s="52"/>
      <c r="Y7" s="39"/>
      <c r="Z7" s="39"/>
      <c r="AA7" s="39"/>
      <c r="AB7" s="39"/>
      <c r="AC7" s="39"/>
      <c r="AD7" s="39"/>
      <c r="AE7" s="39"/>
      <c r="AF7" s="39"/>
      <c r="AG7" s="39"/>
      <c r="AH7" s="39"/>
      <c r="AI7" s="39"/>
      <c r="AJ7" s="39"/>
      <c r="AK7" s="39"/>
      <c r="AL7" s="39"/>
    </row>
    <row r="8" spans="1:46" x14ac:dyDescent="0.2">
      <c r="A8" s="923" t="s">
        <v>13</v>
      </c>
      <c r="B8" s="888">
        <v>39128</v>
      </c>
      <c r="C8" s="889" t="s">
        <v>45</v>
      </c>
      <c r="D8" s="890" t="s">
        <v>1029</v>
      </c>
      <c r="E8" s="893">
        <v>791277</v>
      </c>
      <c r="F8" s="892" t="s">
        <v>33</v>
      </c>
      <c r="G8" s="891">
        <v>0</v>
      </c>
      <c r="H8" s="924" t="s">
        <v>60</v>
      </c>
      <c r="I8" s="91"/>
      <c r="J8" s="91"/>
      <c r="K8" s="201"/>
      <c r="L8" s="91"/>
      <c r="M8" s="609"/>
      <c r="N8" s="82"/>
      <c r="O8" s="39"/>
      <c r="P8" s="39"/>
      <c r="Q8" s="39"/>
      <c r="R8" s="39"/>
      <c r="S8" s="39"/>
      <c r="T8" s="52"/>
      <c r="U8" s="52"/>
      <c r="V8" s="52"/>
      <c r="W8" s="52"/>
      <c r="X8" s="52"/>
      <c r="Y8" s="39"/>
      <c r="Z8" s="39"/>
      <c r="AA8" s="39"/>
      <c r="AB8" s="39"/>
      <c r="AC8" s="39"/>
      <c r="AD8" s="39"/>
      <c r="AE8" s="39"/>
      <c r="AF8" s="39"/>
      <c r="AG8" s="39"/>
      <c r="AH8" s="39"/>
      <c r="AI8" s="39"/>
      <c r="AJ8" s="39"/>
      <c r="AK8" s="39"/>
      <c r="AL8" s="39"/>
    </row>
    <row r="9" spans="1:46" x14ac:dyDescent="0.2">
      <c r="A9" s="923" t="s">
        <v>52</v>
      </c>
      <c r="B9" s="888">
        <v>39128</v>
      </c>
      <c r="C9" s="889" t="s">
        <v>45</v>
      </c>
      <c r="D9" s="890" t="s">
        <v>504</v>
      </c>
      <c r="E9" s="891">
        <v>229672</v>
      </c>
      <c r="F9" s="892" t="s">
        <v>284</v>
      </c>
      <c r="G9" s="891">
        <v>0</v>
      </c>
      <c r="H9" s="924" t="s">
        <v>440</v>
      </c>
      <c r="I9" s="92"/>
      <c r="J9" s="91"/>
      <c r="K9" s="201"/>
      <c r="L9" s="91"/>
      <c r="M9" s="609"/>
      <c r="N9" s="82"/>
      <c r="O9" s="39"/>
      <c r="P9" s="39"/>
      <c r="Q9" s="39"/>
      <c r="R9" s="39"/>
      <c r="S9" s="39"/>
      <c r="T9" s="52"/>
      <c r="U9" s="52"/>
      <c r="V9" s="52"/>
      <c r="W9" s="52"/>
      <c r="X9" s="52"/>
      <c r="Y9" s="39"/>
      <c r="Z9" s="39"/>
      <c r="AA9" s="39"/>
      <c r="AB9" s="39"/>
      <c r="AC9" s="39"/>
      <c r="AD9" s="39"/>
      <c r="AE9" s="39"/>
      <c r="AF9" s="39"/>
      <c r="AG9" s="39"/>
      <c r="AH9" s="39"/>
      <c r="AI9" s="39"/>
      <c r="AJ9" s="39"/>
      <c r="AK9" s="39"/>
      <c r="AL9" s="39"/>
    </row>
    <row r="10" spans="1:46" x14ac:dyDescent="0.2">
      <c r="A10" s="923" t="s">
        <v>245</v>
      </c>
      <c r="B10" s="888">
        <v>39163</v>
      </c>
      <c r="C10" s="889" t="s">
        <v>45</v>
      </c>
      <c r="D10" s="890" t="s">
        <v>46</v>
      </c>
      <c r="E10" s="891">
        <v>255439</v>
      </c>
      <c r="F10" s="892" t="s">
        <v>41</v>
      </c>
      <c r="G10" s="891">
        <v>0</v>
      </c>
      <c r="H10" s="924" t="s">
        <v>440</v>
      </c>
      <c r="I10" s="91"/>
      <c r="J10" s="4232"/>
      <c r="K10" s="4229"/>
      <c r="L10" s="4229"/>
      <c r="M10" s="4229"/>
      <c r="N10" s="82"/>
      <c r="O10" s="39"/>
      <c r="P10" s="39"/>
      <c r="Q10" s="39"/>
      <c r="R10" s="39"/>
      <c r="S10" s="39"/>
      <c r="T10" s="52"/>
      <c r="U10" s="52"/>
      <c r="V10" s="52"/>
      <c r="W10" s="52"/>
      <c r="X10" s="52"/>
      <c r="Y10" s="39"/>
      <c r="Z10" s="39"/>
      <c r="AA10" s="39"/>
      <c r="AB10" s="39"/>
      <c r="AC10" s="39"/>
      <c r="AD10" s="39"/>
      <c r="AE10" s="39"/>
      <c r="AF10" s="39"/>
      <c r="AG10" s="39"/>
      <c r="AH10" s="39"/>
      <c r="AI10" s="39"/>
      <c r="AJ10" s="39"/>
      <c r="AK10" s="39"/>
      <c r="AL10" s="39"/>
    </row>
    <row r="11" spans="1:46" x14ac:dyDescent="0.2">
      <c r="A11" s="923" t="s">
        <v>61</v>
      </c>
      <c r="B11" s="888">
        <v>39205</v>
      </c>
      <c r="C11" s="889" t="s">
        <v>45</v>
      </c>
      <c r="D11" s="890" t="s">
        <v>248</v>
      </c>
      <c r="E11" s="891">
        <v>85539</v>
      </c>
      <c r="F11" s="892" t="s">
        <v>64</v>
      </c>
      <c r="G11" s="891">
        <v>0</v>
      </c>
      <c r="H11" s="924" t="s">
        <v>67</v>
      </c>
      <c r="I11" s="28"/>
      <c r="J11" s="4233"/>
      <c r="K11" s="4231"/>
      <c r="L11" s="82"/>
      <c r="M11" s="95"/>
      <c r="N11" s="82"/>
      <c r="O11" s="39"/>
      <c r="P11" s="39"/>
      <c r="Q11" s="39"/>
      <c r="R11" s="39"/>
      <c r="S11" s="39"/>
      <c r="T11" s="52"/>
      <c r="U11" s="52"/>
      <c r="V11" s="52"/>
      <c r="W11" s="52"/>
      <c r="X11" s="52"/>
      <c r="Y11" s="39"/>
      <c r="Z11" s="39"/>
      <c r="AA11" s="39"/>
      <c r="AB11" s="39"/>
      <c r="AC11" s="39"/>
      <c r="AD11" s="39"/>
      <c r="AE11" s="39"/>
      <c r="AF11" s="39"/>
      <c r="AG11" s="39"/>
      <c r="AH11" s="39"/>
      <c r="AI11" s="39"/>
      <c r="AJ11" s="39"/>
      <c r="AK11" s="39"/>
      <c r="AL11" s="39"/>
    </row>
    <row r="12" spans="1:46" x14ac:dyDescent="0.2">
      <c r="A12" s="923" t="s">
        <v>62</v>
      </c>
      <c r="B12" s="888">
        <v>39205</v>
      </c>
      <c r="C12" s="889" t="s">
        <v>243</v>
      </c>
      <c r="D12" s="890" t="s">
        <v>244</v>
      </c>
      <c r="E12" s="891">
        <v>677944</v>
      </c>
      <c r="F12" s="892" t="s">
        <v>65</v>
      </c>
      <c r="G12" s="891">
        <v>324549</v>
      </c>
      <c r="H12" s="924" t="s">
        <v>440</v>
      </c>
      <c r="I12" s="28"/>
      <c r="J12" s="4233"/>
      <c r="K12" s="4231"/>
      <c r="L12" s="82"/>
      <c r="M12" s="95"/>
      <c r="N12" s="82"/>
      <c r="O12" s="39"/>
      <c r="P12" s="39"/>
      <c r="Q12" s="39"/>
      <c r="R12" s="39"/>
      <c r="S12" s="39"/>
      <c r="T12" s="52"/>
      <c r="U12" s="52"/>
      <c r="V12" s="52"/>
      <c r="W12" s="52"/>
      <c r="X12" s="52"/>
      <c r="Y12" s="39"/>
      <c r="Z12" s="39"/>
      <c r="AA12" s="39"/>
      <c r="AB12" s="39"/>
      <c r="AC12" s="39"/>
      <c r="AD12" s="39"/>
      <c r="AE12" s="39"/>
      <c r="AF12" s="39"/>
      <c r="AG12" s="39"/>
      <c r="AH12" s="39"/>
      <c r="AI12" s="39"/>
      <c r="AJ12" s="39"/>
      <c r="AK12" s="39"/>
      <c r="AL12" s="39"/>
    </row>
    <row r="13" spans="1:46" x14ac:dyDescent="0.2">
      <c r="A13" s="923" t="s">
        <v>63</v>
      </c>
      <c r="B13" s="894">
        <v>39205</v>
      </c>
      <c r="C13" s="889" t="s">
        <v>243</v>
      </c>
      <c r="D13" s="890" t="s">
        <v>244</v>
      </c>
      <c r="E13" s="891">
        <v>156126</v>
      </c>
      <c r="F13" s="892" t="s">
        <v>66</v>
      </c>
      <c r="G13" s="891">
        <v>70611</v>
      </c>
      <c r="H13" s="924" t="s">
        <v>67</v>
      </c>
      <c r="I13" s="28"/>
      <c r="J13" s="4233"/>
      <c r="K13" s="4231"/>
      <c r="L13" s="82"/>
      <c r="M13" s="95"/>
      <c r="N13" s="82"/>
      <c r="O13" s="39"/>
      <c r="P13" s="39"/>
      <c r="Q13" s="39"/>
      <c r="R13" s="39"/>
      <c r="S13" s="39"/>
      <c r="T13" s="52"/>
      <c r="U13" s="52"/>
      <c r="V13" s="52"/>
      <c r="W13" s="52"/>
      <c r="X13" s="52"/>
      <c r="Y13" s="39"/>
      <c r="Z13" s="39"/>
      <c r="AA13" s="39"/>
      <c r="AB13" s="39"/>
      <c r="AC13" s="39"/>
      <c r="AD13" s="39"/>
      <c r="AE13" s="39"/>
      <c r="AF13" s="39"/>
      <c r="AG13" s="39"/>
      <c r="AH13" s="39"/>
      <c r="AI13" s="39"/>
      <c r="AJ13" s="39"/>
      <c r="AK13" s="39"/>
      <c r="AL13" s="39"/>
    </row>
    <row r="14" spans="1:46" x14ac:dyDescent="0.2">
      <c r="A14" s="923" t="s">
        <v>134</v>
      </c>
      <c r="B14" s="894">
        <v>39261</v>
      </c>
      <c r="C14" s="889" t="s">
        <v>45</v>
      </c>
      <c r="D14" s="890" t="s">
        <v>552</v>
      </c>
      <c r="E14" s="891">
        <v>79054</v>
      </c>
      <c r="F14" s="892" t="s">
        <v>64</v>
      </c>
      <c r="G14" s="891">
        <v>0</v>
      </c>
      <c r="H14" s="924" t="s">
        <v>67</v>
      </c>
      <c r="I14" s="28"/>
      <c r="J14" s="94"/>
      <c r="K14" s="81"/>
      <c r="L14" s="82"/>
      <c r="M14" s="95"/>
      <c r="N14" s="39"/>
      <c r="O14" s="39"/>
      <c r="P14" s="39"/>
      <c r="Q14" s="39"/>
      <c r="R14" s="39"/>
      <c r="S14" s="39"/>
      <c r="T14" s="52"/>
      <c r="U14" s="52"/>
      <c r="V14" s="52"/>
      <c r="W14" s="52"/>
      <c r="X14" s="52"/>
      <c r="Y14" s="39"/>
      <c r="Z14" s="39"/>
      <c r="AA14" s="39"/>
      <c r="AB14" s="39"/>
      <c r="AC14" s="39"/>
      <c r="AD14" s="39"/>
      <c r="AE14" s="39"/>
      <c r="AF14" s="39"/>
      <c r="AG14" s="39"/>
      <c r="AH14" s="39"/>
      <c r="AI14" s="39"/>
      <c r="AJ14" s="39"/>
      <c r="AK14" s="39"/>
      <c r="AL14" s="39"/>
    </row>
    <row r="15" spans="1:46" x14ac:dyDescent="0.2">
      <c r="A15" s="923" t="s">
        <v>50</v>
      </c>
      <c r="B15" s="888">
        <v>39261</v>
      </c>
      <c r="C15" s="889" t="s">
        <v>243</v>
      </c>
      <c r="D15" s="890" t="s">
        <v>244</v>
      </c>
      <c r="E15" s="891">
        <v>1653965</v>
      </c>
      <c r="F15" s="892" t="s">
        <v>36</v>
      </c>
      <c r="G15" s="891">
        <v>2212917</v>
      </c>
      <c r="H15" s="924" t="s">
        <v>440</v>
      </c>
      <c r="I15" s="28"/>
      <c r="J15" s="94"/>
      <c r="K15" s="81"/>
      <c r="L15" s="82"/>
      <c r="M15" s="95"/>
      <c r="N15" s="39"/>
      <c r="O15" s="39"/>
      <c r="P15" s="39"/>
      <c r="Q15" s="39"/>
      <c r="R15" s="39"/>
      <c r="S15" s="39"/>
      <c r="T15" s="52"/>
      <c r="U15" s="52"/>
      <c r="V15" s="52"/>
      <c r="W15" s="52"/>
      <c r="X15" s="52"/>
      <c r="Y15" s="39"/>
      <c r="Z15" s="39"/>
      <c r="AA15" s="39"/>
      <c r="AB15" s="39"/>
      <c r="AC15" s="39"/>
      <c r="AD15" s="39"/>
      <c r="AE15" s="39"/>
      <c r="AF15" s="39"/>
      <c r="AG15" s="39"/>
      <c r="AH15" s="39"/>
      <c r="AI15" s="39"/>
      <c r="AJ15" s="39"/>
      <c r="AK15" s="39"/>
      <c r="AL15" s="39"/>
    </row>
    <row r="16" spans="1:46" x14ac:dyDescent="0.2">
      <c r="A16" s="923" t="s">
        <v>188</v>
      </c>
      <c r="B16" s="888">
        <v>39289</v>
      </c>
      <c r="C16" s="889" t="s">
        <v>45</v>
      </c>
      <c r="D16" s="890" t="s">
        <v>848</v>
      </c>
      <c r="E16" s="891">
        <v>607347</v>
      </c>
      <c r="F16" s="892" t="s">
        <v>189</v>
      </c>
      <c r="G16" s="891">
        <v>0</v>
      </c>
      <c r="H16" s="924" t="s">
        <v>440</v>
      </c>
      <c r="I16" s="28"/>
      <c r="J16" s="94"/>
      <c r="K16" s="81"/>
      <c r="L16" s="82"/>
      <c r="M16" s="95"/>
      <c r="N16" s="39"/>
      <c r="O16" s="39"/>
      <c r="P16" s="39"/>
      <c r="Q16" s="39"/>
      <c r="R16" s="39"/>
      <c r="S16" s="39"/>
      <c r="T16" s="52"/>
      <c r="U16" s="52"/>
      <c r="V16" s="52"/>
      <c r="W16" s="52"/>
      <c r="X16" s="52"/>
      <c r="Y16" s="39"/>
      <c r="Z16" s="39"/>
      <c r="AA16" s="39"/>
      <c r="AB16" s="39"/>
      <c r="AC16" s="39"/>
      <c r="AD16" s="39"/>
      <c r="AE16" s="39"/>
      <c r="AF16" s="39"/>
      <c r="AG16" s="39"/>
      <c r="AH16" s="39"/>
      <c r="AI16" s="39"/>
      <c r="AJ16" s="39"/>
      <c r="AK16" s="39"/>
      <c r="AL16" s="39"/>
    </row>
    <row r="17" spans="1:38" x14ac:dyDescent="0.2">
      <c r="A17" s="923" t="s">
        <v>51</v>
      </c>
      <c r="B17" s="888">
        <v>39380</v>
      </c>
      <c r="C17" s="889" t="s">
        <v>243</v>
      </c>
      <c r="D17" s="890" t="s">
        <v>244</v>
      </c>
      <c r="E17" s="891">
        <v>182396</v>
      </c>
      <c r="F17" s="892" t="s">
        <v>37</v>
      </c>
      <c r="G17" s="891">
        <v>94388</v>
      </c>
      <c r="H17" s="924" t="s">
        <v>440</v>
      </c>
      <c r="I17" s="92"/>
      <c r="J17" s="91"/>
      <c r="K17" s="201"/>
      <c r="L17" s="91"/>
      <c r="M17" s="609"/>
      <c r="N17" s="82"/>
      <c r="O17" s="39"/>
      <c r="P17" s="39"/>
      <c r="Q17" s="39"/>
      <c r="R17" s="39"/>
      <c r="S17" s="39"/>
      <c r="T17" s="52"/>
      <c r="U17" s="52"/>
      <c r="V17" s="52"/>
      <c r="W17" s="52"/>
      <c r="X17" s="52"/>
      <c r="Y17" s="39"/>
      <c r="Z17" s="39"/>
      <c r="AA17" s="39"/>
      <c r="AB17" s="39"/>
      <c r="AC17" s="39"/>
      <c r="AD17" s="39"/>
      <c r="AE17" s="39"/>
      <c r="AF17" s="39"/>
      <c r="AG17" s="39"/>
      <c r="AH17" s="39"/>
      <c r="AI17" s="39"/>
      <c r="AJ17" s="39"/>
      <c r="AK17" s="39"/>
      <c r="AL17" s="39"/>
    </row>
    <row r="18" spans="1:38" x14ac:dyDescent="0.2">
      <c r="A18" s="923" t="s">
        <v>187</v>
      </c>
      <c r="B18" s="888">
        <v>39380</v>
      </c>
      <c r="C18" s="889" t="s">
        <v>243</v>
      </c>
      <c r="D18" s="890" t="s">
        <v>244</v>
      </c>
      <c r="E18" s="891">
        <v>1786828</v>
      </c>
      <c r="F18" s="892" t="s">
        <v>372</v>
      </c>
      <c r="G18" s="891">
        <v>2129672</v>
      </c>
      <c r="H18" s="924" t="s">
        <v>440</v>
      </c>
      <c r="I18" s="91"/>
      <c r="J18" s="94"/>
      <c r="K18" s="81"/>
      <c r="L18" s="82"/>
      <c r="M18" s="95"/>
      <c r="N18" s="82"/>
      <c r="O18" s="39"/>
      <c r="P18" s="39"/>
      <c r="Q18" s="39"/>
      <c r="R18" s="39"/>
      <c r="S18" s="39"/>
      <c r="T18" s="52"/>
      <c r="U18" s="52"/>
      <c r="V18" s="52"/>
      <c r="W18" s="52"/>
      <c r="X18" s="52"/>
      <c r="Y18" s="39"/>
      <c r="Z18" s="39"/>
      <c r="AA18" s="39"/>
      <c r="AB18" s="39"/>
      <c r="AC18" s="39"/>
      <c r="AD18" s="39"/>
      <c r="AE18" s="39"/>
      <c r="AF18" s="39"/>
      <c r="AG18" s="39"/>
      <c r="AH18" s="39"/>
      <c r="AI18" s="39"/>
      <c r="AJ18" s="39"/>
      <c r="AK18" s="39"/>
      <c r="AL18" s="39"/>
    </row>
    <row r="19" spans="1:38" s="39" customFormat="1" x14ac:dyDescent="0.2">
      <c r="A19" s="925" t="s">
        <v>417</v>
      </c>
      <c r="B19" s="895">
        <v>39422</v>
      </c>
      <c r="C19" s="896" t="s">
        <v>45</v>
      </c>
      <c r="D19" s="896" t="s">
        <v>46</v>
      </c>
      <c r="E19" s="897">
        <v>71302</v>
      </c>
      <c r="F19" s="898" t="s">
        <v>36</v>
      </c>
      <c r="G19" s="897">
        <v>0</v>
      </c>
      <c r="H19" s="928" t="s">
        <v>390</v>
      </c>
      <c r="I19" s="28"/>
      <c r="J19" s="94"/>
      <c r="K19" s="81"/>
      <c r="L19" s="82"/>
      <c r="M19" s="95"/>
      <c r="T19" s="52"/>
      <c r="U19" s="52"/>
      <c r="V19" s="52"/>
      <c r="W19" s="52"/>
      <c r="X19" s="52"/>
    </row>
    <row r="20" spans="1:38" s="39" customFormat="1" x14ac:dyDescent="0.2">
      <c r="A20" s="925" t="s">
        <v>752</v>
      </c>
      <c r="B20" s="895">
        <v>39380</v>
      </c>
      <c r="C20" s="896" t="s">
        <v>45</v>
      </c>
      <c r="D20" s="896" t="s">
        <v>552</v>
      </c>
      <c r="E20" s="897">
        <v>1942989</v>
      </c>
      <c r="F20" s="898" t="s">
        <v>302</v>
      </c>
      <c r="G20" s="897">
        <v>0</v>
      </c>
      <c r="H20" s="928" t="s">
        <v>67</v>
      </c>
      <c r="I20" s="28"/>
      <c r="J20" s="94"/>
      <c r="K20" s="81"/>
      <c r="L20" s="82"/>
      <c r="M20" s="95"/>
      <c r="T20" s="52"/>
      <c r="U20" s="52"/>
      <c r="V20" s="52"/>
      <c r="W20" s="52"/>
      <c r="X20" s="52"/>
    </row>
    <row r="21" spans="1:38" x14ac:dyDescent="0.2">
      <c r="A21" s="925" t="s">
        <v>466</v>
      </c>
      <c r="B21" s="895">
        <v>39513</v>
      </c>
      <c r="C21" s="896" t="s">
        <v>553</v>
      </c>
      <c r="D21" s="896" t="s">
        <v>244</v>
      </c>
      <c r="E21" s="897">
        <v>70533</v>
      </c>
      <c r="F21" s="898" t="s">
        <v>467</v>
      </c>
      <c r="G21" s="897">
        <v>29542</v>
      </c>
      <c r="H21" s="926" t="s">
        <v>440</v>
      </c>
      <c r="I21" s="28"/>
      <c r="J21" s="94"/>
      <c r="K21" s="81"/>
      <c r="L21" s="82"/>
      <c r="M21" s="95"/>
      <c r="N21" s="39"/>
      <c r="O21" s="39"/>
      <c r="P21" s="39"/>
      <c r="Q21" s="39"/>
      <c r="R21" s="39"/>
      <c r="S21" s="39"/>
      <c r="T21" s="52"/>
      <c r="U21" s="52"/>
      <c r="V21" s="52"/>
      <c r="W21" s="52"/>
      <c r="X21" s="52"/>
      <c r="Y21" s="39"/>
      <c r="Z21" s="39"/>
      <c r="AA21" s="39"/>
      <c r="AB21" s="39"/>
      <c r="AC21" s="39"/>
      <c r="AD21" s="39"/>
      <c r="AE21" s="39"/>
      <c r="AF21" s="39"/>
      <c r="AG21" s="39"/>
      <c r="AH21" s="39"/>
      <c r="AI21" s="39"/>
      <c r="AJ21" s="39"/>
      <c r="AK21" s="39"/>
      <c r="AL21" s="39"/>
    </row>
    <row r="22" spans="1:38" x14ac:dyDescent="0.2">
      <c r="A22" s="925" t="s">
        <v>521</v>
      </c>
      <c r="B22" s="895">
        <v>39534</v>
      </c>
      <c r="C22" s="896" t="s">
        <v>553</v>
      </c>
      <c r="D22" s="896" t="s">
        <v>522</v>
      </c>
      <c r="E22" s="897">
        <v>206737</v>
      </c>
      <c r="F22" s="899" t="s">
        <v>523</v>
      </c>
      <c r="G22" s="897">
        <v>126260</v>
      </c>
      <c r="H22" s="927" t="s">
        <v>390</v>
      </c>
      <c r="I22" s="28"/>
      <c r="J22" s="94"/>
      <c r="K22" s="81"/>
      <c r="L22" s="82"/>
      <c r="M22" s="95"/>
      <c r="N22" s="39"/>
      <c r="O22" s="39"/>
      <c r="P22" s="39"/>
      <c r="Q22" s="39"/>
      <c r="R22" s="39"/>
      <c r="S22" s="39"/>
      <c r="T22" s="52"/>
      <c r="U22" s="52"/>
      <c r="V22" s="52"/>
      <c r="W22" s="52"/>
      <c r="X22" s="52"/>
      <c r="Y22" s="39"/>
      <c r="Z22" s="39"/>
      <c r="AA22" s="39"/>
      <c r="AB22" s="39"/>
      <c r="AC22" s="39"/>
      <c r="AD22" s="39"/>
      <c r="AE22" s="39"/>
      <c r="AF22" s="39"/>
      <c r="AG22" s="39"/>
      <c r="AH22" s="39"/>
      <c r="AI22" s="39"/>
      <c r="AJ22" s="39"/>
      <c r="AK22" s="39"/>
      <c r="AL22" s="39"/>
    </row>
    <row r="23" spans="1:38" x14ac:dyDescent="0.2">
      <c r="A23" s="925" t="s">
        <v>519</v>
      </c>
      <c r="B23" s="895">
        <v>39625</v>
      </c>
      <c r="C23" s="896" t="s">
        <v>45</v>
      </c>
      <c r="D23" s="896" t="s">
        <v>848</v>
      </c>
      <c r="E23" s="897">
        <v>568330</v>
      </c>
      <c r="F23" s="898" t="s">
        <v>520</v>
      </c>
      <c r="G23" s="897">
        <v>0</v>
      </c>
      <c r="H23" s="926" t="s">
        <v>440</v>
      </c>
      <c r="I23" s="28"/>
      <c r="J23" s="94"/>
      <c r="K23" s="81"/>
      <c r="L23" s="82"/>
      <c r="M23" s="95"/>
      <c r="N23" s="39"/>
      <c r="O23" s="39"/>
      <c r="P23" s="39"/>
      <c r="Q23" s="39"/>
      <c r="R23" s="39"/>
      <c r="S23" s="39"/>
      <c r="T23" s="52"/>
      <c r="U23" s="52"/>
      <c r="V23" s="52"/>
      <c r="W23" s="52"/>
      <c r="X23" s="52"/>
      <c r="Y23" s="39"/>
      <c r="Z23" s="39"/>
      <c r="AA23" s="39"/>
      <c r="AB23" s="39"/>
      <c r="AC23" s="39"/>
      <c r="AD23" s="39"/>
      <c r="AE23" s="39"/>
      <c r="AF23" s="39"/>
      <c r="AG23" s="39"/>
      <c r="AH23" s="39"/>
      <c r="AI23" s="39"/>
      <c r="AJ23" s="39"/>
      <c r="AK23" s="39"/>
      <c r="AL23" s="39"/>
    </row>
    <row r="24" spans="1:38" x14ac:dyDescent="0.2">
      <c r="A24" s="925" t="s">
        <v>606</v>
      </c>
      <c r="B24" s="895">
        <v>39709</v>
      </c>
      <c r="C24" s="896" t="s">
        <v>45</v>
      </c>
      <c r="D24" s="896" t="s">
        <v>848</v>
      </c>
      <c r="E24" s="897">
        <v>488000</v>
      </c>
      <c r="F24" s="899" t="s">
        <v>601</v>
      </c>
      <c r="G24" s="897">
        <v>0</v>
      </c>
      <c r="H24" s="927" t="s">
        <v>440</v>
      </c>
      <c r="I24" s="28"/>
      <c r="J24" s="94"/>
      <c r="K24" s="81"/>
      <c r="L24" s="82"/>
      <c r="M24" s="95"/>
      <c r="N24" s="39"/>
      <c r="O24" s="39"/>
      <c r="P24" s="39"/>
      <c r="Q24" s="39"/>
      <c r="R24" s="39"/>
      <c r="S24" s="39"/>
      <c r="T24" s="52"/>
      <c r="U24" s="52"/>
      <c r="V24" s="52"/>
      <c r="W24" s="52"/>
      <c r="X24" s="52"/>
      <c r="Y24" s="39"/>
      <c r="Z24" s="39"/>
      <c r="AA24" s="39"/>
      <c r="AB24" s="39"/>
      <c r="AC24" s="39"/>
      <c r="AD24" s="39"/>
      <c r="AE24" s="39"/>
      <c r="AF24" s="39"/>
      <c r="AG24" s="39"/>
      <c r="AH24" s="39"/>
      <c r="AI24" s="39"/>
      <c r="AJ24" s="39"/>
      <c r="AK24" s="39"/>
      <c r="AL24" s="39"/>
    </row>
    <row r="25" spans="1:38" x14ac:dyDescent="0.2">
      <c r="A25" s="925" t="s">
        <v>608</v>
      </c>
      <c r="B25" s="895">
        <v>39709</v>
      </c>
      <c r="C25" s="896" t="s">
        <v>553</v>
      </c>
      <c r="D25" s="896" t="s">
        <v>244</v>
      </c>
      <c r="E25" s="897">
        <v>241236</v>
      </c>
      <c r="F25" s="899" t="s">
        <v>602</v>
      </c>
      <c r="G25" s="897">
        <v>350926</v>
      </c>
      <c r="H25" s="927" t="s">
        <v>440</v>
      </c>
      <c r="I25" s="28"/>
      <c r="J25" s="94"/>
      <c r="K25" s="81"/>
      <c r="L25" s="82"/>
      <c r="M25" s="95"/>
      <c r="N25" s="39"/>
      <c r="O25" s="39"/>
      <c r="P25" s="39"/>
      <c r="Q25" s="39"/>
      <c r="R25" s="39"/>
      <c r="S25" s="39"/>
      <c r="T25" s="52"/>
      <c r="U25" s="52"/>
      <c r="V25" s="52"/>
      <c r="W25" s="52"/>
      <c r="X25" s="52"/>
      <c r="Y25" s="39"/>
      <c r="Z25" s="39"/>
      <c r="AA25" s="39"/>
      <c r="AB25" s="39"/>
      <c r="AC25" s="39"/>
      <c r="AD25" s="39"/>
      <c r="AE25" s="39"/>
      <c r="AF25" s="39"/>
      <c r="AG25" s="39"/>
      <c r="AH25" s="39"/>
      <c r="AI25" s="39"/>
      <c r="AJ25" s="39"/>
      <c r="AK25" s="39"/>
      <c r="AL25" s="39"/>
    </row>
    <row r="26" spans="1:38" x14ac:dyDescent="0.2">
      <c r="A26" s="925" t="s">
        <v>556</v>
      </c>
      <c r="B26" s="895">
        <v>39744</v>
      </c>
      <c r="C26" s="896" t="s">
        <v>553</v>
      </c>
      <c r="D26" s="896" t="s">
        <v>522</v>
      </c>
      <c r="E26" s="897">
        <v>377371</v>
      </c>
      <c r="F26" s="899" t="s">
        <v>554</v>
      </c>
      <c r="G26" s="897">
        <v>185973</v>
      </c>
      <c r="H26" s="927" t="s">
        <v>67</v>
      </c>
      <c r="I26" s="28"/>
      <c r="J26" s="94"/>
      <c r="K26" s="81"/>
      <c r="L26" s="82"/>
      <c r="M26" s="95"/>
      <c r="N26" s="39"/>
      <c r="O26" s="39"/>
      <c r="P26" s="39"/>
      <c r="Q26" s="39"/>
      <c r="R26" s="39"/>
      <c r="S26" s="39"/>
      <c r="T26" s="52"/>
      <c r="U26" s="52"/>
      <c r="V26" s="52"/>
      <c r="W26" s="52"/>
      <c r="X26" s="52"/>
      <c r="Y26" s="39"/>
      <c r="Z26" s="39"/>
      <c r="AA26" s="39"/>
      <c r="AB26" s="39"/>
      <c r="AC26" s="39"/>
      <c r="AD26" s="39"/>
      <c r="AE26" s="39"/>
      <c r="AF26" s="39"/>
      <c r="AG26" s="39"/>
      <c r="AH26" s="39"/>
      <c r="AI26" s="39"/>
      <c r="AJ26" s="39"/>
      <c r="AK26" s="39"/>
      <c r="AL26" s="39"/>
    </row>
    <row r="27" spans="1:38" x14ac:dyDescent="0.2">
      <c r="A27" s="925" t="s">
        <v>505</v>
      </c>
      <c r="B27" s="895">
        <v>39786</v>
      </c>
      <c r="C27" s="896" t="s">
        <v>45</v>
      </c>
      <c r="D27" s="896" t="s">
        <v>667</v>
      </c>
      <c r="E27" s="897">
        <v>53739</v>
      </c>
      <c r="F27" s="898" t="s">
        <v>628</v>
      </c>
      <c r="G27" s="897">
        <v>0</v>
      </c>
      <c r="H27" s="926" t="s">
        <v>67</v>
      </c>
      <c r="I27" s="28"/>
      <c r="J27" s="94"/>
      <c r="K27" s="81"/>
      <c r="L27" s="82"/>
      <c r="M27" s="95"/>
      <c r="N27" s="39"/>
      <c r="O27" s="39"/>
      <c r="P27" s="39"/>
      <c r="Q27" s="39"/>
      <c r="R27" s="39"/>
      <c r="S27" s="39"/>
      <c r="T27" s="52"/>
      <c r="U27" s="52"/>
      <c r="V27" s="52"/>
      <c r="W27" s="52"/>
      <c r="X27" s="52"/>
      <c r="Y27" s="39"/>
      <c r="Z27" s="39"/>
      <c r="AA27" s="39"/>
      <c r="AB27" s="39"/>
      <c r="AC27" s="39"/>
      <c r="AD27" s="39"/>
      <c r="AE27" s="39"/>
      <c r="AF27" s="39"/>
      <c r="AG27" s="39"/>
      <c r="AH27" s="39"/>
      <c r="AI27" s="39"/>
      <c r="AJ27" s="39"/>
      <c r="AK27" s="39"/>
      <c r="AL27" s="39"/>
    </row>
    <row r="28" spans="1:38" x14ac:dyDescent="0.2">
      <c r="A28" s="925" t="s">
        <v>593</v>
      </c>
      <c r="B28" s="895">
        <v>39786</v>
      </c>
      <c r="C28" s="896" t="s">
        <v>45</v>
      </c>
      <c r="D28" s="896" t="s">
        <v>46</v>
      </c>
      <c r="E28" s="897">
        <v>293967</v>
      </c>
      <c r="F28" s="899" t="s">
        <v>520</v>
      </c>
      <c r="G28" s="897">
        <v>0</v>
      </c>
      <c r="H28" s="927" t="s">
        <v>390</v>
      </c>
      <c r="I28" s="28"/>
      <c r="J28" s="94"/>
      <c r="K28" s="81"/>
      <c r="L28" s="82"/>
      <c r="M28" s="95"/>
      <c r="N28" s="39"/>
      <c r="O28" s="39"/>
      <c r="P28" s="39"/>
      <c r="Q28" s="39"/>
      <c r="R28" s="39"/>
      <c r="S28" s="39"/>
      <c r="T28" s="52"/>
      <c r="U28" s="52"/>
      <c r="V28" s="52"/>
      <c r="W28" s="52"/>
      <c r="X28" s="52"/>
      <c r="Y28" s="39"/>
      <c r="Z28" s="39"/>
      <c r="AA28" s="39"/>
      <c r="AB28" s="39"/>
      <c r="AC28" s="39"/>
      <c r="AD28" s="39"/>
      <c r="AE28" s="39"/>
      <c r="AF28" s="39"/>
      <c r="AG28" s="39"/>
      <c r="AH28" s="39"/>
      <c r="AI28" s="39"/>
      <c r="AJ28" s="39"/>
      <c r="AK28" s="39"/>
      <c r="AL28" s="39"/>
    </row>
    <row r="29" spans="1:38" x14ac:dyDescent="0.2">
      <c r="A29" s="925" t="s">
        <v>465</v>
      </c>
      <c r="B29" s="895">
        <v>39786</v>
      </c>
      <c r="C29" s="896" t="s">
        <v>553</v>
      </c>
      <c r="D29" s="896" t="s">
        <v>244</v>
      </c>
      <c r="E29" s="897">
        <v>231531</v>
      </c>
      <c r="F29" s="898" t="s">
        <v>386</v>
      </c>
      <c r="G29" s="897">
        <v>96498</v>
      </c>
      <c r="H29" s="928" t="s">
        <v>390</v>
      </c>
      <c r="I29" s="28"/>
      <c r="J29" s="94"/>
      <c r="K29" s="81"/>
      <c r="L29" s="82"/>
      <c r="M29" s="95"/>
      <c r="N29" s="39"/>
      <c r="O29" s="39"/>
      <c r="P29" s="39"/>
      <c r="Q29" s="39"/>
      <c r="R29" s="39"/>
      <c r="S29" s="39"/>
      <c r="T29" s="52"/>
      <c r="U29" s="52"/>
      <c r="V29" s="52"/>
      <c r="W29" s="52"/>
      <c r="X29" s="52"/>
      <c r="Y29" s="39"/>
      <c r="Z29" s="39"/>
      <c r="AA29" s="39"/>
      <c r="AB29" s="39"/>
      <c r="AC29" s="39"/>
      <c r="AD29" s="39"/>
      <c r="AE29" s="39"/>
      <c r="AF29" s="39"/>
      <c r="AG29" s="39"/>
      <c r="AH29" s="39"/>
      <c r="AI29" s="39"/>
      <c r="AJ29" s="39"/>
      <c r="AK29" s="39"/>
      <c r="AL29" s="39"/>
    </row>
    <row r="30" spans="1:38" x14ac:dyDescent="0.2">
      <c r="A30" s="929" t="s">
        <v>672</v>
      </c>
      <c r="B30" s="900">
        <v>39786</v>
      </c>
      <c r="C30" s="901" t="s">
        <v>627</v>
      </c>
      <c r="D30" s="901" t="s">
        <v>244</v>
      </c>
      <c r="E30" s="904">
        <v>692854</v>
      </c>
      <c r="F30" s="905" t="s">
        <v>673</v>
      </c>
      <c r="G30" s="902">
        <v>1059543</v>
      </c>
      <c r="H30" s="931" t="s">
        <v>440</v>
      </c>
      <c r="I30" s="28"/>
      <c r="J30" s="94"/>
      <c r="K30" s="81"/>
      <c r="L30" s="82"/>
      <c r="M30" s="95"/>
      <c r="N30" s="39"/>
      <c r="O30" s="39"/>
      <c r="P30" s="39"/>
      <c r="Q30" s="39"/>
      <c r="R30" s="39"/>
      <c r="S30" s="39"/>
      <c r="T30" s="52"/>
      <c r="U30" s="52"/>
      <c r="V30" s="52"/>
      <c r="W30" s="52"/>
      <c r="X30" s="52"/>
      <c r="Y30" s="39"/>
      <c r="Z30" s="39"/>
      <c r="AA30" s="39"/>
      <c r="AB30" s="39"/>
      <c r="AC30" s="39"/>
      <c r="AD30" s="39"/>
      <c r="AE30" s="39"/>
      <c r="AF30" s="39"/>
      <c r="AG30" s="39"/>
      <c r="AH30" s="39"/>
      <c r="AI30" s="39"/>
      <c r="AJ30" s="39"/>
      <c r="AK30" s="39"/>
      <c r="AL30" s="39"/>
    </row>
    <row r="31" spans="1:38" x14ac:dyDescent="0.2">
      <c r="A31" s="929" t="s">
        <v>626</v>
      </c>
      <c r="B31" s="900">
        <v>39835</v>
      </c>
      <c r="C31" s="901" t="s">
        <v>876</v>
      </c>
      <c r="D31" s="901" t="s">
        <v>244</v>
      </c>
      <c r="E31" s="902">
        <v>103300</v>
      </c>
      <c r="F31" s="905" t="s">
        <v>37</v>
      </c>
      <c r="G31" s="902">
        <v>52239</v>
      </c>
      <c r="H31" s="931" t="s">
        <v>67</v>
      </c>
      <c r="I31" s="28"/>
      <c r="J31" s="94"/>
      <c r="K31" s="81"/>
      <c r="L31" s="82"/>
      <c r="M31" s="95"/>
      <c r="N31" s="39"/>
      <c r="O31" s="39"/>
      <c r="P31" s="39"/>
      <c r="Q31" s="39"/>
      <c r="R31" s="39"/>
      <c r="S31" s="39"/>
      <c r="T31" s="52"/>
      <c r="U31" s="52"/>
      <c r="V31" s="52"/>
      <c r="W31" s="52"/>
      <c r="X31" s="52"/>
      <c r="Y31" s="39"/>
      <c r="Z31" s="39"/>
      <c r="AA31" s="39"/>
      <c r="AB31" s="39"/>
      <c r="AC31" s="39"/>
      <c r="AD31" s="39"/>
      <c r="AE31" s="39"/>
      <c r="AF31" s="39"/>
      <c r="AG31" s="39"/>
      <c r="AH31" s="39"/>
      <c r="AI31" s="39"/>
      <c r="AJ31" s="39"/>
      <c r="AK31" s="39"/>
      <c r="AL31" s="39"/>
    </row>
    <row r="32" spans="1:38" x14ac:dyDescent="0.2">
      <c r="A32" s="929" t="s">
        <v>416</v>
      </c>
      <c r="B32" s="900">
        <v>39835</v>
      </c>
      <c r="C32" s="901" t="s">
        <v>627</v>
      </c>
      <c r="D32" s="901" t="s">
        <v>244</v>
      </c>
      <c r="E32" s="902">
        <v>630859</v>
      </c>
      <c r="F32" s="903" t="s">
        <v>41</v>
      </c>
      <c r="G32" s="902">
        <v>345716</v>
      </c>
      <c r="H32" s="930" t="s">
        <v>67</v>
      </c>
      <c r="I32" s="28"/>
      <c r="J32" s="94"/>
      <c r="K32" s="81"/>
      <c r="L32" s="82"/>
      <c r="M32" s="95"/>
      <c r="N32" s="39"/>
      <c r="O32" s="39"/>
      <c r="P32" s="39"/>
      <c r="Q32" s="39"/>
      <c r="R32" s="39"/>
      <c r="S32" s="39"/>
      <c r="T32" s="52"/>
      <c r="U32" s="52"/>
      <c r="V32" s="52"/>
      <c r="W32" s="52"/>
      <c r="X32" s="52"/>
      <c r="Y32" s="39"/>
      <c r="Z32" s="39"/>
      <c r="AA32" s="39"/>
      <c r="AB32" s="39"/>
      <c r="AC32" s="39"/>
      <c r="AD32" s="39"/>
      <c r="AE32" s="39"/>
      <c r="AF32" s="39"/>
      <c r="AG32" s="39"/>
      <c r="AH32" s="39"/>
      <c r="AI32" s="39"/>
      <c r="AJ32" s="39"/>
      <c r="AK32" s="39"/>
      <c r="AL32" s="39"/>
    </row>
    <row r="33" spans="1:38" x14ac:dyDescent="0.2">
      <c r="A33" s="929" t="s">
        <v>802</v>
      </c>
      <c r="B33" s="900">
        <v>39898</v>
      </c>
      <c r="C33" s="901" t="s">
        <v>627</v>
      </c>
      <c r="D33" s="901" t="s">
        <v>244</v>
      </c>
      <c r="E33" s="904">
        <v>553722</v>
      </c>
      <c r="F33" s="905" t="s">
        <v>668</v>
      </c>
      <c r="G33" s="902">
        <v>263998</v>
      </c>
      <c r="H33" s="931" t="s">
        <v>669</v>
      </c>
      <c r="I33" s="28"/>
      <c r="J33" s="94"/>
      <c r="K33" s="81"/>
      <c r="L33" s="82"/>
      <c r="M33" s="95"/>
      <c r="N33" s="39"/>
      <c r="O33" s="39"/>
      <c r="P33" s="39"/>
      <c r="Q33" s="39"/>
      <c r="R33" s="39"/>
      <c r="S33" s="39"/>
      <c r="T33" s="52"/>
      <c r="U33" s="52"/>
      <c r="V33" s="52"/>
      <c r="W33" s="52"/>
      <c r="X33" s="52"/>
      <c r="Y33" s="39"/>
      <c r="Z33" s="39"/>
      <c r="AA33" s="39"/>
      <c r="AB33" s="39"/>
      <c r="AC33" s="39"/>
      <c r="AD33" s="39"/>
      <c r="AE33" s="39"/>
      <c r="AF33" s="39"/>
      <c r="AG33" s="39"/>
      <c r="AH33" s="39"/>
      <c r="AI33" s="39"/>
      <c r="AJ33" s="39"/>
      <c r="AK33" s="39"/>
      <c r="AL33" s="39"/>
    </row>
    <row r="34" spans="1:38" x14ac:dyDescent="0.2">
      <c r="A34" s="929" t="s">
        <v>803</v>
      </c>
      <c r="B34" s="900">
        <v>39898</v>
      </c>
      <c r="C34" s="901" t="s">
        <v>627</v>
      </c>
      <c r="D34" s="901" t="s">
        <v>244</v>
      </c>
      <c r="E34" s="904">
        <v>267569</v>
      </c>
      <c r="F34" s="905" t="s">
        <v>670</v>
      </c>
      <c r="G34" s="902">
        <v>55910</v>
      </c>
      <c r="H34" s="931" t="s">
        <v>67</v>
      </c>
      <c r="I34" s="28"/>
      <c r="J34" s="94"/>
      <c r="K34" s="81"/>
      <c r="L34" s="82"/>
      <c r="M34" s="95"/>
      <c r="N34" s="39"/>
      <c r="O34" s="39"/>
      <c r="P34" s="39"/>
      <c r="Q34" s="39"/>
      <c r="R34" s="39"/>
      <c r="S34" s="39"/>
      <c r="T34" s="52"/>
      <c r="U34" s="52"/>
      <c r="V34" s="52"/>
      <c r="W34" s="52"/>
      <c r="X34" s="52"/>
      <c r="Y34" s="39"/>
      <c r="Z34" s="39"/>
      <c r="AA34" s="39"/>
      <c r="AB34" s="39"/>
      <c r="AC34" s="39"/>
      <c r="AD34" s="39"/>
      <c r="AE34" s="39"/>
      <c r="AF34" s="39"/>
      <c r="AG34" s="39"/>
      <c r="AH34" s="39"/>
      <c r="AI34" s="39"/>
      <c r="AJ34" s="39"/>
      <c r="AK34" s="39"/>
      <c r="AL34" s="39"/>
    </row>
    <row r="35" spans="1:38" x14ac:dyDescent="0.2">
      <c r="A35" s="929" t="s">
        <v>741</v>
      </c>
      <c r="B35" s="900">
        <v>39933</v>
      </c>
      <c r="C35" s="901" t="s">
        <v>627</v>
      </c>
      <c r="D35" s="901" t="s">
        <v>244</v>
      </c>
      <c r="E35" s="904">
        <v>230414</v>
      </c>
      <c r="F35" s="905" t="s">
        <v>845</v>
      </c>
      <c r="G35" s="902">
        <v>112162</v>
      </c>
      <c r="H35" s="931" t="s">
        <v>67</v>
      </c>
      <c r="I35" s="28"/>
      <c r="J35" s="94"/>
      <c r="K35" s="81"/>
      <c r="L35" s="82"/>
      <c r="M35" s="95"/>
      <c r="N35" s="39"/>
      <c r="O35" s="39"/>
      <c r="P35" s="39"/>
      <c r="Q35" s="39"/>
      <c r="R35" s="39"/>
      <c r="S35" s="39"/>
      <c r="T35" s="52"/>
      <c r="U35" s="52"/>
      <c r="V35" s="52"/>
      <c r="W35" s="52"/>
      <c r="X35" s="52"/>
      <c r="Y35" s="39"/>
      <c r="Z35" s="39"/>
      <c r="AA35" s="39"/>
      <c r="AB35" s="39"/>
      <c r="AC35" s="39"/>
      <c r="AD35" s="39"/>
      <c r="AE35" s="39"/>
      <c r="AF35" s="39"/>
      <c r="AG35" s="39"/>
      <c r="AH35" s="39"/>
      <c r="AI35" s="39"/>
      <c r="AJ35" s="39"/>
      <c r="AK35" s="39"/>
      <c r="AL35" s="39"/>
    </row>
    <row r="36" spans="1:38" x14ac:dyDescent="0.2">
      <c r="A36" s="929" t="s">
        <v>804</v>
      </c>
      <c r="B36" s="900">
        <v>39961</v>
      </c>
      <c r="C36" s="901" t="s">
        <v>627</v>
      </c>
      <c r="D36" s="901" t="s">
        <v>244</v>
      </c>
      <c r="E36" s="904">
        <v>245795</v>
      </c>
      <c r="F36" s="905" t="s">
        <v>33</v>
      </c>
      <c r="G36" s="902">
        <v>125920</v>
      </c>
      <c r="H36" s="931" t="s">
        <v>440</v>
      </c>
      <c r="I36" s="28"/>
      <c r="J36" s="94"/>
      <c r="K36" s="81"/>
      <c r="L36" s="82"/>
      <c r="M36" s="95"/>
      <c r="N36" s="39"/>
      <c r="O36" s="39"/>
      <c r="P36" s="39"/>
      <c r="Q36" s="39"/>
      <c r="R36" s="39"/>
      <c r="S36" s="39"/>
      <c r="T36" s="52"/>
      <c r="U36" s="52"/>
      <c r="V36" s="52"/>
      <c r="W36" s="52"/>
      <c r="X36" s="52"/>
      <c r="Y36" s="39"/>
      <c r="Z36" s="39"/>
      <c r="AA36" s="39"/>
      <c r="AB36" s="39"/>
      <c r="AC36" s="39"/>
      <c r="AD36" s="39"/>
      <c r="AE36" s="39"/>
      <c r="AF36" s="39"/>
      <c r="AG36" s="39"/>
      <c r="AH36" s="39"/>
      <c r="AI36" s="39"/>
      <c r="AJ36" s="39"/>
      <c r="AK36" s="39"/>
      <c r="AL36" s="39"/>
    </row>
    <row r="37" spans="1:38" x14ac:dyDescent="0.2">
      <c r="A37" s="929" t="s">
        <v>555</v>
      </c>
      <c r="B37" s="900">
        <v>39989</v>
      </c>
      <c r="C37" s="901" t="s">
        <v>627</v>
      </c>
      <c r="D37" s="901" t="s">
        <v>244</v>
      </c>
      <c r="E37" s="902">
        <v>1201154</v>
      </c>
      <c r="F37" s="903" t="s">
        <v>871</v>
      </c>
      <c r="G37" s="902">
        <v>614505</v>
      </c>
      <c r="H37" s="930" t="s">
        <v>669</v>
      </c>
      <c r="I37" s="28"/>
      <c r="J37" s="94"/>
      <c r="K37" s="81"/>
      <c r="L37" s="82"/>
      <c r="M37" s="95"/>
      <c r="N37" s="39"/>
      <c r="O37" s="39"/>
      <c r="P37" s="39"/>
      <c r="Q37" s="39"/>
      <c r="R37" s="39"/>
      <c r="S37" s="39"/>
      <c r="T37" s="52"/>
      <c r="U37" s="52"/>
      <c r="V37" s="52"/>
      <c r="W37" s="52"/>
      <c r="X37" s="52"/>
      <c r="Y37" s="39"/>
      <c r="Z37" s="39"/>
      <c r="AA37" s="39"/>
      <c r="AB37" s="39"/>
      <c r="AC37" s="39"/>
      <c r="AD37" s="39"/>
      <c r="AE37" s="39"/>
      <c r="AF37" s="39"/>
      <c r="AG37" s="39"/>
      <c r="AH37" s="39"/>
      <c r="AI37" s="39"/>
      <c r="AJ37" s="39"/>
      <c r="AK37" s="39"/>
      <c r="AL37" s="39"/>
    </row>
    <row r="38" spans="1:38" s="5" customFormat="1" x14ac:dyDescent="0.2">
      <c r="A38" s="1150" t="s">
        <v>846</v>
      </c>
      <c r="B38" s="900">
        <v>40080</v>
      </c>
      <c r="C38" s="901" t="s">
        <v>847</v>
      </c>
      <c r="D38" s="901" t="s">
        <v>244</v>
      </c>
      <c r="E38" s="904">
        <v>243280</v>
      </c>
      <c r="F38" s="905" t="s">
        <v>65</v>
      </c>
      <c r="G38" s="902">
        <v>116725</v>
      </c>
      <c r="H38" s="1151" t="s">
        <v>67</v>
      </c>
      <c r="I38" s="28"/>
      <c r="J38" s="94"/>
      <c r="K38" s="81"/>
      <c r="L38" s="82"/>
      <c r="M38" s="95"/>
      <c r="N38" s="82"/>
      <c r="O38" s="82"/>
      <c r="P38" s="82"/>
      <c r="Q38" s="82"/>
      <c r="R38" s="82"/>
      <c r="S38" s="82"/>
      <c r="T38" s="119"/>
      <c r="U38" s="119"/>
      <c r="V38" s="119"/>
      <c r="W38" s="119"/>
      <c r="X38" s="119"/>
      <c r="Y38" s="82"/>
      <c r="Z38" s="82"/>
      <c r="AA38" s="82"/>
      <c r="AB38" s="82"/>
      <c r="AC38" s="82"/>
      <c r="AD38" s="82"/>
      <c r="AE38" s="82"/>
      <c r="AF38" s="82"/>
      <c r="AG38" s="82"/>
      <c r="AH38" s="82"/>
      <c r="AI38" s="82"/>
      <c r="AJ38" s="82"/>
      <c r="AK38" s="82"/>
      <c r="AL38" s="82"/>
    </row>
    <row r="39" spans="1:38" s="82" customFormat="1" x14ac:dyDescent="0.2">
      <c r="A39" s="1153" t="s">
        <v>1002</v>
      </c>
      <c r="B39" s="1154">
        <v>40108</v>
      </c>
      <c r="C39" s="1155" t="s">
        <v>872</v>
      </c>
      <c r="D39" s="1155" t="s">
        <v>244</v>
      </c>
      <c r="E39" s="1922">
        <v>453475</v>
      </c>
      <c r="F39" s="1923" t="s">
        <v>41</v>
      </c>
      <c r="G39" s="1156">
        <v>286567</v>
      </c>
      <c r="H39" s="1924" t="s">
        <v>440</v>
      </c>
      <c r="I39" s="28"/>
      <c r="J39" s="94"/>
      <c r="K39" s="81"/>
      <c r="M39" s="95"/>
      <c r="T39" s="119"/>
      <c r="U39" s="119"/>
      <c r="V39" s="119"/>
      <c r="W39" s="119"/>
      <c r="X39" s="119"/>
    </row>
    <row r="40" spans="1:38" x14ac:dyDescent="0.2">
      <c r="A40" s="929" t="s">
        <v>805</v>
      </c>
      <c r="B40" s="900">
        <v>40164</v>
      </c>
      <c r="C40" s="901" t="s">
        <v>1022</v>
      </c>
      <c r="D40" s="901" t="s">
        <v>244</v>
      </c>
      <c r="E40" s="904">
        <v>143436</v>
      </c>
      <c r="F40" s="905" t="s">
        <v>753</v>
      </c>
      <c r="G40" s="902">
        <v>59857</v>
      </c>
      <c r="H40" s="931" t="s">
        <v>390</v>
      </c>
      <c r="I40" s="28"/>
      <c r="J40" s="94"/>
      <c r="K40" s="81"/>
      <c r="L40" s="82"/>
      <c r="M40" s="95"/>
      <c r="N40" s="39"/>
      <c r="O40" s="39"/>
      <c r="P40" s="39"/>
      <c r="Q40" s="39"/>
      <c r="R40" s="39"/>
      <c r="S40" s="39"/>
      <c r="T40" s="52"/>
      <c r="U40" s="52"/>
      <c r="V40" s="52"/>
      <c r="W40" s="52"/>
      <c r="X40" s="52"/>
      <c r="Y40" s="39"/>
      <c r="Z40" s="39"/>
      <c r="AA40" s="39"/>
      <c r="AB40" s="39"/>
      <c r="AC40" s="39"/>
      <c r="AD40" s="39"/>
      <c r="AE40" s="39"/>
      <c r="AF40" s="39"/>
      <c r="AG40" s="39"/>
      <c r="AH40" s="39"/>
      <c r="AI40" s="39"/>
      <c r="AJ40" s="39"/>
      <c r="AK40" s="39"/>
      <c r="AL40" s="39"/>
    </row>
    <row r="41" spans="1:38" x14ac:dyDescent="0.2">
      <c r="A41" s="929" t="s">
        <v>875</v>
      </c>
      <c r="B41" s="900">
        <v>40164</v>
      </c>
      <c r="C41" s="901" t="s">
        <v>1021</v>
      </c>
      <c r="D41" s="901" t="s">
        <v>244</v>
      </c>
      <c r="E41" s="902">
        <v>126296</v>
      </c>
      <c r="F41" s="903" t="s">
        <v>36</v>
      </c>
      <c r="G41" s="1152">
        <v>53440</v>
      </c>
      <c r="H41" s="930" t="s">
        <v>67</v>
      </c>
      <c r="I41" s="28"/>
      <c r="J41" s="94"/>
      <c r="K41" s="81"/>
      <c r="L41" s="82"/>
      <c r="M41" s="95"/>
      <c r="N41" s="39"/>
      <c r="O41" s="39"/>
      <c r="P41" s="39"/>
      <c r="Q41" s="39"/>
      <c r="R41" s="39"/>
      <c r="S41" s="39"/>
      <c r="T41" s="52"/>
      <c r="U41" s="52"/>
      <c r="V41" s="52"/>
      <c r="W41" s="52"/>
      <c r="X41" s="52"/>
      <c r="Y41" s="39"/>
      <c r="Z41" s="39"/>
      <c r="AA41" s="39"/>
      <c r="AB41" s="39"/>
      <c r="AC41" s="39"/>
      <c r="AD41" s="39"/>
      <c r="AE41" s="39"/>
      <c r="AF41" s="39"/>
      <c r="AG41" s="39"/>
      <c r="AH41" s="39"/>
      <c r="AI41" s="39"/>
      <c r="AJ41" s="39"/>
      <c r="AK41" s="39"/>
      <c r="AL41" s="39"/>
    </row>
    <row r="42" spans="1:38" x14ac:dyDescent="0.2">
      <c r="A42" s="929" t="s">
        <v>1066</v>
      </c>
      <c r="B42" s="900">
        <v>40164</v>
      </c>
      <c r="C42" s="901" t="s">
        <v>627</v>
      </c>
      <c r="D42" s="901" t="s">
        <v>244</v>
      </c>
      <c r="E42" s="904">
        <v>808104</v>
      </c>
      <c r="F42" s="905" t="s">
        <v>874</v>
      </c>
      <c r="G42" s="1152">
        <v>235796</v>
      </c>
      <c r="H42" s="931" t="s">
        <v>440</v>
      </c>
      <c r="I42" s="28"/>
      <c r="J42" s="94"/>
      <c r="K42" s="81"/>
      <c r="L42" s="82"/>
      <c r="M42" s="95"/>
      <c r="N42" s="39"/>
      <c r="O42" s="39"/>
      <c r="P42" s="39"/>
      <c r="Q42" s="39"/>
      <c r="R42" s="39"/>
      <c r="S42" s="39"/>
      <c r="T42" s="52"/>
      <c r="U42" s="52"/>
      <c r="V42" s="52"/>
      <c r="W42" s="52"/>
      <c r="X42" s="52"/>
      <c r="Y42" s="39"/>
      <c r="Z42" s="39"/>
      <c r="AA42" s="39"/>
      <c r="AB42" s="39"/>
      <c r="AC42" s="39"/>
      <c r="AD42" s="39"/>
      <c r="AE42" s="39"/>
      <c r="AF42" s="39"/>
      <c r="AG42" s="39"/>
      <c r="AH42" s="39"/>
      <c r="AI42" s="39"/>
      <c r="AJ42" s="39"/>
      <c r="AK42" s="39"/>
      <c r="AL42" s="39"/>
    </row>
    <row r="43" spans="1:38" x14ac:dyDescent="0.2">
      <c r="A43" s="929" t="s">
        <v>877</v>
      </c>
      <c r="B43" s="900">
        <v>40164</v>
      </c>
      <c r="C43" s="901" t="s">
        <v>1021</v>
      </c>
      <c r="D43" s="901" t="s">
        <v>244</v>
      </c>
      <c r="E43" s="904">
        <v>292307</v>
      </c>
      <c r="F43" s="905" t="s">
        <v>1058</v>
      </c>
      <c r="G43" s="1152">
        <v>1736611</v>
      </c>
      <c r="H43" s="931" t="s">
        <v>440</v>
      </c>
      <c r="I43" s="28"/>
      <c r="J43" s="94"/>
      <c r="K43" s="81"/>
      <c r="L43" s="82"/>
      <c r="M43" s="95"/>
      <c r="N43" s="39"/>
      <c r="O43" s="39"/>
      <c r="P43" s="39"/>
      <c r="Q43" s="39"/>
      <c r="R43" s="39"/>
      <c r="S43" s="39"/>
      <c r="T43" s="52"/>
      <c r="U43" s="52"/>
      <c r="V43" s="52"/>
      <c r="W43" s="52"/>
      <c r="X43" s="52"/>
      <c r="Y43" s="39"/>
      <c r="Z43" s="39"/>
      <c r="AA43" s="39"/>
      <c r="AB43" s="39"/>
      <c r="AC43" s="39"/>
      <c r="AD43" s="39"/>
      <c r="AE43" s="39"/>
      <c r="AF43" s="39"/>
      <c r="AG43" s="39"/>
      <c r="AH43" s="39"/>
      <c r="AI43" s="39"/>
      <c r="AJ43" s="39"/>
      <c r="AK43" s="39"/>
      <c r="AL43" s="39"/>
    </row>
    <row r="44" spans="1:38" x14ac:dyDescent="0.2">
      <c r="A44" s="1153" t="s">
        <v>873</v>
      </c>
      <c r="B44" s="1154">
        <v>40164</v>
      </c>
      <c r="C44" s="1155" t="s">
        <v>872</v>
      </c>
      <c r="D44" s="1155" t="s">
        <v>244</v>
      </c>
      <c r="E44" s="1156">
        <v>3048671</v>
      </c>
      <c r="F44" s="1157" t="s">
        <v>874</v>
      </c>
      <c r="G44" s="1158">
        <v>817673</v>
      </c>
      <c r="H44" s="1895" t="s">
        <v>440</v>
      </c>
      <c r="I44" s="28"/>
      <c r="J44" s="94"/>
      <c r="K44" s="81"/>
      <c r="L44" s="82"/>
      <c r="M44" s="95"/>
      <c r="N44" s="39"/>
      <c r="O44" s="39"/>
      <c r="P44" s="39"/>
      <c r="Q44" s="39"/>
      <c r="R44" s="39"/>
      <c r="S44" s="39"/>
      <c r="T44" s="52"/>
      <c r="U44" s="52"/>
      <c r="V44" s="52"/>
      <c r="W44" s="52"/>
      <c r="X44" s="52"/>
      <c r="Y44" s="39"/>
      <c r="Z44" s="39"/>
      <c r="AA44" s="39"/>
      <c r="AB44" s="39"/>
      <c r="AC44" s="39"/>
      <c r="AD44" s="39"/>
      <c r="AE44" s="39"/>
      <c r="AF44" s="39"/>
      <c r="AG44" s="39"/>
      <c r="AH44" s="39"/>
      <c r="AI44" s="39"/>
      <c r="AJ44" s="39"/>
      <c r="AK44" s="39"/>
      <c r="AL44" s="39"/>
    </row>
    <row r="45" spans="1:38" s="82" customFormat="1" x14ac:dyDescent="0.2">
      <c r="A45" s="1153" t="s">
        <v>952</v>
      </c>
      <c r="B45" s="1154">
        <v>40164</v>
      </c>
      <c r="C45" s="1155" t="s">
        <v>872</v>
      </c>
      <c r="D45" s="1155" t="s">
        <v>244</v>
      </c>
      <c r="E45" s="1922">
        <v>478396</v>
      </c>
      <c r="F45" s="1923" t="s">
        <v>34</v>
      </c>
      <c r="G45" s="1156">
        <v>136972</v>
      </c>
      <c r="H45" s="1924" t="s">
        <v>440</v>
      </c>
      <c r="I45" s="28"/>
      <c r="J45" s="94"/>
      <c r="K45" s="81"/>
      <c r="M45" s="95"/>
      <c r="T45" s="119"/>
      <c r="U45" s="119"/>
      <c r="V45" s="119"/>
      <c r="W45" s="119"/>
      <c r="X45" s="119"/>
    </row>
    <row r="46" spans="1:38" s="82" customFormat="1" ht="13.5" thickBot="1" x14ac:dyDescent="0.25">
      <c r="A46" s="2084" t="s">
        <v>1019</v>
      </c>
      <c r="B46" s="1154">
        <v>40164</v>
      </c>
      <c r="C46" s="2085" t="s">
        <v>1020</v>
      </c>
      <c r="D46" s="1155" t="s">
        <v>1023</v>
      </c>
      <c r="E46" s="1922">
        <v>933206</v>
      </c>
      <c r="F46" s="1923" t="s">
        <v>668</v>
      </c>
      <c r="G46" s="1156">
        <v>724515</v>
      </c>
      <c r="H46" s="1924" t="s">
        <v>440</v>
      </c>
      <c r="I46" s="28"/>
      <c r="J46" s="94"/>
      <c r="K46" s="81"/>
      <c r="M46" s="95"/>
      <c r="T46" s="119"/>
      <c r="U46" s="119"/>
      <c r="V46" s="119"/>
      <c r="W46" s="119"/>
      <c r="X46" s="119"/>
    </row>
    <row r="47" spans="1:38" ht="16.5" thickTop="1" thickBot="1" x14ac:dyDescent="0.3">
      <c r="A47" s="1850" t="s">
        <v>594</v>
      </c>
      <c r="B47" s="1851"/>
      <c r="C47" s="1851"/>
      <c r="D47" s="1851"/>
      <c r="E47" s="1852"/>
      <c r="F47" s="4234" t="s">
        <v>900</v>
      </c>
      <c r="G47" s="4234"/>
      <c r="H47" s="4235"/>
      <c r="I47" s="116"/>
      <c r="J47" s="4221"/>
      <c r="K47" s="4222"/>
      <c r="L47" s="5"/>
      <c r="M47" s="5"/>
      <c r="N47" s="39"/>
      <c r="O47" s="39"/>
      <c r="P47" s="39"/>
      <c r="Q47" s="39"/>
      <c r="R47" s="39"/>
      <c r="S47" s="39"/>
      <c r="T47" s="52"/>
      <c r="U47" s="52"/>
      <c r="V47" s="52"/>
      <c r="W47" s="52"/>
      <c r="X47" s="52"/>
      <c r="Y47" s="39"/>
      <c r="Z47" s="39"/>
      <c r="AA47" s="39"/>
      <c r="AB47" s="39"/>
      <c r="AC47" s="39"/>
      <c r="AD47" s="39"/>
      <c r="AE47" s="39"/>
      <c r="AF47" s="39"/>
      <c r="AG47" s="39"/>
      <c r="AH47" s="39"/>
      <c r="AI47" s="39"/>
      <c r="AJ47" s="39"/>
      <c r="AK47" s="39"/>
      <c r="AL47" s="39"/>
    </row>
    <row r="48" spans="1:38" x14ac:dyDescent="0.2">
      <c r="A48" s="2086"/>
      <c r="B48" s="1006" t="s">
        <v>791</v>
      </c>
      <c r="C48" s="1006" t="s">
        <v>246</v>
      </c>
      <c r="D48" s="1006" t="s">
        <v>1035</v>
      </c>
      <c r="E48" s="1299" t="s">
        <v>46</v>
      </c>
      <c r="F48" s="1301" t="s">
        <v>242</v>
      </c>
      <c r="G48" s="1303" t="s">
        <v>44</v>
      </c>
      <c r="H48" s="1304" t="s">
        <v>132</v>
      </c>
      <c r="I48" s="118"/>
      <c r="J48" s="809"/>
      <c r="K48" s="303"/>
      <c r="L48" s="5"/>
      <c r="M48" s="5"/>
      <c r="N48" s="39"/>
      <c r="O48" s="39"/>
      <c r="P48" s="39"/>
      <c r="Q48" s="39"/>
      <c r="R48" s="39"/>
      <c r="S48" s="39"/>
      <c r="T48" s="52"/>
      <c r="U48" s="52"/>
      <c r="V48" s="52"/>
      <c r="W48" s="52"/>
      <c r="X48" s="52"/>
      <c r="Y48" s="39"/>
      <c r="Z48" s="39"/>
      <c r="AA48" s="39"/>
      <c r="AB48" s="39"/>
      <c r="AC48" s="39"/>
      <c r="AD48" s="39"/>
      <c r="AE48" s="39"/>
      <c r="AF48" s="39"/>
      <c r="AG48" s="39"/>
      <c r="AH48" s="39"/>
      <c r="AI48" s="39"/>
      <c r="AJ48" s="39"/>
      <c r="AK48" s="39"/>
      <c r="AL48" s="39"/>
    </row>
    <row r="49" spans="1:38" ht="16.5" thickBot="1" x14ac:dyDescent="0.3">
      <c r="A49" s="2087" t="s">
        <v>371</v>
      </c>
      <c r="B49" s="1007">
        <v>41</v>
      </c>
      <c r="C49" s="1007">
        <v>27</v>
      </c>
      <c r="D49" s="1007">
        <v>11</v>
      </c>
      <c r="E49" s="1300">
        <v>3</v>
      </c>
      <c r="F49" s="1302">
        <v>7</v>
      </c>
      <c r="G49" s="1305">
        <v>4</v>
      </c>
      <c r="H49" s="1306">
        <v>3</v>
      </c>
      <c r="I49" s="118"/>
      <c r="J49" s="4221"/>
      <c r="K49" s="4222"/>
      <c r="L49" s="5"/>
      <c r="M49" s="5"/>
      <c r="N49" s="39"/>
      <c r="O49" s="39"/>
      <c r="P49" s="39"/>
      <c r="Q49" s="39"/>
      <c r="R49" s="39"/>
      <c r="S49" s="39"/>
      <c r="T49" s="52"/>
      <c r="U49" s="52"/>
      <c r="V49" s="52"/>
      <c r="W49" s="52"/>
      <c r="X49" s="52"/>
      <c r="Y49" s="39"/>
      <c r="Z49" s="39"/>
      <c r="AA49" s="39"/>
      <c r="AB49" s="39"/>
      <c r="AC49" s="39"/>
      <c r="AD49" s="39"/>
      <c r="AE49" s="39"/>
      <c r="AF49" s="39"/>
      <c r="AG49" s="39"/>
      <c r="AH49" s="39"/>
      <c r="AI49" s="39"/>
      <c r="AJ49" s="39"/>
      <c r="AK49" s="39"/>
      <c r="AL49" s="39"/>
    </row>
    <row r="50" spans="1:38" ht="15" x14ac:dyDescent="0.25">
      <c r="A50" s="1021" t="s">
        <v>396</v>
      </c>
      <c r="B50" s="1006"/>
      <c r="C50" s="1020"/>
      <c r="D50" s="1008"/>
      <c r="E50" s="1009"/>
      <c r="F50" s="1010"/>
      <c r="G50" s="1011"/>
      <c r="H50" s="1012"/>
      <c r="I50" s="1013"/>
      <c r="J50" s="809"/>
      <c r="K50" s="303"/>
      <c r="L50" s="5"/>
      <c r="M50" s="5"/>
      <c r="N50" s="39"/>
      <c r="O50" s="39"/>
      <c r="P50" s="39"/>
      <c r="Q50" s="39"/>
      <c r="R50" s="39"/>
      <c r="S50" s="39"/>
      <c r="T50" s="52"/>
      <c r="U50" s="52"/>
      <c r="V50" s="52"/>
      <c r="W50" s="52"/>
      <c r="X50" s="52"/>
      <c r="Y50" s="39"/>
      <c r="Z50" s="39"/>
      <c r="AA50" s="39"/>
      <c r="AB50" s="39"/>
      <c r="AC50" s="39"/>
      <c r="AD50" s="39"/>
      <c r="AE50" s="39"/>
      <c r="AF50" s="39"/>
      <c r="AG50" s="39"/>
      <c r="AH50" s="39"/>
      <c r="AI50" s="39"/>
      <c r="AJ50" s="39"/>
      <c r="AK50" s="39"/>
      <c r="AL50" s="39"/>
    </row>
    <row r="51" spans="1:38" ht="15" x14ac:dyDescent="0.2">
      <c r="A51" s="369" t="s">
        <v>391</v>
      </c>
      <c r="B51" s="370"/>
      <c r="C51" s="1014">
        <f>SUM(E6:E46)</f>
        <v>22314643</v>
      </c>
      <c r="D51" s="1023" t="s">
        <v>806</v>
      </c>
      <c r="E51" s="371"/>
      <c r="F51" s="878"/>
      <c r="G51" s="370"/>
      <c r="I51" s="118"/>
      <c r="J51" s="7"/>
      <c r="K51" s="5"/>
      <c r="L51" s="5"/>
      <c r="M51" s="5"/>
      <c r="N51" s="39"/>
      <c r="O51" s="39"/>
      <c r="P51" s="39"/>
      <c r="Q51" s="39"/>
      <c r="R51" s="39"/>
      <c r="S51" s="39"/>
      <c r="T51" s="52"/>
      <c r="U51" s="52"/>
      <c r="V51" s="52"/>
      <c r="W51" s="52"/>
      <c r="X51" s="52"/>
      <c r="Y51" s="39"/>
      <c r="Z51" s="39"/>
      <c r="AA51" s="39"/>
      <c r="AB51" s="39"/>
      <c r="AC51" s="39"/>
      <c r="AD51" s="39"/>
      <c r="AE51" s="39"/>
      <c r="AF51" s="39"/>
      <c r="AG51" s="39"/>
      <c r="AH51" s="39"/>
      <c r="AI51" s="39"/>
      <c r="AJ51" s="39"/>
      <c r="AK51" s="39"/>
      <c r="AL51" s="39"/>
    </row>
    <row r="52" spans="1:38" x14ac:dyDescent="0.2">
      <c r="A52" s="369" t="s">
        <v>392</v>
      </c>
      <c r="B52" s="370"/>
      <c r="C52" s="1014">
        <f>SUM(E10,E19,E28)</f>
        <v>620708</v>
      </c>
      <c r="D52" s="985" t="s">
        <v>792</v>
      </c>
      <c r="E52" s="371"/>
      <c r="F52" s="878"/>
      <c r="G52" s="993" t="s">
        <v>799</v>
      </c>
      <c r="H52" s="992"/>
      <c r="I52" s="1002"/>
      <c r="L52" s="5"/>
      <c r="M52" s="5"/>
      <c r="N52" s="39"/>
      <c r="O52" s="39"/>
      <c r="P52" s="39"/>
      <c r="Q52" s="39"/>
      <c r="R52" s="39"/>
      <c r="S52" s="39"/>
      <c r="T52" s="52"/>
      <c r="U52" s="52"/>
      <c r="V52" s="52"/>
      <c r="W52" s="52"/>
      <c r="X52" s="52"/>
      <c r="Y52" s="39"/>
      <c r="Z52" s="39"/>
      <c r="AA52" s="39"/>
      <c r="AB52" s="39"/>
      <c r="AC52" s="39"/>
      <c r="AD52" s="39"/>
      <c r="AE52" s="39"/>
      <c r="AF52" s="39"/>
      <c r="AG52" s="39"/>
      <c r="AH52" s="39"/>
      <c r="AI52" s="39"/>
      <c r="AJ52" s="39"/>
      <c r="AK52" s="39"/>
      <c r="AL52" s="39"/>
    </row>
    <row r="53" spans="1:38" x14ac:dyDescent="0.2">
      <c r="A53" s="369" t="s">
        <v>1037</v>
      </c>
      <c r="B53" s="370"/>
      <c r="C53" s="1014">
        <f>SUM(E6,E7,E8,E9,E11,E14,E16,E20,E23,E24,E27)</f>
        <v>5656430</v>
      </c>
      <c r="D53" s="984" t="s">
        <v>793</v>
      </c>
      <c r="E53" s="991"/>
      <c r="F53" s="1000">
        <f>'3. Distribution'!$C$38</f>
        <v>3</v>
      </c>
      <c r="G53" s="994" t="s">
        <v>219</v>
      </c>
      <c r="H53"/>
      <c r="I53" s="1003">
        <f>'3. Distribution'!C56</f>
        <v>16</v>
      </c>
      <c r="L53" s="5"/>
      <c r="M53" s="5"/>
      <c r="N53" s="39"/>
      <c r="O53" s="39"/>
      <c r="P53" s="39"/>
      <c r="Q53" s="39"/>
      <c r="R53" s="39"/>
      <c r="S53" s="39"/>
      <c r="T53" s="52"/>
      <c r="U53" s="52"/>
      <c r="V53" s="52"/>
      <c r="W53" s="52"/>
      <c r="X53" s="52"/>
      <c r="Y53" s="39"/>
      <c r="Z53" s="39"/>
      <c r="AA53" s="39"/>
      <c r="AB53" s="39"/>
      <c r="AC53" s="39"/>
      <c r="AD53" s="39"/>
      <c r="AE53" s="39"/>
      <c r="AF53" s="39"/>
      <c r="AG53" s="39"/>
      <c r="AH53" s="39"/>
      <c r="AI53" s="39"/>
      <c r="AJ53" s="39"/>
      <c r="AK53" s="39"/>
      <c r="AL53" s="39"/>
    </row>
    <row r="54" spans="1:38" x14ac:dyDescent="0.2">
      <c r="A54" s="369" t="s">
        <v>393</v>
      </c>
      <c r="B54" s="370"/>
      <c r="C54" s="1014">
        <f>C51-C52-C53</f>
        <v>16037505</v>
      </c>
      <c r="D54" s="984" t="s">
        <v>794</v>
      </c>
      <c r="E54" s="991"/>
      <c r="F54" s="1000">
        <f>'3. Distribution'!$C$39</f>
        <v>0</v>
      </c>
      <c r="G54" s="994" t="s">
        <v>221</v>
      </c>
      <c r="H54"/>
      <c r="I54" s="1003">
        <f>'3. Distribution'!C57</f>
        <v>3</v>
      </c>
      <c r="L54" s="5"/>
      <c r="M54" s="5"/>
      <c r="N54" s="39"/>
      <c r="O54" s="39"/>
      <c r="P54" s="39"/>
      <c r="Q54" s="39"/>
      <c r="R54" s="39"/>
      <c r="S54" s="39"/>
      <c r="T54" s="52"/>
      <c r="U54" s="52"/>
      <c r="V54" s="52"/>
      <c r="W54" s="52"/>
      <c r="X54" s="52"/>
      <c r="Y54" s="39"/>
      <c r="Z54" s="39"/>
      <c r="AA54" s="39"/>
      <c r="AB54" s="39"/>
      <c r="AC54" s="39"/>
      <c r="AD54" s="39"/>
      <c r="AE54" s="39"/>
      <c r="AF54" s="39"/>
      <c r="AG54" s="39"/>
      <c r="AH54" s="39"/>
      <c r="AI54" s="39"/>
      <c r="AJ54" s="39"/>
      <c r="AK54" s="39"/>
      <c r="AL54" s="39"/>
    </row>
    <row r="55" spans="1:38" x14ac:dyDescent="0.2">
      <c r="A55" s="369"/>
      <c r="B55" s="370"/>
      <c r="C55" s="1014"/>
      <c r="D55" s="984" t="s">
        <v>795</v>
      </c>
      <c r="E55" s="991"/>
      <c r="F55" s="1000">
        <f>'3. Distribution'!$C$40</f>
        <v>10</v>
      </c>
      <c r="G55" s="994" t="s">
        <v>222</v>
      </c>
      <c r="H55"/>
      <c r="I55" s="1003">
        <f>'3. Distribution'!C58</f>
        <v>2</v>
      </c>
      <c r="L55" s="5"/>
      <c r="M55" s="5"/>
      <c r="N55" s="39"/>
      <c r="O55" s="39"/>
      <c r="P55" s="39"/>
      <c r="Q55" s="39"/>
      <c r="R55" s="39"/>
      <c r="S55" s="39"/>
      <c r="T55" s="52"/>
      <c r="U55" s="52"/>
      <c r="V55" s="52"/>
      <c r="W55" s="52"/>
      <c r="X55" s="52"/>
      <c r="Y55" s="39"/>
      <c r="Z55" s="39"/>
      <c r="AA55" s="39"/>
      <c r="AB55" s="39"/>
      <c r="AC55" s="39"/>
      <c r="AD55" s="39"/>
      <c r="AE55" s="39"/>
      <c r="AF55" s="39"/>
      <c r="AG55" s="39"/>
      <c r="AH55" s="39"/>
      <c r="AI55" s="39"/>
      <c r="AJ55" s="39"/>
      <c r="AK55" s="39"/>
      <c r="AL55" s="39"/>
    </row>
    <row r="56" spans="1:38" ht="15" x14ac:dyDescent="0.25">
      <c r="A56" s="1022" t="s">
        <v>397</v>
      </c>
      <c r="B56" s="370"/>
      <c r="C56" s="1014"/>
      <c r="D56" s="984" t="s">
        <v>796</v>
      </c>
      <c r="E56" s="991"/>
      <c r="F56" s="1000">
        <f>'3. Distribution'!$C$41</f>
        <v>14</v>
      </c>
      <c r="G56" s="994" t="s">
        <v>223</v>
      </c>
      <c r="H56"/>
      <c r="I56" s="1003">
        <f>'3. Distribution'!C59</f>
        <v>0</v>
      </c>
      <c r="L56" s="5"/>
      <c r="M56" s="5"/>
      <c r="N56" s="39"/>
      <c r="O56" s="39"/>
      <c r="P56" s="39"/>
      <c r="Q56" s="39"/>
      <c r="R56" s="39"/>
      <c r="S56" s="39"/>
      <c r="T56" s="52"/>
      <c r="U56" s="52"/>
      <c r="V56" s="52"/>
      <c r="W56" s="52"/>
      <c r="X56" s="52"/>
      <c r="Y56" s="39"/>
      <c r="Z56" s="39"/>
      <c r="AA56" s="39"/>
      <c r="AB56" s="39"/>
      <c r="AC56" s="39"/>
      <c r="AD56" s="39"/>
      <c r="AE56" s="39"/>
      <c r="AF56" s="39"/>
      <c r="AG56" s="39"/>
      <c r="AH56" s="39"/>
      <c r="AI56" s="39"/>
      <c r="AJ56" s="39"/>
      <c r="AK56" s="39"/>
      <c r="AL56" s="39"/>
    </row>
    <row r="57" spans="1:38" x14ac:dyDescent="0.2">
      <c r="A57" s="911" t="s">
        <v>398</v>
      </c>
      <c r="B57" s="912"/>
      <c r="C57" s="1015">
        <f>SUM(E12,E13,E15,E17,E18)</f>
        <v>4457259</v>
      </c>
      <c r="D57" s="878"/>
      <c r="E57" s="371"/>
      <c r="F57" s="983"/>
      <c r="G57" s="995" t="s">
        <v>224</v>
      </c>
      <c r="H57"/>
      <c r="I57" s="1003">
        <f>'3. Distribution'!C60</f>
        <v>2</v>
      </c>
      <c r="L57" s="5"/>
      <c r="M57" s="5"/>
      <c r="N57" s="39"/>
      <c r="O57" s="39"/>
      <c r="P57" s="39"/>
      <c r="Q57" s="39"/>
      <c r="R57" s="39"/>
      <c r="S57" s="39"/>
      <c r="T57" s="52"/>
      <c r="U57" s="52"/>
      <c r="V57" s="52"/>
      <c r="W57" s="52"/>
      <c r="X57" s="52"/>
      <c r="Y57" s="39"/>
      <c r="Z57" s="39"/>
      <c r="AA57" s="39"/>
      <c r="AB57" s="39"/>
      <c r="AC57" s="39"/>
      <c r="AD57" s="39"/>
      <c r="AE57" s="39"/>
      <c r="AF57" s="39"/>
      <c r="AG57" s="39"/>
      <c r="AH57" s="39"/>
      <c r="AI57" s="39"/>
      <c r="AJ57" s="39"/>
      <c r="AK57" s="39"/>
      <c r="AL57" s="39"/>
    </row>
    <row r="58" spans="1:38" x14ac:dyDescent="0.2">
      <c r="A58" s="911" t="s">
        <v>394</v>
      </c>
      <c r="B58" s="912"/>
      <c r="C58" s="1015">
        <f>10000000-C57</f>
        <v>5542741</v>
      </c>
      <c r="D58" s="998" t="s">
        <v>800</v>
      </c>
      <c r="E58" s="980"/>
      <c r="F58" s="996"/>
      <c r="G58" s="995" t="s">
        <v>225</v>
      </c>
      <c r="H58"/>
      <c r="I58" s="1003">
        <f>'3. Distribution'!C61</f>
        <v>1</v>
      </c>
      <c r="L58" s="5"/>
      <c r="M58" s="5"/>
      <c r="N58" s="39"/>
      <c r="O58" s="39"/>
      <c r="P58" s="39"/>
      <c r="Q58" s="39"/>
      <c r="R58" s="39"/>
      <c r="S58" s="39"/>
      <c r="T58" s="52"/>
      <c r="U58" s="52"/>
      <c r="V58" s="52"/>
      <c r="W58" s="52"/>
      <c r="X58" s="52"/>
      <c r="Y58" s="39"/>
      <c r="Z58" s="39"/>
      <c r="AA58" s="39"/>
      <c r="AB58" s="39"/>
      <c r="AC58" s="39"/>
      <c r="AD58" s="39"/>
      <c r="AE58" s="39"/>
      <c r="AF58" s="39"/>
      <c r="AG58" s="39"/>
      <c r="AH58" s="39"/>
      <c r="AI58" s="39"/>
      <c r="AJ58" s="39"/>
      <c r="AK58" s="39"/>
      <c r="AL58" s="39"/>
    </row>
    <row r="59" spans="1:38" x14ac:dyDescent="0.2">
      <c r="A59" s="908" t="s">
        <v>399</v>
      </c>
      <c r="B59" s="909"/>
      <c r="C59" s="1016">
        <f>SUM(E21,E22,E25,E26,E29)</f>
        <v>1127408</v>
      </c>
      <c r="D59" s="997" t="s">
        <v>232</v>
      </c>
      <c r="E59" s="980"/>
      <c r="F59" s="1001">
        <f>'3. Distribution'!$D$68</f>
        <v>5</v>
      </c>
      <c r="G59" s="995" t="s">
        <v>226</v>
      </c>
      <c r="H59"/>
      <c r="I59" s="1003">
        <f>'3. Distribution'!C62</f>
        <v>1</v>
      </c>
      <c r="L59" s="5"/>
      <c r="M59" s="5"/>
      <c r="N59" s="39"/>
      <c r="O59" s="39"/>
      <c r="P59" s="39"/>
      <c r="Q59" s="39"/>
      <c r="R59" s="39"/>
      <c r="S59" s="39"/>
      <c r="T59" s="52"/>
      <c r="U59" s="52"/>
      <c r="V59" s="52"/>
      <c r="W59" s="52"/>
      <c r="X59" s="52"/>
      <c r="Y59" s="39"/>
      <c r="Z59" s="39"/>
      <c r="AA59" s="39"/>
      <c r="AB59" s="39"/>
      <c r="AC59" s="39"/>
      <c r="AD59" s="39"/>
      <c r="AE59" s="39"/>
      <c r="AF59" s="39"/>
      <c r="AG59" s="39"/>
      <c r="AH59" s="39"/>
      <c r="AI59" s="39"/>
      <c r="AJ59" s="39"/>
      <c r="AK59" s="39"/>
      <c r="AL59" s="39"/>
    </row>
    <row r="60" spans="1:38" x14ac:dyDescent="0.2">
      <c r="A60" s="908" t="s">
        <v>395</v>
      </c>
      <c r="B60" s="910"/>
      <c r="C60" s="1016">
        <f>SUM(10000000-C59)</f>
        <v>8872592</v>
      </c>
      <c r="D60" s="997" t="s">
        <v>234</v>
      </c>
      <c r="E60" s="980"/>
      <c r="F60" s="1001">
        <f>'3. Distribution'!$D$69</f>
        <v>2</v>
      </c>
      <c r="G60" s="995" t="s">
        <v>227</v>
      </c>
      <c r="H60"/>
      <c r="I60" s="1003">
        <f>'3. Distribution'!C63</f>
        <v>2</v>
      </c>
      <c r="L60" s="5"/>
      <c r="M60" s="5"/>
      <c r="N60" s="39"/>
      <c r="O60" s="39"/>
      <c r="P60" s="39"/>
      <c r="Q60" s="39"/>
      <c r="R60" s="39"/>
      <c r="S60" s="39"/>
      <c r="T60" s="52"/>
      <c r="U60" s="52"/>
      <c r="V60" s="52"/>
      <c r="W60" s="52"/>
      <c r="X60" s="52"/>
      <c r="Y60" s="39"/>
      <c r="Z60" s="39"/>
      <c r="AA60" s="39"/>
      <c r="AB60" s="39"/>
      <c r="AC60" s="39"/>
      <c r="AD60" s="39"/>
      <c r="AE60" s="39"/>
      <c r="AF60" s="39"/>
      <c r="AG60" s="39"/>
      <c r="AH60" s="39"/>
      <c r="AI60" s="39"/>
      <c r="AJ60" s="39"/>
      <c r="AK60" s="39"/>
      <c r="AL60" s="39"/>
    </row>
    <row r="61" spans="1:38" x14ac:dyDescent="0.2">
      <c r="A61" s="906" t="s">
        <v>629</v>
      </c>
      <c r="B61" s="907"/>
      <c r="C61" s="1017">
        <f>SUM(E37,E30,E31,E32,E40,E33,E34,E35,E36,E41,E42,E43,E38)</f>
        <v>5539090</v>
      </c>
      <c r="D61" s="984" t="s">
        <v>233</v>
      </c>
      <c r="E61" s="371"/>
      <c r="F61" s="1000">
        <f>'3. Distribution'!$D$70</f>
        <v>17</v>
      </c>
      <c r="G61" s="985" t="s">
        <v>801</v>
      </c>
      <c r="H61" s="371"/>
      <c r="I61" s="1004"/>
      <c r="L61" s="5"/>
      <c r="M61" s="5"/>
      <c r="N61" s="39"/>
      <c r="O61" s="39"/>
      <c r="P61" s="39"/>
      <c r="Q61" s="39"/>
      <c r="R61" s="39"/>
      <c r="S61" s="39"/>
      <c r="T61" s="52"/>
      <c r="U61" s="52"/>
      <c r="V61" s="52"/>
      <c r="W61" s="52"/>
      <c r="X61" s="52"/>
      <c r="Y61" s="39"/>
      <c r="Z61" s="39"/>
      <c r="AA61" s="39"/>
      <c r="AB61" s="39"/>
      <c r="AC61" s="39"/>
      <c r="AD61" s="39"/>
      <c r="AE61" s="39"/>
      <c r="AF61" s="39"/>
      <c r="AG61" s="39"/>
      <c r="AH61" s="39"/>
      <c r="AI61" s="39"/>
      <c r="AJ61" s="39"/>
      <c r="AK61" s="39"/>
      <c r="AL61" s="39"/>
    </row>
    <row r="62" spans="1:38" x14ac:dyDescent="0.2">
      <c r="A62" s="906" t="s">
        <v>637</v>
      </c>
      <c r="B62" s="907"/>
      <c r="C62" s="1017">
        <f>10000000-C61</f>
        <v>4460910</v>
      </c>
      <c r="D62" s="984" t="s">
        <v>235</v>
      </c>
      <c r="E62" s="371"/>
      <c r="F62" s="1000">
        <f>'3. Distribution'!$D$71</f>
        <v>3</v>
      </c>
      <c r="G62" s="999" t="s">
        <v>797</v>
      </c>
      <c r="H62"/>
      <c r="I62" s="1005">
        <f>'3. Distribution'!C47</f>
        <v>19</v>
      </c>
      <c r="L62" s="370"/>
      <c r="M62" s="5"/>
      <c r="N62" s="39"/>
      <c r="O62" s="39"/>
      <c r="P62" s="39"/>
      <c r="Q62" s="39"/>
      <c r="R62" s="39"/>
      <c r="S62" s="39"/>
      <c r="T62" s="52"/>
      <c r="U62" s="52"/>
      <c r="V62" s="52"/>
      <c r="W62" s="52"/>
      <c r="X62" s="52"/>
      <c r="Y62" s="39"/>
      <c r="Z62" s="39"/>
      <c r="AA62" s="39"/>
      <c r="AB62" s="39"/>
      <c r="AC62" s="39"/>
      <c r="AD62" s="39"/>
      <c r="AE62" s="39"/>
      <c r="AF62" s="39"/>
      <c r="AG62" s="39"/>
      <c r="AH62" s="39"/>
      <c r="AI62" s="39"/>
      <c r="AJ62" s="39"/>
      <c r="AK62" s="39"/>
      <c r="AL62" s="39"/>
    </row>
    <row r="63" spans="1:38" x14ac:dyDescent="0.2">
      <c r="A63" s="1159" t="s">
        <v>878</v>
      </c>
      <c r="B63" s="1160"/>
      <c r="C63" s="1161">
        <f>SUM(E44, E45,E39,E46)</f>
        <v>4913748</v>
      </c>
      <c r="D63" s="984"/>
      <c r="E63" s="371"/>
      <c r="F63" s="1000"/>
      <c r="G63" s="999" t="s">
        <v>798</v>
      </c>
      <c r="H63"/>
      <c r="I63" s="1005">
        <f>'3. Distribution'!C48</f>
        <v>8</v>
      </c>
      <c r="L63" s="370"/>
      <c r="M63" s="5"/>
      <c r="N63" s="39"/>
      <c r="O63" s="39"/>
      <c r="P63" s="39"/>
      <c r="Q63" s="39"/>
      <c r="R63" s="39"/>
      <c r="S63" s="39"/>
      <c r="T63" s="52"/>
      <c r="U63" s="52"/>
      <c r="V63" s="52"/>
      <c r="W63" s="52"/>
      <c r="X63" s="52"/>
      <c r="Y63" s="39"/>
      <c r="Z63" s="39"/>
      <c r="AA63" s="39"/>
      <c r="AB63" s="39"/>
      <c r="AC63" s="39"/>
      <c r="AD63" s="39"/>
      <c r="AE63" s="39"/>
      <c r="AF63" s="39"/>
      <c r="AG63" s="39"/>
      <c r="AH63" s="39"/>
      <c r="AI63" s="39"/>
      <c r="AJ63" s="39"/>
      <c r="AK63" s="39"/>
      <c r="AL63" s="39"/>
    </row>
    <row r="64" spans="1:38" ht="15" x14ac:dyDescent="0.2">
      <c r="A64" s="1159" t="s">
        <v>879</v>
      </c>
      <c r="B64" s="1160"/>
      <c r="C64" s="1161">
        <f>10000000-C63</f>
        <v>5086252</v>
      </c>
      <c r="D64" s="1080" t="s">
        <v>790</v>
      </c>
      <c r="E64" s="744"/>
      <c r="F64" s="879"/>
      <c r="G64" s="609"/>
      <c r="H64"/>
      <c r="I64" s="1005"/>
      <c r="L64" s="370"/>
      <c r="M64" s="5"/>
      <c r="N64" s="39"/>
      <c r="O64" s="39"/>
      <c r="P64" s="39"/>
      <c r="Q64" s="39"/>
      <c r="R64" s="39"/>
      <c r="S64" s="39"/>
      <c r="T64" s="52"/>
      <c r="U64" s="52"/>
      <c r="V64" s="52"/>
      <c r="W64" s="52"/>
      <c r="X64" s="52"/>
      <c r="Y64" s="39"/>
      <c r="Z64" s="39"/>
      <c r="AA64" s="39"/>
      <c r="AB64" s="39"/>
      <c r="AC64" s="39"/>
      <c r="AD64" s="39"/>
      <c r="AE64" s="39"/>
      <c r="AF64" s="39"/>
      <c r="AG64" s="39"/>
      <c r="AH64" s="39"/>
      <c r="AI64" s="39"/>
      <c r="AJ64" s="39"/>
      <c r="AK64" s="39"/>
      <c r="AL64" s="39"/>
    </row>
    <row r="65" spans="1:39" x14ac:dyDescent="0.2">
      <c r="A65" s="369"/>
      <c r="B65" s="368"/>
      <c r="C65" s="1014"/>
      <c r="D65" s="2111" t="s">
        <v>844</v>
      </c>
      <c r="E65" s="84"/>
      <c r="F65" s="879"/>
      <c r="G65" s="1081">
        <f>'4. Jobs'!$E$131</f>
        <v>2254</v>
      </c>
      <c r="J65" s="71"/>
      <c r="L65" s="987"/>
      <c r="M65" s="5"/>
      <c r="N65" s="39"/>
      <c r="O65" s="39"/>
      <c r="P65" s="39"/>
      <c r="Q65" s="39"/>
      <c r="R65" s="39"/>
      <c r="S65" s="39"/>
      <c r="T65" s="52"/>
      <c r="U65" s="52"/>
      <c r="V65" s="52"/>
      <c r="W65" s="52"/>
      <c r="X65" s="52"/>
      <c r="Y65" s="39"/>
      <c r="Z65" s="39"/>
      <c r="AA65" s="39"/>
      <c r="AB65" s="39"/>
      <c r="AC65" s="39"/>
      <c r="AD65" s="39"/>
      <c r="AE65" s="39"/>
      <c r="AF65" s="39"/>
      <c r="AG65" s="39"/>
      <c r="AH65" s="39"/>
      <c r="AI65" s="39"/>
      <c r="AJ65" s="39"/>
      <c r="AK65" s="39"/>
      <c r="AL65" s="39"/>
    </row>
    <row r="66" spans="1:39" ht="15" x14ac:dyDescent="0.25">
      <c r="A66" s="1022" t="s">
        <v>787</v>
      </c>
      <c r="B66" s="368"/>
      <c r="C66" s="1018"/>
      <c r="D66" s="2122" t="s">
        <v>1048</v>
      </c>
      <c r="G66" s="2123">
        <f>'4. Jobs'!$Q$131</f>
        <v>68</v>
      </c>
      <c r="I66" s="3"/>
      <c r="L66" s="987"/>
      <c r="M66" s="5"/>
      <c r="N66" s="39"/>
      <c r="O66" s="39"/>
      <c r="P66" s="39"/>
      <c r="Q66" s="39"/>
      <c r="R66" s="39"/>
      <c r="S66" s="39"/>
      <c r="T66" s="52"/>
      <c r="U66" s="52"/>
      <c r="V66" s="52"/>
      <c r="W66" s="52"/>
      <c r="X66" s="52"/>
      <c r="Y66" s="39"/>
      <c r="Z66" s="39"/>
      <c r="AA66" s="39"/>
      <c r="AB66" s="39"/>
      <c r="AC66" s="39"/>
      <c r="AD66" s="39"/>
      <c r="AE66" s="39"/>
      <c r="AF66" s="39"/>
      <c r="AG66" s="39"/>
      <c r="AH66" s="39"/>
      <c r="AI66" s="39"/>
      <c r="AJ66" s="39"/>
      <c r="AK66" s="39"/>
      <c r="AL66" s="39"/>
    </row>
    <row r="67" spans="1:39" x14ac:dyDescent="0.2">
      <c r="A67" s="369" t="s">
        <v>880</v>
      </c>
      <c r="B67" s="370"/>
      <c r="C67" s="1082">
        <f>'4. Jobs'!$G$131</f>
        <v>1885</v>
      </c>
      <c r="D67" s="2112" t="s">
        <v>1039</v>
      </c>
      <c r="G67" s="2117">
        <f>'4. Jobs'!$R$131</f>
        <v>2034</v>
      </c>
      <c r="I67" s="118"/>
      <c r="J67" s="7"/>
      <c r="K67" s="5"/>
      <c r="L67" s="5"/>
      <c r="M67" s="5"/>
      <c r="N67" s="39"/>
      <c r="O67" s="39"/>
      <c r="P67" s="39"/>
      <c r="Q67" s="39"/>
      <c r="R67" s="39"/>
      <c r="S67" s="39"/>
      <c r="T67" s="52"/>
      <c r="U67" s="52"/>
      <c r="V67" s="52"/>
      <c r="W67" s="52"/>
      <c r="X67" s="52"/>
      <c r="Y67" s="39"/>
      <c r="Z67" s="39"/>
      <c r="AA67" s="39"/>
      <c r="AB67" s="39"/>
      <c r="AC67" s="39"/>
      <c r="AD67" s="39"/>
      <c r="AE67" s="39"/>
      <c r="AF67" s="39"/>
      <c r="AG67" s="39"/>
      <c r="AH67" s="39"/>
      <c r="AI67" s="39"/>
      <c r="AJ67" s="39"/>
      <c r="AK67" s="39"/>
      <c r="AL67" s="39"/>
    </row>
    <row r="68" spans="1:39" x14ac:dyDescent="0.2">
      <c r="A68" s="369" t="s">
        <v>881</v>
      </c>
      <c r="B68" s="370"/>
      <c r="C68" s="1014">
        <f>'5. Payroll'!$E$130</f>
        <v>84024096</v>
      </c>
      <c r="D68" s="2122" t="s">
        <v>1049</v>
      </c>
      <c r="G68" s="2123">
        <f>SUM(C67,G66,G67)</f>
        <v>3987</v>
      </c>
      <c r="I68" s="118"/>
      <c r="J68" s="7"/>
      <c r="K68" s="5"/>
      <c r="L68" s="5"/>
      <c r="M68" s="5"/>
      <c r="N68" s="39"/>
      <c r="O68" s="39"/>
      <c r="P68" s="39"/>
      <c r="Q68" s="39"/>
      <c r="R68" s="39"/>
      <c r="S68" s="39"/>
      <c r="T68" s="52"/>
      <c r="U68" s="52"/>
      <c r="V68" s="52"/>
      <c r="W68" s="52"/>
      <c r="X68" s="52"/>
      <c r="Y68" s="39"/>
      <c r="Z68" s="39"/>
      <c r="AA68" s="39"/>
      <c r="AB68" s="39"/>
      <c r="AC68" s="39"/>
      <c r="AD68" s="39"/>
      <c r="AE68" s="39"/>
      <c r="AF68" s="39"/>
      <c r="AG68" s="39"/>
      <c r="AH68" s="39"/>
      <c r="AI68" s="39"/>
      <c r="AJ68" s="39"/>
      <c r="AK68" s="39"/>
      <c r="AL68" s="39"/>
    </row>
    <row r="69" spans="1:39" x14ac:dyDescent="0.2">
      <c r="A69" s="369" t="s">
        <v>720</v>
      </c>
      <c r="B69" s="370"/>
      <c r="C69" s="1014">
        <f>'5a. Weighted Avg Wage'!$E$195</f>
        <v>44959.804244031831</v>
      </c>
      <c r="D69" s="999" t="s">
        <v>789</v>
      </c>
      <c r="E69" s="980"/>
      <c r="F69" s="879"/>
      <c r="G69" s="988">
        <f>'7. Cost-Benefit'!$AG$156</f>
        <v>23891192.181093894</v>
      </c>
      <c r="I69" s="118"/>
      <c r="J69" s="7"/>
      <c r="K69" s="5"/>
      <c r="L69" s="5"/>
      <c r="M69" s="5"/>
      <c r="N69" s="39"/>
      <c r="O69" s="39"/>
      <c r="P69" s="39"/>
      <c r="Q69" s="39"/>
      <c r="R69" s="39"/>
      <c r="S69" s="39"/>
      <c r="T69" s="52"/>
      <c r="U69" s="52"/>
      <c r="V69" s="52"/>
      <c r="W69" s="52"/>
      <c r="X69" s="52"/>
      <c r="Y69" s="39"/>
      <c r="Z69" s="39"/>
      <c r="AA69" s="39"/>
      <c r="AB69" s="39"/>
      <c r="AC69" s="39"/>
      <c r="AD69" s="39"/>
      <c r="AE69" s="39"/>
      <c r="AF69" s="39"/>
      <c r="AG69" s="39"/>
      <c r="AH69" s="39"/>
      <c r="AI69" s="39"/>
      <c r="AJ69" s="39"/>
      <c r="AK69" s="39"/>
      <c r="AL69" s="39"/>
    </row>
    <row r="70" spans="1:39" x14ac:dyDescent="0.2">
      <c r="A70" s="369" t="s">
        <v>721</v>
      </c>
      <c r="B70" s="370"/>
      <c r="C70" s="1014">
        <f>'5a. Weighted Avg Wage'!$E$197</f>
        <v>54984.175412515964</v>
      </c>
      <c r="D70" s="999" t="s">
        <v>842</v>
      </c>
      <c r="E70" s="980"/>
      <c r="F70" s="879"/>
      <c r="G70" s="989">
        <f>'5. Payroll'!$O$130</f>
        <v>0.70740740740740715</v>
      </c>
      <c r="I70" s="118"/>
      <c r="J70" s="7"/>
      <c r="K70" s="5"/>
      <c r="L70" s="5"/>
      <c r="M70" s="5"/>
      <c r="N70" s="39"/>
      <c r="O70" s="39"/>
      <c r="P70" s="39"/>
      <c r="Q70" s="39"/>
      <c r="R70" s="39"/>
      <c r="S70" s="39"/>
      <c r="T70" s="52"/>
      <c r="U70" s="52"/>
      <c r="V70" s="52"/>
      <c r="W70" s="52"/>
      <c r="X70" s="52"/>
      <c r="Y70" s="39"/>
      <c r="Z70" s="39"/>
      <c r="AA70" s="39"/>
      <c r="AB70" s="39"/>
      <c r="AC70" s="39"/>
      <c r="AD70" s="39"/>
      <c r="AE70" s="39"/>
      <c r="AF70" s="39"/>
      <c r="AG70" s="39"/>
      <c r="AH70" s="39"/>
      <c r="AI70" s="39"/>
      <c r="AJ70" s="39"/>
      <c r="AK70" s="39"/>
      <c r="AL70" s="39"/>
    </row>
    <row r="71" spans="1:39" x14ac:dyDescent="0.2">
      <c r="A71" s="369" t="s">
        <v>882</v>
      </c>
      <c r="B71" s="370"/>
      <c r="C71" s="1014">
        <f>'6. Capex'!$E$132</f>
        <v>137131025</v>
      </c>
      <c r="D71" s="999" t="s">
        <v>843</v>
      </c>
      <c r="E71" s="980"/>
      <c r="F71" s="879"/>
      <c r="G71" s="878">
        <f>'5. Payroll'!$S$130</f>
        <v>101774415</v>
      </c>
      <c r="I71" s="118"/>
      <c r="J71" s="7"/>
      <c r="K71" s="5"/>
      <c r="L71" s="5"/>
      <c r="M71" s="5"/>
      <c r="N71" s="39"/>
      <c r="O71" s="39"/>
      <c r="P71" s="39"/>
      <c r="Q71" s="39"/>
      <c r="R71" s="39"/>
      <c r="S71" s="39"/>
      <c r="T71" s="52"/>
      <c r="U71" s="52"/>
      <c r="V71" s="52"/>
      <c r="W71" s="52"/>
      <c r="X71" s="52"/>
      <c r="Y71" s="39"/>
      <c r="Z71" s="39"/>
      <c r="AA71" s="39"/>
      <c r="AB71" s="39"/>
      <c r="AC71" s="39"/>
      <c r="AD71" s="39"/>
      <c r="AE71" s="39"/>
      <c r="AF71" s="39"/>
      <c r="AG71" s="39"/>
      <c r="AH71" s="39"/>
      <c r="AI71" s="39"/>
      <c r="AJ71" s="39"/>
      <c r="AK71" s="39"/>
      <c r="AL71" s="39"/>
    </row>
    <row r="72" spans="1:39" x14ac:dyDescent="0.2">
      <c r="A72" s="369"/>
      <c r="B72" s="370"/>
      <c r="C72" s="1014"/>
      <c r="D72" s="978"/>
      <c r="E72" s="878"/>
      <c r="F72" s="980"/>
      <c r="G72" s="879"/>
      <c r="H72" s="986"/>
      <c r="I72" s="118"/>
      <c r="J72" s="7"/>
      <c r="K72" s="5"/>
      <c r="L72" s="5"/>
      <c r="M72" s="5"/>
      <c r="N72" s="39"/>
      <c r="O72" s="39"/>
      <c r="P72" s="39"/>
      <c r="Q72" s="39"/>
      <c r="R72" s="39"/>
      <c r="S72" s="39"/>
      <c r="T72" s="52"/>
      <c r="U72" s="52"/>
      <c r="V72" s="52"/>
      <c r="W72" s="52"/>
      <c r="X72" s="52"/>
      <c r="Y72" s="39"/>
      <c r="Z72" s="39"/>
      <c r="AA72" s="39"/>
      <c r="AB72" s="39"/>
      <c r="AC72" s="39"/>
      <c r="AD72" s="39"/>
      <c r="AE72" s="39"/>
      <c r="AF72" s="39"/>
      <c r="AG72" s="39"/>
      <c r="AH72" s="39"/>
      <c r="AI72" s="39"/>
      <c r="AJ72" s="39"/>
      <c r="AK72" s="39"/>
      <c r="AL72" s="39"/>
    </row>
    <row r="73" spans="1:39" ht="15" x14ac:dyDescent="0.25">
      <c r="A73" s="1022" t="s">
        <v>788</v>
      </c>
      <c r="B73" s="368"/>
      <c r="C73" s="1014"/>
      <c r="D73" s="978"/>
      <c r="E73" s="878"/>
      <c r="F73" s="980"/>
      <c r="G73" s="879"/>
      <c r="H73" s="986"/>
      <c r="I73" s="118"/>
      <c r="J73" s="7"/>
      <c r="K73" s="5"/>
      <c r="L73" s="5"/>
      <c r="M73" s="5"/>
      <c r="N73" s="39"/>
      <c r="O73" s="39"/>
      <c r="P73" s="39"/>
      <c r="Q73" s="39"/>
      <c r="R73" s="39"/>
      <c r="S73" s="39"/>
      <c r="T73" s="52"/>
      <c r="U73" s="52"/>
      <c r="V73" s="52"/>
      <c r="W73" s="52"/>
      <c r="X73" s="52"/>
      <c r="Y73" s="39"/>
      <c r="Z73" s="39"/>
      <c r="AA73" s="39"/>
      <c r="AB73" s="39"/>
      <c r="AC73" s="39"/>
      <c r="AD73" s="39"/>
      <c r="AE73" s="39"/>
      <c r="AF73" s="39"/>
      <c r="AG73" s="39"/>
      <c r="AH73" s="39"/>
      <c r="AI73" s="39"/>
      <c r="AJ73" s="39"/>
      <c r="AK73" s="39"/>
      <c r="AL73" s="39"/>
    </row>
    <row r="74" spans="1:39" x14ac:dyDescent="0.2">
      <c r="A74" s="369" t="s">
        <v>883</v>
      </c>
      <c r="B74" s="370"/>
      <c r="C74" s="1014">
        <f>'7. Cost-Benefit'!$Z$156</f>
        <v>43395322</v>
      </c>
      <c r="D74" s="978"/>
      <c r="E74" s="878"/>
      <c r="F74" s="980"/>
      <c r="G74" s="879"/>
      <c r="H74" s="986"/>
      <c r="I74" s="118"/>
      <c r="J74" s="7"/>
      <c r="K74" s="5"/>
      <c r="L74" s="5"/>
      <c r="M74" s="5"/>
      <c r="N74" s="39"/>
      <c r="O74" s="39"/>
      <c r="P74" s="39"/>
      <c r="Q74" s="39"/>
      <c r="R74" s="39"/>
      <c r="S74" s="39"/>
      <c r="T74" s="52"/>
      <c r="U74" s="52"/>
      <c r="V74" s="52"/>
      <c r="W74" s="52"/>
      <c r="X74" s="52"/>
      <c r="Y74" s="39"/>
      <c r="Z74" s="39"/>
      <c r="AA74" s="39"/>
      <c r="AB74" s="39"/>
      <c r="AC74" s="39"/>
      <c r="AD74" s="39"/>
      <c r="AE74" s="39"/>
      <c r="AF74" s="39"/>
      <c r="AG74" s="39"/>
      <c r="AH74" s="39"/>
      <c r="AI74" s="39"/>
      <c r="AJ74" s="39"/>
      <c r="AK74" s="39"/>
      <c r="AL74" s="39"/>
    </row>
    <row r="75" spans="1:39" x14ac:dyDescent="0.2">
      <c r="A75" s="369" t="s">
        <v>884</v>
      </c>
      <c r="B75" s="370"/>
      <c r="C75" s="1014">
        <f>'7. Cost-Benefit'!$AI$156</f>
        <v>30975838</v>
      </c>
      <c r="D75" s="978"/>
      <c r="E75" s="878"/>
      <c r="F75" s="980"/>
      <c r="G75" s="879"/>
      <c r="H75" s="986"/>
      <c r="I75" s="118"/>
      <c r="J75" s="7"/>
      <c r="K75" s="5"/>
      <c r="L75" s="5"/>
      <c r="M75" s="5"/>
      <c r="N75" s="39"/>
      <c r="O75" s="39"/>
      <c r="P75" s="39"/>
      <c r="Q75" s="39"/>
      <c r="R75" s="39"/>
      <c r="S75" s="39"/>
      <c r="T75" s="52"/>
      <c r="U75" s="52"/>
      <c r="V75" s="52"/>
      <c r="W75" s="52"/>
      <c r="X75" s="52"/>
      <c r="Y75" s="39"/>
      <c r="Z75" s="39"/>
      <c r="AA75" s="39"/>
      <c r="AB75" s="39"/>
      <c r="AC75" s="39"/>
      <c r="AD75" s="39"/>
      <c r="AE75" s="39"/>
      <c r="AF75" s="39"/>
      <c r="AG75" s="39"/>
      <c r="AH75" s="39"/>
      <c r="AI75" s="39"/>
      <c r="AJ75" s="39"/>
      <c r="AK75" s="39"/>
      <c r="AL75" s="39"/>
    </row>
    <row r="76" spans="1:39" ht="13.5" thickBot="1" x14ac:dyDescent="0.25">
      <c r="A76" s="372" t="s">
        <v>885</v>
      </c>
      <c r="B76" s="373"/>
      <c r="C76" s="1019">
        <f>C74-C75</f>
        <v>12419484</v>
      </c>
      <c r="D76" s="979"/>
      <c r="E76" s="981"/>
      <c r="F76" s="982"/>
      <c r="G76" s="880"/>
      <c r="H76" s="990"/>
      <c r="I76" s="129"/>
      <c r="J76" s="7"/>
      <c r="K76" s="5"/>
      <c r="L76" s="5"/>
      <c r="M76" s="5"/>
      <c r="N76" s="39"/>
      <c r="O76" s="39"/>
      <c r="P76" s="39"/>
      <c r="Q76" s="39"/>
      <c r="R76" s="39"/>
      <c r="S76" s="39"/>
      <c r="T76" s="52"/>
      <c r="U76" s="52"/>
      <c r="V76" s="52"/>
      <c r="W76" s="52"/>
      <c r="X76" s="52"/>
      <c r="Y76" s="39"/>
      <c r="Z76" s="39"/>
      <c r="AA76" s="39"/>
      <c r="AB76" s="39"/>
      <c r="AC76" s="39"/>
      <c r="AD76" s="39"/>
      <c r="AE76" s="39"/>
      <c r="AF76" s="39"/>
      <c r="AG76" s="39"/>
      <c r="AH76" s="39"/>
      <c r="AI76" s="39"/>
      <c r="AJ76" s="39"/>
      <c r="AK76" s="39"/>
      <c r="AL76" s="39"/>
    </row>
    <row r="77" spans="1:39" ht="13.5" thickTop="1" x14ac:dyDescent="0.2">
      <c r="A77" s="26"/>
      <c r="B77" s="117"/>
      <c r="C77" s="204"/>
      <c r="D77" s="201"/>
      <c r="E77" s="879"/>
      <c r="F77" s="207"/>
      <c r="G77" s="879"/>
      <c r="H77" s="609"/>
      <c r="I77" s="91"/>
      <c r="J77" s="91"/>
      <c r="K77" s="7"/>
      <c r="L77" s="5"/>
      <c r="M77" s="5"/>
      <c r="N77" s="5"/>
      <c r="O77" s="39"/>
      <c r="P77" s="39"/>
      <c r="Q77" s="39"/>
      <c r="R77" s="39"/>
      <c r="S77" s="39"/>
      <c r="T77" s="39"/>
      <c r="U77" s="52"/>
      <c r="V77" s="52"/>
      <c r="W77" s="52"/>
      <c r="X77" s="52"/>
      <c r="Y77" s="52"/>
      <c r="Z77" s="39"/>
      <c r="AA77" s="39"/>
      <c r="AB77" s="39"/>
      <c r="AC77" s="39"/>
      <c r="AD77" s="39"/>
      <c r="AE77" s="39"/>
      <c r="AF77" s="39"/>
      <c r="AG77" s="39"/>
      <c r="AH77" s="39"/>
      <c r="AI77" s="39"/>
      <c r="AJ77" s="39"/>
      <c r="AK77" s="39"/>
      <c r="AL77" s="39"/>
      <c r="AM77" s="39"/>
    </row>
    <row r="78" spans="1:39" x14ac:dyDescent="0.2">
      <c r="A78" s="82"/>
      <c r="B78" s="201"/>
      <c r="C78" s="204">
        <f>'7. Cost-Benefit'!$AJ$156</f>
        <v>12419484</v>
      </c>
      <c r="D78" s="1877" t="s">
        <v>964</v>
      </c>
      <c r="E78" s="879"/>
      <c r="F78" s="207"/>
      <c r="G78" s="879"/>
      <c r="H78" s="609"/>
      <c r="I78" s="91"/>
      <c r="J78" s="91"/>
      <c r="K78" s="7"/>
      <c r="L78" s="5"/>
      <c r="M78" s="5"/>
      <c r="N78" s="5"/>
      <c r="O78" s="39"/>
      <c r="P78" s="39"/>
      <c r="Q78" s="39"/>
      <c r="R78" s="39"/>
      <c r="S78" s="39"/>
      <c r="T78" s="39"/>
      <c r="U78" s="52"/>
      <c r="V78" s="52"/>
      <c r="W78" s="52"/>
      <c r="X78" s="52"/>
      <c r="Y78" s="52"/>
      <c r="Z78" s="39"/>
      <c r="AA78" s="39"/>
      <c r="AB78" s="39"/>
      <c r="AC78" s="39"/>
      <c r="AD78" s="39"/>
      <c r="AE78" s="39"/>
      <c r="AF78" s="39"/>
      <c r="AG78" s="39"/>
      <c r="AH78" s="39"/>
      <c r="AI78" s="39"/>
      <c r="AJ78" s="39"/>
      <c r="AK78" s="39"/>
      <c r="AL78" s="39"/>
      <c r="AM78" s="39"/>
    </row>
    <row r="79" spans="1:39" x14ac:dyDescent="0.2">
      <c r="A79" s="82"/>
      <c r="B79" s="201"/>
      <c r="C79" s="204">
        <f>SUM(G6:G46)</f>
        <v>12419485</v>
      </c>
      <c r="D79" s="1877" t="s">
        <v>963</v>
      </c>
      <c r="E79" s="879"/>
      <c r="F79" s="207"/>
      <c r="G79" s="879"/>
      <c r="H79" s="609"/>
      <c r="I79" s="91"/>
      <c r="J79" s="91"/>
      <c r="K79" s="7"/>
      <c r="L79" s="5"/>
      <c r="M79" s="5"/>
      <c r="N79" s="5"/>
      <c r="O79" s="39"/>
      <c r="P79" s="39"/>
      <c r="Q79" s="39"/>
      <c r="R79" s="39"/>
      <c r="S79" s="39"/>
      <c r="T79" s="39"/>
      <c r="U79" s="52"/>
      <c r="V79" s="52"/>
      <c r="W79" s="52"/>
      <c r="X79" s="52"/>
      <c r="Y79" s="52"/>
      <c r="Z79" s="39"/>
      <c r="AA79" s="39"/>
      <c r="AB79" s="39"/>
      <c r="AC79" s="39"/>
      <c r="AD79" s="39"/>
      <c r="AE79" s="39"/>
      <c r="AF79" s="39"/>
      <c r="AG79" s="39"/>
      <c r="AH79" s="39"/>
      <c r="AI79" s="39"/>
      <c r="AJ79" s="39"/>
      <c r="AK79" s="39"/>
      <c r="AL79" s="39"/>
      <c r="AM79" s="39"/>
    </row>
    <row r="80" spans="1:39" x14ac:dyDescent="0.2">
      <c r="A80" s="82"/>
      <c r="B80" s="201"/>
      <c r="C80" s="204"/>
      <c r="D80" s="201"/>
      <c r="E80" s="879"/>
      <c r="F80" s="207"/>
      <c r="G80" s="879"/>
      <c r="H80" s="609"/>
      <c r="I80" s="91"/>
      <c r="J80" s="91"/>
      <c r="K80" s="7"/>
      <c r="L80" s="5"/>
      <c r="M80" s="5"/>
      <c r="N80" s="5"/>
      <c r="O80" s="39"/>
      <c r="P80" s="39"/>
      <c r="Q80" s="39"/>
      <c r="R80" s="39"/>
      <c r="S80" s="39"/>
      <c r="T80" s="39"/>
      <c r="U80" s="52"/>
      <c r="V80" s="52"/>
      <c r="W80" s="52"/>
      <c r="X80" s="52"/>
      <c r="Y80" s="52"/>
      <c r="Z80" s="39"/>
      <c r="AA80" s="39"/>
      <c r="AB80" s="39"/>
      <c r="AC80" s="39"/>
      <c r="AD80" s="39"/>
      <c r="AE80" s="39"/>
      <c r="AF80" s="39"/>
      <c r="AG80" s="39"/>
      <c r="AH80" s="39"/>
      <c r="AI80" s="39"/>
      <c r="AJ80" s="39"/>
      <c r="AK80" s="39"/>
      <c r="AL80" s="39"/>
      <c r="AM80" s="39"/>
    </row>
    <row r="81" spans="1:39" x14ac:dyDescent="0.2">
      <c r="A81" s="82"/>
      <c r="B81" s="201"/>
      <c r="C81" s="204"/>
      <c r="D81" s="201"/>
      <c r="E81" s="879"/>
      <c r="F81" s="207"/>
      <c r="G81" s="879"/>
      <c r="H81" s="609"/>
      <c r="I81" s="91"/>
      <c r="J81" s="91"/>
      <c r="K81" s="7"/>
      <c r="L81" s="5"/>
      <c r="M81" s="5"/>
      <c r="N81" s="5"/>
      <c r="O81" s="39"/>
      <c r="P81" s="39"/>
      <c r="Q81" s="39"/>
      <c r="R81" s="39"/>
      <c r="S81" s="39"/>
      <c r="T81" s="39"/>
      <c r="U81" s="52"/>
      <c r="V81" s="52"/>
      <c r="W81" s="52"/>
      <c r="X81" s="52"/>
      <c r="Y81" s="52"/>
      <c r="Z81" s="39"/>
      <c r="AA81" s="39"/>
      <c r="AB81" s="39"/>
      <c r="AC81" s="39"/>
      <c r="AD81" s="39"/>
      <c r="AE81" s="39"/>
      <c r="AF81" s="39"/>
      <c r="AG81" s="39"/>
      <c r="AH81" s="39"/>
      <c r="AI81" s="39"/>
      <c r="AJ81" s="39"/>
      <c r="AK81" s="39"/>
      <c r="AL81" s="39"/>
      <c r="AM81" s="39"/>
    </row>
    <row r="82" spans="1:39" x14ac:dyDescent="0.2">
      <c r="A82" s="82"/>
      <c r="B82" s="201"/>
      <c r="C82" s="204"/>
      <c r="D82" s="201"/>
      <c r="E82" s="879"/>
      <c r="F82" s="207"/>
      <c r="G82" s="879"/>
      <c r="H82" s="609"/>
      <c r="I82" s="91"/>
      <c r="J82" s="91"/>
      <c r="K82" s="7"/>
      <c r="L82" s="5"/>
      <c r="M82" s="5"/>
      <c r="N82" s="5"/>
      <c r="O82" s="39"/>
      <c r="P82" s="39"/>
      <c r="Q82" s="39"/>
      <c r="R82" s="39"/>
      <c r="S82" s="39"/>
      <c r="T82" s="39"/>
      <c r="U82" s="52"/>
      <c r="V82" s="52"/>
      <c r="W82" s="52"/>
      <c r="X82" s="52"/>
      <c r="Y82" s="52"/>
      <c r="Z82" s="39"/>
      <c r="AA82" s="39"/>
      <c r="AB82" s="39"/>
      <c r="AC82" s="39"/>
      <c r="AD82" s="39"/>
      <c r="AE82" s="39"/>
      <c r="AF82" s="39"/>
      <c r="AG82" s="39"/>
      <c r="AH82" s="39"/>
      <c r="AI82" s="39"/>
      <c r="AJ82" s="39"/>
      <c r="AK82" s="39"/>
      <c r="AL82" s="39"/>
      <c r="AM82" s="39"/>
    </row>
    <row r="83" spans="1:39" x14ac:dyDescent="0.2">
      <c r="A83" s="82"/>
      <c r="B83" s="201"/>
      <c r="C83" s="204"/>
      <c r="D83" s="201"/>
      <c r="E83" s="879"/>
      <c r="F83" s="207"/>
      <c r="G83" s="879"/>
      <c r="H83" s="609"/>
      <c r="I83" s="91"/>
      <c r="J83" s="91"/>
      <c r="K83" s="7"/>
      <c r="L83" s="5"/>
      <c r="M83" s="5"/>
      <c r="N83" s="5"/>
      <c r="O83" s="39"/>
      <c r="P83" s="39"/>
      <c r="Q83" s="39"/>
      <c r="R83" s="39"/>
      <c r="S83" s="39"/>
      <c r="T83" s="39"/>
      <c r="U83" s="52"/>
      <c r="V83" s="52"/>
      <c r="W83" s="52"/>
      <c r="X83" s="52"/>
      <c r="Y83" s="52"/>
      <c r="Z83" s="39"/>
      <c r="AA83" s="39"/>
      <c r="AB83" s="39"/>
      <c r="AC83" s="39"/>
      <c r="AD83" s="39"/>
      <c r="AE83" s="39"/>
      <c r="AF83" s="39"/>
      <c r="AG83" s="39"/>
      <c r="AH83" s="39"/>
      <c r="AI83" s="39"/>
      <c r="AJ83" s="39"/>
      <c r="AK83" s="39"/>
      <c r="AL83" s="39"/>
      <c r="AM83" s="39"/>
    </row>
    <row r="84" spans="1:39" x14ac:dyDescent="0.2">
      <c r="A84" s="82"/>
      <c r="B84" s="201"/>
      <c r="C84" s="204"/>
      <c r="D84" s="201"/>
      <c r="E84" s="879"/>
      <c r="F84" s="207"/>
      <c r="G84" s="879"/>
      <c r="H84" s="609"/>
      <c r="I84" s="91"/>
      <c r="J84" s="91"/>
      <c r="K84" s="7"/>
      <c r="L84" s="5"/>
      <c r="M84" s="5"/>
      <c r="N84" s="5"/>
      <c r="O84" s="39"/>
      <c r="P84" s="39"/>
      <c r="Q84" s="39"/>
      <c r="R84" s="39"/>
      <c r="S84" s="39"/>
      <c r="T84" s="39"/>
      <c r="U84" s="52"/>
      <c r="V84" s="52"/>
      <c r="W84" s="52"/>
      <c r="X84" s="52"/>
      <c r="Y84" s="52"/>
      <c r="Z84" s="39"/>
      <c r="AA84" s="39"/>
      <c r="AB84" s="39"/>
      <c r="AC84" s="39"/>
      <c r="AD84" s="39"/>
      <c r="AE84" s="39"/>
      <c r="AF84" s="39"/>
      <c r="AG84" s="39"/>
      <c r="AH84" s="39"/>
      <c r="AI84" s="39"/>
      <c r="AJ84" s="39"/>
      <c r="AK84" s="39"/>
      <c r="AL84" s="39"/>
      <c r="AM84" s="39"/>
    </row>
    <row r="85" spans="1:39" x14ac:dyDescent="0.2">
      <c r="A85" s="82"/>
      <c r="B85" s="201"/>
      <c r="C85" s="204"/>
      <c r="D85" s="201"/>
      <c r="E85" s="879"/>
      <c r="F85" s="207"/>
      <c r="G85" s="879"/>
      <c r="H85" s="609"/>
      <c r="I85" s="91"/>
      <c r="J85" s="91"/>
      <c r="K85" s="7"/>
      <c r="L85" s="5"/>
      <c r="M85" s="5"/>
      <c r="N85" s="5"/>
      <c r="O85" s="82"/>
      <c r="P85" s="39"/>
      <c r="Q85" s="39"/>
      <c r="R85" s="39"/>
      <c r="S85" s="39"/>
      <c r="T85" s="39"/>
      <c r="U85" s="52"/>
      <c r="V85" s="52"/>
      <c r="W85" s="52"/>
      <c r="X85" s="52"/>
      <c r="Y85" s="52"/>
      <c r="Z85" s="39"/>
      <c r="AA85" s="39"/>
      <c r="AB85" s="39"/>
      <c r="AC85" s="39"/>
      <c r="AD85" s="39"/>
      <c r="AE85" s="39"/>
      <c r="AF85" s="39"/>
      <c r="AG85" s="39"/>
      <c r="AH85" s="39"/>
      <c r="AI85" s="39"/>
      <c r="AJ85" s="39"/>
      <c r="AK85" s="39"/>
      <c r="AL85" s="39"/>
      <c r="AM85" s="39"/>
    </row>
    <row r="86" spans="1:39" x14ac:dyDescent="0.2">
      <c r="A86" s="5"/>
      <c r="B86" s="206"/>
      <c r="C86" s="206"/>
      <c r="D86" s="206"/>
      <c r="E86" s="881"/>
      <c r="F86" s="207"/>
      <c r="G86" s="881"/>
      <c r="H86" s="208"/>
      <c r="I86" s="7"/>
      <c r="J86" s="91"/>
      <c r="K86" s="7"/>
      <c r="L86" s="5"/>
      <c r="M86" s="5"/>
      <c r="N86" s="5"/>
      <c r="O86" s="82"/>
      <c r="P86" s="39"/>
      <c r="Q86" s="39"/>
      <c r="R86" s="39"/>
      <c r="S86" s="39"/>
      <c r="T86" s="39"/>
      <c r="U86" s="52"/>
      <c r="V86" s="52"/>
      <c r="W86" s="52"/>
      <c r="X86" s="52"/>
      <c r="Y86" s="52"/>
      <c r="Z86" s="39"/>
      <c r="AA86" s="39"/>
      <c r="AB86" s="39"/>
      <c r="AC86" s="39"/>
      <c r="AD86" s="39"/>
      <c r="AE86" s="39"/>
      <c r="AF86" s="39"/>
      <c r="AG86" s="39"/>
      <c r="AH86" s="39"/>
      <c r="AI86" s="39"/>
      <c r="AJ86" s="39"/>
      <c r="AK86" s="39"/>
      <c r="AL86" s="39"/>
      <c r="AM86" s="39"/>
    </row>
    <row r="87" spans="1:39" x14ac:dyDescent="0.2">
      <c r="A87" s="5"/>
      <c r="B87" s="206"/>
      <c r="C87" s="206"/>
      <c r="D87" s="206"/>
      <c r="E87" s="881"/>
      <c r="F87" s="207"/>
      <c r="G87" s="881"/>
      <c r="H87" s="208"/>
      <c r="I87" s="7"/>
      <c r="J87" s="91"/>
      <c r="K87" s="7"/>
      <c r="L87" s="5"/>
      <c r="M87" s="5"/>
      <c r="N87" s="5"/>
      <c r="O87" s="39"/>
      <c r="P87" s="39"/>
      <c r="Q87" s="39"/>
      <c r="R87" s="39"/>
      <c r="S87" s="39"/>
      <c r="T87" s="39"/>
      <c r="U87" s="52"/>
      <c r="V87" s="52"/>
      <c r="W87" s="52"/>
      <c r="X87" s="52"/>
      <c r="Y87" s="52"/>
      <c r="Z87" s="39"/>
      <c r="AA87" s="39"/>
      <c r="AB87" s="39"/>
      <c r="AC87" s="39"/>
      <c r="AD87" s="39"/>
      <c r="AE87" s="39"/>
      <c r="AF87" s="39"/>
      <c r="AG87" s="39"/>
      <c r="AH87" s="39"/>
      <c r="AI87" s="39"/>
      <c r="AJ87" s="39"/>
      <c r="AK87" s="39"/>
      <c r="AL87" s="39"/>
      <c r="AM87" s="39"/>
    </row>
    <row r="88" spans="1:39" x14ac:dyDescent="0.2">
      <c r="A88" s="5"/>
      <c r="B88" s="206"/>
      <c r="C88" s="206"/>
      <c r="D88" s="206"/>
      <c r="E88" s="881"/>
      <c r="F88" s="207"/>
      <c r="G88" s="881"/>
      <c r="H88" s="208"/>
      <c r="I88" s="7"/>
      <c r="J88" s="91"/>
      <c r="K88" s="7"/>
      <c r="L88" s="5"/>
      <c r="M88" s="5"/>
      <c r="N88" s="5"/>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row>
    <row r="89" spans="1:39" x14ac:dyDescent="0.2">
      <c r="A89" s="5"/>
      <c r="B89" s="206"/>
      <c r="C89" s="206"/>
      <c r="D89" s="206"/>
      <c r="E89" s="881"/>
      <c r="F89" s="207"/>
      <c r="G89" s="881"/>
      <c r="H89" s="208"/>
      <c r="I89" s="7"/>
      <c r="J89" s="91"/>
      <c r="K89" s="7"/>
      <c r="L89" s="5"/>
      <c r="M89" s="5"/>
      <c r="N89" s="5"/>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row>
    <row r="90" spans="1:39" x14ac:dyDescent="0.2">
      <c r="A90" s="5"/>
      <c r="B90" s="206"/>
      <c r="C90" s="206"/>
      <c r="D90" s="206"/>
      <c r="E90" s="881"/>
      <c r="F90" s="207"/>
      <c r="G90" s="881"/>
      <c r="H90" s="208"/>
      <c r="I90" s="7"/>
      <c r="J90" s="91"/>
      <c r="K90" s="7"/>
      <c r="L90" s="5"/>
      <c r="M90" s="5"/>
      <c r="N90" s="5"/>
    </row>
    <row r="91" spans="1:39" x14ac:dyDescent="0.2">
      <c r="A91" s="5"/>
      <c r="B91" s="206"/>
      <c r="C91" s="206"/>
      <c r="D91" s="206"/>
      <c r="E91" s="881"/>
      <c r="F91" s="207"/>
      <c r="G91" s="881"/>
      <c r="H91" s="208"/>
      <c r="I91" s="7"/>
      <c r="J91" s="91"/>
      <c r="K91" s="7"/>
      <c r="L91" s="5"/>
      <c r="M91" s="5"/>
      <c r="N91" s="5"/>
    </row>
    <row r="92" spans="1:39" x14ac:dyDescent="0.2">
      <c r="A92" s="89"/>
      <c r="B92" s="209"/>
      <c r="C92" s="209"/>
      <c r="D92" s="206"/>
      <c r="E92" s="881"/>
      <c r="F92" s="207"/>
      <c r="G92" s="881"/>
      <c r="H92" s="208"/>
      <c r="I92" s="7"/>
      <c r="J92" s="91"/>
      <c r="K92" s="7"/>
      <c r="L92" s="5"/>
      <c r="M92" s="5"/>
      <c r="N92" s="5"/>
    </row>
    <row r="93" spans="1:39" x14ac:dyDescent="0.2">
      <c r="A93" s="5"/>
      <c r="B93" s="206"/>
      <c r="C93" s="206"/>
      <c r="D93" s="206"/>
      <c r="E93" s="881"/>
      <c r="F93" s="207"/>
      <c r="G93" s="881"/>
      <c r="H93" s="208"/>
      <c r="I93" s="7"/>
      <c r="J93" s="91"/>
      <c r="K93" s="7"/>
      <c r="L93" s="5"/>
      <c r="M93" s="5"/>
      <c r="N93" s="5"/>
    </row>
    <row r="94" spans="1:39" x14ac:dyDescent="0.2">
      <c r="H94" s="210"/>
      <c r="I94" s="2"/>
      <c r="J94" s="91"/>
      <c r="K94" s="7"/>
      <c r="L94" s="5"/>
      <c r="M94" s="5"/>
      <c r="N94" s="5"/>
    </row>
    <row r="95" spans="1:39" x14ac:dyDescent="0.2">
      <c r="H95" s="210"/>
      <c r="I95" s="2"/>
      <c r="J95" s="93"/>
      <c r="K95" s="7"/>
      <c r="L95" s="5"/>
      <c r="M95" s="5"/>
      <c r="N95" s="5"/>
    </row>
    <row r="96" spans="1:39" x14ac:dyDescent="0.2">
      <c r="H96" s="210"/>
      <c r="I96" s="2"/>
      <c r="J96" s="93"/>
      <c r="K96" s="7"/>
      <c r="L96" s="5"/>
      <c r="M96" s="5"/>
      <c r="N96" s="5"/>
    </row>
    <row r="97" spans="8:11" x14ac:dyDescent="0.2">
      <c r="H97" s="210"/>
      <c r="I97" s="2"/>
      <c r="J97" s="93"/>
      <c r="K97" s="2"/>
    </row>
    <row r="98" spans="8:11" x14ac:dyDescent="0.2">
      <c r="H98" s="210"/>
      <c r="I98" s="2"/>
      <c r="J98" s="93"/>
      <c r="K98" s="2"/>
    </row>
    <row r="99" spans="8:11" x14ac:dyDescent="0.2">
      <c r="H99" s="210"/>
      <c r="I99" s="2"/>
      <c r="J99" s="93"/>
      <c r="K99" s="2"/>
    </row>
    <row r="100" spans="8:11" x14ac:dyDescent="0.2">
      <c r="H100" s="210"/>
      <c r="I100" s="2"/>
      <c r="J100" s="93"/>
      <c r="K100" s="2"/>
    </row>
    <row r="101" spans="8:11" x14ac:dyDescent="0.2">
      <c r="H101" s="210"/>
      <c r="I101" s="2"/>
      <c r="J101" s="93"/>
      <c r="K101" s="2"/>
    </row>
    <row r="102" spans="8:11" x14ac:dyDescent="0.2">
      <c r="H102" s="210"/>
      <c r="I102" s="2"/>
      <c r="J102" s="93"/>
      <c r="K102" s="2"/>
    </row>
    <row r="103" spans="8:11" x14ac:dyDescent="0.2">
      <c r="H103" s="210"/>
      <c r="I103" s="2"/>
      <c r="J103" s="93"/>
      <c r="K103" s="2"/>
    </row>
    <row r="104" spans="8:11" x14ac:dyDescent="0.2">
      <c r="H104" s="210"/>
      <c r="I104" s="2"/>
      <c r="J104" s="93"/>
      <c r="K104" s="2"/>
    </row>
    <row r="105" spans="8:11" x14ac:dyDescent="0.2">
      <c r="J105" s="93"/>
      <c r="K105" s="2"/>
    </row>
  </sheetData>
  <mergeCells count="9">
    <mergeCell ref="J47:K47"/>
    <mergeCell ref="J49:K49"/>
    <mergeCell ref="A1:H2"/>
    <mergeCell ref="J3:M3"/>
    <mergeCell ref="J10:M10"/>
    <mergeCell ref="J11:K11"/>
    <mergeCell ref="J12:K12"/>
    <mergeCell ref="J13:K13"/>
    <mergeCell ref="F47:H47"/>
  </mergeCells>
  <printOptions gridLines="1"/>
  <pageMargins left="0.75" right="0.75" top="1" bottom="1" header="0.5" footer="0.5"/>
  <pageSetup paperSize="17"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D93"/>
  <sheetViews>
    <sheetView workbookViewId="0">
      <selection sqref="A1:S2"/>
    </sheetView>
  </sheetViews>
  <sheetFormatPr defaultRowHeight="12.75" x14ac:dyDescent="0.2"/>
  <cols>
    <col min="1" max="1" width="9.140625" style="1538"/>
    <col min="2" max="2" width="8.140625" style="1538" customWidth="1"/>
    <col min="3" max="3" width="49.42578125" style="1069" customWidth="1"/>
    <col min="4" max="4" width="7.5703125" style="1069" customWidth="1"/>
    <col min="5" max="5" width="8.7109375" style="1069" customWidth="1"/>
    <col min="6" max="6" width="10.140625" style="1069" bestFit="1" customWidth="1"/>
    <col min="7" max="7" width="31.5703125" style="1069" customWidth="1"/>
    <col min="8" max="8" width="9.28515625" style="1069" bestFit="1" customWidth="1"/>
    <col min="9" max="14" width="15.5703125" style="1501" customWidth="1"/>
    <col min="15" max="15" width="15.85546875" style="1526" customWidth="1"/>
    <col min="16" max="16" width="17.85546875" style="1335" customWidth="1"/>
    <col min="17" max="18" width="16" style="2102" customWidth="1"/>
    <col min="19" max="19" width="15.85546875" style="1335" customWidth="1"/>
    <col min="20" max="20" width="13.85546875" style="39" customWidth="1"/>
    <col min="21" max="21" width="12.28515625" customWidth="1"/>
    <col min="22" max="22" width="9.7109375" bestFit="1" customWidth="1"/>
    <col min="23" max="23" width="10.7109375" customWidth="1"/>
    <col min="24" max="24" width="12.28515625" customWidth="1"/>
    <col min="25" max="25" width="10.42578125" customWidth="1"/>
    <col min="31" max="31" width="11.140625" bestFit="1" customWidth="1"/>
    <col min="32" max="32" width="9.42578125" bestFit="1" customWidth="1"/>
    <col min="33" max="35" width="11.140625" bestFit="1" customWidth="1"/>
  </cols>
  <sheetData>
    <row r="1" spans="1:56" ht="12.75" customHeight="1" x14ac:dyDescent="0.3">
      <c r="A1" s="4244" t="s">
        <v>913</v>
      </c>
      <c r="B1" s="4245"/>
      <c r="C1" s="4245"/>
      <c r="D1" s="4245"/>
      <c r="E1" s="4245"/>
      <c r="F1" s="4245"/>
      <c r="G1" s="4245"/>
      <c r="H1" s="4245"/>
      <c r="I1" s="4245"/>
      <c r="J1" s="4245"/>
      <c r="K1" s="4245"/>
      <c r="L1" s="4245"/>
      <c r="M1" s="4245"/>
      <c r="N1" s="4245"/>
      <c r="O1" s="4245"/>
      <c r="P1" s="4245"/>
      <c r="Q1" s="4245"/>
      <c r="R1" s="4245"/>
      <c r="S1" s="4246"/>
      <c r="T1" s="90"/>
      <c r="U1" s="88"/>
      <c r="V1" s="88"/>
      <c r="W1" s="88"/>
      <c r="X1" s="81"/>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29"/>
      <c r="AY1" s="32"/>
      <c r="AZ1" s="33"/>
      <c r="BA1" s="34"/>
      <c r="BB1" s="37"/>
      <c r="BC1" s="35" t="s">
        <v>71</v>
      </c>
      <c r="BD1" s="36" t="s">
        <v>84</v>
      </c>
    </row>
    <row r="2" spans="1:56" ht="13.5" customHeight="1" x14ac:dyDescent="0.3">
      <c r="A2" s="4247"/>
      <c r="B2" s="4248"/>
      <c r="C2" s="4248"/>
      <c r="D2" s="4248"/>
      <c r="E2" s="4248"/>
      <c r="F2" s="4248"/>
      <c r="G2" s="4248"/>
      <c r="H2" s="4248"/>
      <c r="I2" s="4248"/>
      <c r="J2" s="4248"/>
      <c r="K2" s="4248"/>
      <c r="L2" s="4248"/>
      <c r="M2" s="4248"/>
      <c r="N2" s="4248"/>
      <c r="O2" s="4248"/>
      <c r="P2" s="4248"/>
      <c r="Q2" s="4248"/>
      <c r="R2" s="4248"/>
      <c r="S2" s="4249"/>
      <c r="T2" s="90"/>
      <c r="U2" s="88"/>
      <c r="V2" s="88"/>
      <c r="W2" s="88"/>
      <c r="X2" s="81"/>
      <c r="Y2" s="39"/>
      <c r="Z2" s="39"/>
      <c r="AA2" s="39"/>
      <c r="AB2" s="39"/>
      <c r="AC2" s="39"/>
      <c r="AD2" s="39"/>
      <c r="AE2" s="39"/>
      <c r="AF2" s="39"/>
      <c r="AG2" s="39"/>
      <c r="AH2" s="39"/>
      <c r="AI2" s="41"/>
      <c r="AJ2" s="41"/>
      <c r="AK2" s="41"/>
      <c r="AL2" s="41"/>
      <c r="AM2" s="41"/>
      <c r="AN2" s="41"/>
      <c r="AO2" s="41"/>
      <c r="AP2" s="41"/>
      <c r="AQ2" s="41"/>
      <c r="AR2" s="41"/>
      <c r="AS2" s="41"/>
      <c r="AT2" s="41"/>
      <c r="AU2" s="41"/>
      <c r="AV2" s="41"/>
      <c r="AW2" s="41"/>
      <c r="AX2" s="30"/>
      <c r="AY2" s="32"/>
      <c r="AZ2" s="33"/>
      <c r="BA2" s="34"/>
      <c r="BB2" s="37"/>
      <c r="BC2" s="35" t="s">
        <v>82</v>
      </c>
      <c r="BD2" s="36" t="s">
        <v>85</v>
      </c>
    </row>
    <row r="3" spans="1:56" x14ac:dyDescent="0.2">
      <c r="A3" s="1539"/>
      <c r="B3" s="1540" t="s">
        <v>688</v>
      </c>
      <c r="C3" s="4250" t="s">
        <v>2</v>
      </c>
      <c r="D3" s="1493"/>
      <c r="E3" s="1493"/>
      <c r="F3" s="1493"/>
      <c r="G3" s="1493"/>
      <c r="H3" s="1493"/>
      <c r="I3" s="4253" t="s">
        <v>309</v>
      </c>
      <c r="J3" s="4253"/>
      <c r="K3" s="4253" t="s">
        <v>310</v>
      </c>
      <c r="L3" s="4253"/>
      <c r="M3" s="4253" t="s">
        <v>311</v>
      </c>
      <c r="N3" s="4253"/>
      <c r="O3" s="1512"/>
      <c r="P3" s="1527"/>
      <c r="Q3" s="2095"/>
      <c r="R3" s="2095"/>
      <c r="S3" s="1541" t="s">
        <v>55</v>
      </c>
      <c r="T3" s="117"/>
      <c r="U3" s="4229"/>
      <c r="V3" s="4230"/>
      <c r="W3" s="4230"/>
      <c r="X3" s="4231"/>
      <c r="Y3" s="82"/>
      <c r="Z3" s="39"/>
      <c r="AA3" s="39"/>
      <c r="AB3" s="39"/>
      <c r="AC3" s="39"/>
      <c r="AD3" s="39"/>
      <c r="AE3" s="39"/>
      <c r="AF3" s="39"/>
      <c r="AG3" s="39"/>
      <c r="AH3" s="39"/>
      <c r="AI3" s="39"/>
      <c r="AJ3" s="39"/>
      <c r="AK3" s="39"/>
      <c r="AL3" s="39"/>
      <c r="AM3" s="39"/>
      <c r="AN3" s="39"/>
      <c r="AO3" s="39"/>
      <c r="AP3" s="39"/>
      <c r="AQ3" s="39"/>
      <c r="AR3" s="39"/>
      <c r="AS3" s="39"/>
      <c r="AT3" s="39"/>
      <c r="AU3" s="39"/>
      <c r="AV3" s="39"/>
      <c r="AW3" s="39"/>
      <c r="AY3" s="32"/>
    </row>
    <row r="4" spans="1:56" x14ac:dyDescent="0.2">
      <c r="A4" s="1539" t="s">
        <v>8</v>
      </c>
      <c r="B4" s="1540" t="s">
        <v>8</v>
      </c>
      <c r="C4" s="4251"/>
      <c r="D4" s="1493" t="s">
        <v>42</v>
      </c>
      <c r="E4" s="1493"/>
      <c r="F4" s="1493" t="s">
        <v>240</v>
      </c>
      <c r="G4" s="1493"/>
      <c r="H4" s="1493" t="s">
        <v>43</v>
      </c>
      <c r="I4" s="1512" t="s">
        <v>301</v>
      </c>
      <c r="J4" s="1512" t="s">
        <v>308</v>
      </c>
      <c r="K4" s="1512" t="s">
        <v>301</v>
      </c>
      <c r="L4" s="1512" t="s">
        <v>308</v>
      </c>
      <c r="M4" s="1512" t="s">
        <v>301</v>
      </c>
      <c r="N4" s="1512" t="s">
        <v>308</v>
      </c>
      <c r="O4" s="1512" t="s">
        <v>194</v>
      </c>
      <c r="P4" s="1527"/>
      <c r="Q4" s="4238" t="s">
        <v>312</v>
      </c>
      <c r="R4" s="4239"/>
      <c r="S4" s="1541"/>
      <c r="T4" s="117"/>
      <c r="U4" s="117"/>
      <c r="V4" s="201"/>
      <c r="W4" s="201"/>
      <c r="X4" s="81"/>
      <c r="Y4" s="82"/>
      <c r="Z4" s="39"/>
      <c r="AA4" s="39"/>
      <c r="AB4" s="39"/>
      <c r="AC4" s="39"/>
      <c r="AD4" s="39"/>
      <c r="AE4" s="39"/>
      <c r="AF4" s="39"/>
      <c r="AG4" s="39"/>
      <c r="AH4" s="39"/>
      <c r="AI4" s="39"/>
      <c r="AJ4" s="39"/>
      <c r="AK4" s="39"/>
      <c r="AL4" s="39"/>
      <c r="AM4" s="39"/>
      <c r="AN4" s="39"/>
      <c r="AO4" s="39"/>
      <c r="AP4" s="39"/>
      <c r="AQ4" s="39"/>
      <c r="AR4" s="39"/>
      <c r="AS4" s="39"/>
      <c r="AT4" s="39"/>
      <c r="AU4" s="39"/>
      <c r="AV4" s="39"/>
      <c r="AW4" s="39"/>
      <c r="AY4" s="32"/>
    </row>
    <row r="5" spans="1:56" ht="13.5" thickBot="1" x14ac:dyDescent="0.25">
      <c r="A5" s="1539" t="s">
        <v>172</v>
      </c>
      <c r="B5" s="1540" t="s">
        <v>172</v>
      </c>
      <c r="C5" s="4252"/>
      <c r="D5" s="1493" t="s">
        <v>4</v>
      </c>
      <c r="E5" s="1493" t="s">
        <v>5</v>
      </c>
      <c r="F5" s="1493" t="s">
        <v>914</v>
      </c>
      <c r="G5" s="1493" t="s">
        <v>200</v>
      </c>
      <c r="H5" s="1493" t="s">
        <v>4</v>
      </c>
      <c r="I5" s="1512" t="s">
        <v>6</v>
      </c>
      <c r="J5" s="1512" t="s">
        <v>6</v>
      </c>
      <c r="K5" s="1512" t="s">
        <v>6</v>
      </c>
      <c r="L5" s="1512" t="s">
        <v>6</v>
      </c>
      <c r="M5" s="1512" t="s">
        <v>6</v>
      </c>
      <c r="N5" s="1512" t="s">
        <v>6</v>
      </c>
      <c r="O5" s="1512" t="s">
        <v>195</v>
      </c>
      <c r="P5" s="1541" t="s">
        <v>31</v>
      </c>
      <c r="Q5" s="2096" t="s">
        <v>301</v>
      </c>
      <c r="R5" s="2096" t="s">
        <v>313</v>
      </c>
      <c r="S5" s="1541" t="s">
        <v>56</v>
      </c>
      <c r="T5" s="117"/>
      <c r="U5" s="26"/>
      <c r="V5" s="117"/>
      <c r="W5" s="117"/>
      <c r="X5" s="117"/>
      <c r="Y5" s="82"/>
      <c r="Z5" s="39"/>
      <c r="AA5" s="39"/>
      <c r="AB5" s="39"/>
      <c r="AC5" s="39"/>
      <c r="AD5" s="39"/>
      <c r="AE5" s="39"/>
      <c r="AF5" s="39"/>
      <c r="AG5" s="39"/>
      <c r="AH5" s="39"/>
      <c r="AI5" s="39"/>
      <c r="AJ5" s="39"/>
      <c r="AK5" s="39"/>
      <c r="AL5" s="39"/>
      <c r="AM5" s="39"/>
      <c r="AN5" s="39"/>
      <c r="AO5" s="39"/>
      <c r="AP5" s="39"/>
      <c r="AQ5" s="39"/>
      <c r="AR5" s="39"/>
      <c r="AS5" s="39"/>
      <c r="AT5" s="39"/>
      <c r="AU5" s="39"/>
      <c r="AV5" s="39"/>
      <c r="AW5" s="39"/>
    </row>
    <row r="6" spans="1:56" s="1373" customFormat="1" ht="19.5" thickTop="1" thickBot="1" x14ac:dyDescent="0.25">
      <c r="A6" s="1560"/>
      <c r="B6" s="1561"/>
      <c r="C6" s="1562">
        <v>2007</v>
      </c>
      <c r="D6" s="1563"/>
      <c r="E6" s="1563"/>
      <c r="F6" s="1563"/>
      <c r="G6" s="1563"/>
      <c r="H6" s="1563"/>
      <c r="I6" s="1564"/>
      <c r="J6" s="1564"/>
      <c r="K6" s="1564"/>
      <c r="L6" s="1564"/>
      <c r="M6" s="1564"/>
      <c r="N6" s="1564"/>
      <c r="O6" s="1565"/>
      <c r="P6" s="1566"/>
      <c r="Q6" s="2097"/>
      <c r="R6" s="2097"/>
      <c r="S6" s="1566"/>
      <c r="T6" s="1567"/>
      <c r="U6" s="1568"/>
      <c r="V6" s="1567"/>
      <c r="W6" s="1567"/>
      <c r="X6" s="1567"/>
    </row>
    <row r="7" spans="1:56" s="491" customFormat="1" ht="13.5" thickTop="1" x14ac:dyDescent="0.2">
      <c r="A7" s="1542" t="s">
        <v>173</v>
      </c>
      <c r="B7" s="1542"/>
      <c r="C7" s="476" t="s">
        <v>15</v>
      </c>
      <c r="D7" s="476" t="s">
        <v>7</v>
      </c>
      <c r="E7" s="476" t="s">
        <v>132</v>
      </c>
      <c r="F7" s="1508">
        <v>39107</v>
      </c>
      <c r="G7" s="476" t="s">
        <v>203</v>
      </c>
      <c r="H7" s="476" t="s">
        <v>8</v>
      </c>
      <c r="I7" s="478">
        <v>0</v>
      </c>
      <c r="J7" s="478">
        <v>0</v>
      </c>
      <c r="K7" s="478">
        <v>233482</v>
      </c>
      <c r="L7" s="478">
        <v>233482</v>
      </c>
      <c r="M7" s="478"/>
      <c r="N7" s="478"/>
      <c r="O7" s="1514" t="s">
        <v>45</v>
      </c>
      <c r="P7" s="1528" t="s">
        <v>34</v>
      </c>
      <c r="Q7" s="480"/>
      <c r="R7" s="480"/>
      <c r="S7" s="1528" t="s">
        <v>67</v>
      </c>
      <c r="T7" s="486"/>
      <c r="U7" s="487"/>
      <c r="V7" s="488"/>
      <c r="W7" s="487"/>
      <c r="X7" s="489"/>
      <c r="Y7" s="490"/>
      <c r="AE7" s="492"/>
      <c r="AF7" s="492"/>
      <c r="AG7" s="492"/>
      <c r="AH7" s="492"/>
      <c r="AI7" s="492"/>
    </row>
    <row r="8" spans="1:56" s="491" customFormat="1" x14ac:dyDescent="0.2">
      <c r="A8" s="1542" t="s">
        <v>174</v>
      </c>
      <c r="B8" s="1542"/>
      <c r="C8" s="476" t="s">
        <v>202</v>
      </c>
      <c r="D8" s="476" t="s">
        <v>7</v>
      </c>
      <c r="E8" s="476" t="s">
        <v>132</v>
      </c>
      <c r="F8" s="1508">
        <v>39107</v>
      </c>
      <c r="G8" s="476" t="s">
        <v>203</v>
      </c>
      <c r="H8" s="476" t="s">
        <v>16</v>
      </c>
      <c r="I8" s="478">
        <v>0</v>
      </c>
      <c r="J8" s="478">
        <v>0</v>
      </c>
      <c r="K8" s="478">
        <v>240946</v>
      </c>
      <c r="L8" s="478">
        <v>240946</v>
      </c>
      <c r="M8" s="478"/>
      <c r="N8" s="478"/>
      <c r="O8" s="1514" t="s">
        <v>45</v>
      </c>
      <c r="P8" s="1528" t="s">
        <v>34</v>
      </c>
      <c r="Q8" s="480"/>
      <c r="R8" s="480"/>
      <c r="S8" s="1528"/>
      <c r="T8" s="486"/>
      <c r="U8" s="487"/>
      <c r="V8" s="488"/>
      <c r="W8" s="487"/>
      <c r="X8" s="489"/>
      <c r="Y8" s="490"/>
      <c r="AE8" s="492"/>
      <c r="AF8" s="492"/>
      <c r="AG8" s="492"/>
      <c r="AH8" s="492"/>
      <c r="AI8" s="492"/>
    </row>
    <row r="9" spans="1:56" s="491" customFormat="1" x14ac:dyDescent="0.2">
      <c r="A9" s="1542" t="s">
        <v>175</v>
      </c>
      <c r="B9" s="1542"/>
      <c r="C9" s="476" t="s">
        <v>39</v>
      </c>
      <c r="D9" s="476" t="s">
        <v>7</v>
      </c>
      <c r="E9" s="476" t="s">
        <v>132</v>
      </c>
      <c r="F9" s="1508">
        <v>39107</v>
      </c>
      <c r="G9" s="476" t="s">
        <v>470</v>
      </c>
      <c r="H9" s="476" t="s">
        <v>8</v>
      </c>
      <c r="I9" s="478" t="s">
        <v>45</v>
      </c>
      <c r="J9" s="478" t="s">
        <v>45</v>
      </c>
      <c r="K9" s="478">
        <v>336055</v>
      </c>
      <c r="L9" s="478">
        <v>309524</v>
      </c>
      <c r="M9" s="478" t="s">
        <v>45</v>
      </c>
      <c r="N9" s="478" t="s">
        <v>45</v>
      </c>
      <c r="O9" s="1516" t="s">
        <v>45</v>
      </c>
      <c r="P9" s="1528" t="s">
        <v>32</v>
      </c>
      <c r="Q9" s="480">
        <v>0</v>
      </c>
      <c r="R9" s="480">
        <v>0</v>
      </c>
      <c r="S9" s="1528" t="s">
        <v>59</v>
      </c>
      <c r="T9" s="486"/>
      <c r="U9" s="487"/>
      <c r="V9" s="488"/>
      <c r="W9" s="487"/>
      <c r="X9" s="489"/>
      <c r="Y9" s="490"/>
      <c r="AE9" s="492"/>
      <c r="AF9" s="492"/>
      <c r="AG9" s="492"/>
      <c r="AH9" s="492"/>
      <c r="AI9" s="492"/>
    </row>
    <row r="10" spans="1:56" s="491" customFormat="1" x14ac:dyDescent="0.2">
      <c r="A10" s="1542"/>
      <c r="B10" s="1542"/>
      <c r="C10" s="476" t="s">
        <v>13</v>
      </c>
      <c r="D10" s="476" t="s">
        <v>14</v>
      </c>
      <c r="E10" s="476" t="s">
        <v>132</v>
      </c>
      <c r="F10" s="1508">
        <v>39107</v>
      </c>
      <c r="G10" s="476" t="s">
        <v>201</v>
      </c>
      <c r="H10" s="476" t="s">
        <v>8</v>
      </c>
      <c r="I10" s="478">
        <v>843117</v>
      </c>
      <c r="J10" s="478">
        <v>758806</v>
      </c>
      <c r="K10" s="478"/>
      <c r="L10" s="478"/>
      <c r="M10" s="478"/>
      <c r="N10" s="478"/>
      <c r="O10" s="1514" t="s">
        <v>45</v>
      </c>
      <c r="P10" s="1528"/>
      <c r="Q10" s="480"/>
      <c r="R10" s="480"/>
      <c r="S10" s="1528"/>
      <c r="T10" s="487"/>
      <c r="U10" s="487"/>
      <c r="V10" s="488"/>
      <c r="W10" s="487"/>
      <c r="X10" s="489"/>
      <c r="Y10" s="490"/>
      <c r="AE10" s="492"/>
      <c r="AF10" s="492"/>
      <c r="AG10" s="492"/>
      <c r="AH10" s="492"/>
      <c r="AI10" s="492"/>
    </row>
    <row r="11" spans="1:56" s="491" customFormat="1" ht="25.5" x14ac:dyDescent="0.2">
      <c r="A11" s="1542" t="s">
        <v>176</v>
      </c>
      <c r="B11" s="1542"/>
      <c r="C11" s="476" t="s">
        <v>13</v>
      </c>
      <c r="D11" s="476" t="s">
        <v>7</v>
      </c>
      <c r="E11" s="476" t="s">
        <v>132</v>
      </c>
      <c r="F11" s="1508">
        <v>39128</v>
      </c>
      <c r="G11" s="2094" t="s">
        <v>1030</v>
      </c>
      <c r="H11" s="476" t="s">
        <v>8</v>
      </c>
      <c r="I11" s="478" t="s">
        <v>45</v>
      </c>
      <c r="J11" s="478" t="s">
        <v>45</v>
      </c>
      <c r="K11" s="478">
        <v>791277</v>
      </c>
      <c r="L11" s="478">
        <v>745327</v>
      </c>
      <c r="M11" s="478">
        <f>K11-I10</f>
        <v>-51840</v>
      </c>
      <c r="N11" s="478">
        <f>L11-J10</f>
        <v>-13479</v>
      </c>
      <c r="O11" s="1514" t="s">
        <v>45</v>
      </c>
      <c r="P11" s="1528" t="s">
        <v>33</v>
      </c>
      <c r="Q11" s="480">
        <v>0</v>
      </c>
      <c r="R11" s="480">
        <v>0</v>
      </c>
      <c r="S11" s="1528" t="s">
        <v>60</v>
      </c>
      <c r="T11" s="487"/>
      <c r="U11" s="487"/>
      <c r="V11" s="488"/>
      <c r="W11" s="487"/>
      <c r="X11" s="489"/>
      <c r="Y11" s="490"/>
      <c r="AE11" s="492"/>
      <c r="AF11" s="492"/>
      <c r="AG11" s="492"/>
      <c r="AH11" s="492"/>
      <c r="AI11" s="492"/>
    </row>
    <row r="12" spans="1:56" s="491" customFormat="1" x14ac:dyDescent="0.2">
      <c r="A12" s="1542"/>
      <c r="B12" s="1542"/>
      <c r="C12" s="476" t="s">
        <v>50</v>
      </c>
      <c r="D12" s="476" t="s">
        <v>14</v>
      </c>
      <c r="E12" s="476" t="s">
        <v>132</v>
      </c>
      <c r="F12" s="1507">
        <v>39128</v>
      </c>
      <c r="G12" s="476" t="s">
        <v>204</v>
      </c>
      <c r="H12" s="476" t="s">
        <v>8</v>
      </c>
      <c r="I12" s="478">
        <v>1233073</v>
      </c>
      <c r="J12" s="478">
        <v>1111963</v>
      </c>
      <c r="K12" s="478"/>
      <c r="L12" s="478"/>
      <c r="M12" s="478"/>
      <c r="N12" s="478"/>
      <c r="O12" s="1514" t="s">
        <v>45</v>
      </c>
      <c r="P12" s="1528" t="s">
        <v>36</v>
      </c>
      <c r="Q12" s="480"/>
      <c r="R12" s="480"/>
      <c r="S12" s="1528"/>
      <c r="T12" s="487"/>
      <c r="U12" s="487"/>
      <c r="V12" s="488"/>
      <c r="W12" s="487"/>
      <c r="X12" s="489"/>
      <c r="Y12" s="490"/>
      <c r="AE12" s="492"/>
      <c r="AF12" s="492"/>
      <c r="AG12" s="492"/>
      <c r="AH12" s="492"/>
      <c r="AI12" s="492"/>
    </row>
    <row r="13" spans="1:56" s="491" customFormat="1" x14ac:dyDescent="0.2">
      <c r="A13" s="1542"/>
      <c r="B13" s="1542"/>
      <c r="C13" s="476" t="s">
        <v>51</v>
      </c>
      <c r="D13" s="476" t="s">
        <v>14</v>
      </c>
      <c r="E13" s="476" t="s">
        <v>132</v>
      </c>
      <c r="F13" s="1507">
        <v>39128</v>
      </c>
      <c r="G13" s="476" t="s">
        <v>314</v>
      </c>
      <c r="H13" s="476" t="s">
        <v>8</v>
      </c>
      <c r="I13" s="478">
        <v>197526</v>
      </c>
      <c r="J13" s="478">
        <v>178773</v>
      </c>
      <c r="K13" s="478"/>
      <c r="L13" s="478"/>
      <c r="M13" s="478"/>
      <c r="N13" s="478"/>
      <c r="O13" s="1514" t="s">
        <v>45</v>
      </c>
      <c r="P13" s="1528" t="s">
        <v>37</v>
      </c>
      <c r="Q13" s="480"/>
      <c r="R13" s="480"/>
      <c r="S13" s="1528"/>
      <c r="T13" s="487"/>
      <c r="U13" s="487"/>
      <c r="V13" s="488"/>
      <c r="W13" s="487"/>
      <c r="X13" s="489"/>
      <c r="Y13" s="490"/>
      <c r="AE13" s="492"/>
      <c r="AF13" s="492"/>
      <c r="AG13" s="492"/>
      <c r="AH13" s="492"/>
      <c r="AI13" s="492"/>
    </row>
    <row r="14" spans="1:56" s="473" customFormat="1" x14ac:dyDescent="0.2">
      <c r="A14" s="1543" t="s">
        <v>177</v>
      </c>
      <c r="B14" s="1543"/>
      <c r="C14" s="1544" t="s">
        <v>915</v>
      </c>
      <c r="D14" s="508" t="s">
        <v>7</v>
      </c>
      <c r="E14" s="508" t="s">
        <v>44</v>
      </c>
      <c r="F14" s="1506">
        <v>39380</v>
      </c>
      <c r="G14" s="508" t="s">
        <v>315</v>
      </c>
      <c r="H14" s="508" t="s">
        <v>8</v>
      </c>
      <c r="I14" s="510"/>
      <c r="J14" s="510"/>
      <c r="K14" s="510">
        <v>182396</v>
      </c>
      <c r="L14" s="510">
        <v>159341</v>
      </c>
      <c r="M14" s="510">
        <f>K14-I13</f>
        <v>-15130</v>
      </c>
      <c r="N14" s="510">
        <f>L14-J13</f>
        <v>-19432</v>
      </c>
      <c r="O14" s="1513" t="s">
        <v>196</v>
      </c>
      <c r="P14" s="1529" t="s">
        <v>37</v>
      </c>
      <c r="Q14" s="511">
        <v>94388</v>
      </c>
      <c r="R14" s="511">
        <v>115164</v>
      </c>
      <c r="S14" s="1529" t="s">
        <v>58</v>
      </c>
      <c r="T14" s="513"/>
      <c r="U14" s="1330"/>
      <c r="V14" s="1331"/>
      <c r="W14" s="472"/>
      <c r="X14" s="526"/>
      <c r="Y14" s="472"/>
      <c r="AE14" s="505"/>
      <c r="AF14" s="505"/>
      <c r="AG14" s="505"/>
      <c r="AH14" s="505"/>
      <c r="AI14" s="505"/>
    </row>
    <row r="15" spans="1:56" s="491" customFormat="1" x14ac:dyDescent="0.2">
      <c r="A15" s="1542" t="s">
        <v>179</v>
      </c>
      <c r="B15" s="1542"/>
      <c r="C15" s="476" t="s">
        <v>52</v>
      </c>
      <c r="D15" s="476" t="s">
        <v>7</v>
      </c>
      <c r="E15" s="476" t="s">
        <v>132</v>
      </c>
      <c r="F15" s="1508">
        <v>39128</v>
      </c>
      <c r="G15" s="476" t="s">
        <v>506</v>
      </c>
      <c r="H15" s="476" t="s">
        <v>8</v>
      </c>
      <c r="I15" s="478" t="s">
        <v>45</v>
      </c>
      <c r="J15" s="478" t="s">
        <v>45</v>
      </c>
      <c r="K15" s="478">
        <v>229672</v>
      </c>
      <c r="L15" s="478">
        <v>209664</v>
      </c>
      <c r="M15" s="478" t="s">
        <v>45</v>
      </c>
      <c r="N15" s="478" t="s">
        <v>45</v>
      </c>
      <c r="O15" s="1514" t="s">
        <v>45</v>
      </c>
      <c r="P15" s="1528" t="s">
        <v>284</v>
      </c>
      <c r="Q15" s="480"/>
      <c r="R15" s="480"/>
      <c r="S15" s="1528" t="s">
        <v>58</v>
      </c>
      <c r="T15" s="486"/>
      <c r="U15" s="487"/>
      <c r="V15" s="488"/>
      <c r="W15" s="487"/>
      <c r="X15" s="489"/>
      <c r="Y15" s="490"/>
      <c r="AE15" s="492"/>
      <c r="AF15" s="492"/>
      <c r="AG15" s="492"/>
      <c r="AH15" s="492"/>
      <c r="AI15" s="492"/>
    </row>
    <row r="16" spans="1:56" s="473" customFormat="1" x14ac:dyDescent="0.2">
      <c r="A16" s="1543" t="s">
        <v>178</v>
      </c>
      <c r="B16" s="1543"/>
      <c r="C16" s="508" t="s">
        <v>50</v>
      </c>
      <c r="D16" s="508" t="s">
        <v>7</v>
      </c>
      <c r="E16" s="508" t="s">
        <v>44</v>
      </c>
      <c r="F16" s="1506">
        <v>39261</v>
      </c>
      <c r="G16" s="508" t="s">
        <v>315</v>
      </c>
      <c r="H16" s="508" t="s">
        <v>8</v>
      </c>
      <c r="I16" s="510" t="s">
        <v>45</v>
      </c>
      <c r="J16" s="510" t="s">
        <v>45</v>
      </c>
      <c r="K16" s="510">
        <v>1653965</v>
      </c>
      <c r="L16" s="510">
        <v>1433436</v>
      </c>
      <c r="M16" s="510">
        <f>K16-I12</f>
        <v>420892</v>
      </c>
      <c r="N16" s="510">
        <f>L16-J12</f>
        <v>321473</v>
      </c>
      <c r="O16" s="1513" t="s">
        <v>198</v>
      </c>
      <c r="P16" s="1529" t="s">
        <v>36</v>
      </c>
      <c r="Q16" s="511">
        <v>2212917</v>
      </c>
      <c r="R16" s="511">
        <v>2406016</v>
      </c>
      <c r="S16" s="1529" t="s">
        <v>58</v>
      </c>
      <c r="T16" s="513"/>
      <c r="U16" s="4242"/>
      <c r="V16" s="4243"/>
      <c r="W16" s="469"/>
      <c r="X16" s="548"/>
      <c r="Y16" s="472"/>
      <c r="AE16" s="505"/>
      <c r="AF16" s="505"/>
      <c r="AG16" s="505"/>
      <c r="AH16" s="505"/>
      <c r="AI16" s="505"/>
    </row>
    <row r="17" spans="1:35" s="491" customFormat="1" x14ac:dyDescent="0.2">
      <c r="A17" s="1542" t="s">
        <v>180</v>
      </c>
      <c r="B17" s="1542"/>
      <c r="C17" s="476" t="s">
        <v>245</v>
      </c>
      <c r="D17" s="476" t="s">
        <v>7</v>
      </c>
      <c r="E17" s="476" t="s">
        <v>46</v>
      </c>
      <c r="F17" s="1508">
        <v>39163</v>
      </c>
      <c r="G17" s="1494" t="s">
        <v>205</v>
      </c>
      <c r="H17" s="476" t="s">
        <v>8</v>
      </c>
      <c r="I17" s="478">
        <v>0</v>
      </c>
      <c r="J17" s="478">
        <v>0</v>
      </c>
      <c r="K17" s="478">
        <v>255439</v>
      </c>
      <c r="L17" s="478">
        <v>255439</v>
      </c>
      <c r="M17" s="478"/>
      <c r="N17" s="478"/>
      <c r="O17" s="1514" t="s">
        <v>45</v>
      </c>
      <c r="P17" s="1528" t="s">
        <v>41</v>
      </c>
      <c r="Q17" s="480">
        <v>0</v>
      </c>
      <c r="R17" s="480">
        <v>0</v>
      </c>
      <c r="S17" s="1528" t="s">
        <v>58</v>
      </c>
      <c r="T17" s="486"/>
      <c r="U17" s="4240"/>
      <c r="V17" s="4241"/>
      <c r="W17" s="1334"/>
      <c r="X17" s="1334"/>
      <c r="Y17" s="490"/>
      <c r="AE17" s="492"/>
      <c r="AF17" s="492"/>
      <c r="AG17" s="492"/>
      <c r="AH17" s="492"/>
      <c r="AI17" s="492"/>
    </row>
    <row r="18" spans="1:35" s="473" customFormat="1" ht="12" customHeight="1" x14ac:dyDescent="0.2">
      <c r="A18" s="1543" t="s">
        <v>181</v>
      </c>
      <c r="B18" s="1543"/>
      <c r="C18" s="508" t="s">
        <v>62</v>
      </c>
      <c r="D18" s="508" t="s">
        <v>7</v>
      </c>
      <c r="E18" s="508" t="s">
        <v>44</v>
      </c>
      <c r="F18" s="1509">
        <v>39205</v>
      </c>
      <c r="G18" s="508"/>
      <c r="H18" s="508" t="s">
        <v>8</v>
      </c>
      <c r="I18" s="510" t="s">
        <v>45</v>
      </c>
      <c r="J18" s="510" t="s">
        <v>45</v>
      </c>
      <c r="K18" s="510">
        <v>677944</v>
      </c>
      <c r="L18" s="510">
        <v>612787</v>
      </c>
      <c r="M18" s="510" t="s">
        <v>45</v>
      </c>
      <c r="N18" s="510" t="s">
        <v>45</v>
      </c>
      <c r="O18" s="1513" t="s">
        <v>197</v>
      </c>
      <c r="P18" s="1529" t="s">
        <v>65</v>
      </c>
      <c r="Q18" s="511">
        <v>324549</v>
      </c>
      <c r="R18" s="511">
        <v>385863</v>
      </c>
      <c r="S18" s="1529" t="s">
        <v>58</v>
      </c>
      <c r="T18" s="513"/>
      <c r="U18" s="4242"/>
      <c r="V18" s="4243"/>
      <c r="W18" s="472"/>
      <c r="X18" s="526"/>
      <c r="Y18" s="472"/>
      <c r="AE18" s="505"/>
      <c r="AF18" s="505"/>
      <c r="AG18" s="505"/>
      <c r="AH18" s="505"/>
      <c r="AI18" s="505"/>
    </row>
    <row r="19" spans="1:35" s="473" customFormat="1" x14ac:dyDescent="0.2">
      <c r="A19" s="1543" t="s">
        <v>182</v>
      </c>
      <c r="B19" s="1543"/>
      <c r="C19" s="508" t="s">
        <v>63</v>
      </c>
      <c r="D19" s="508" t="s">
        <v>7</v>
      </c>
      <c r="E19" s="508" t="s">
        <v>44</v>
      </c>
      <c r="F19" s="1509">
        <v>39205</v>
      </c>
      <c r="G19" s="508"/>
      <c r="H19" s="508" t="s">
        <v>8</v>
      </c>
      <c r="I19" s="510" t="s">
        <v>45</v>
      </c>
      <c r="J19" s="510" t="s">
        <v>45</v>
      </c>
      <c r="K19" s="510">
        <v>156126</v>
      </c>
      <c r="L19" s="510">
        <v>147045</v>
      </c>
      <c r="M19" s="510" t="s">
        <v>45</v>
      </c>
      <c r="N19" s="510" t="s">
        <v>45</v>
      </c>
      <c r="O19" s="1513" t="s">
        <v>197</v>
      </c>
      <c r="P19" s="1529" t="s">
        <v>66</v>
      </c>
      <c r="Q19" s="511">
        <v>70611</v>
      </c>
      <c r="R19" s="511">
        <v>79448</v>
      </c>
      <c r="S19" s="1529" t="s">
        <v>67</v>
      </c>
      <c r="T19" s="513"/>
      <c r="U19" s="4242"/>
      <c r="V19" s="4243"/>
      <c r="W19" s="472"/>
      <c r="X19" s="526"/>
      <c r="Y19" s="472"/>
      <c r="AE19" s="505"/>
      <c r="AF19" s="505"/>
      <c r="AG19" s="505"/>
      <c r="AH19" s="505"/>
      <c r="AI19" s="505"/>
    </row>
    <row r="20" spans="1:35" s="491" customFormat="1" x14ac:dyDescent="0.2">
      <c r="A20" s="1542" t="s">
        <v>183</v>
      </c>
      <c r="B20" s="1542"/>
      <c r="C20" s="476" t="s">
        <v>61</v>
      </c>
      <c r="D20" s="476" t="s">
        <v>7</v>
      </c>
      <c r="E20" s="476" t="s">
        <v>132</v>
      </c>
      <c r="F20" s="1508">
        <v>39205</v>
      </c>
      <c r="G20" s="476" t="s">
        <v>248</v>
      </c>
      <c r="H20" s="476" t="s">
        <v>8</v>
      </c>
      <c r="I20" s="478">
        <v>0</v>
      </c>
      <c r="J20" s="478">
        <v>0</v>
      </c>
      <c r="K20" s="478">
        <v>85539</v>
      </c>
      <c r="L20" s="478">
        <v>85539</v>
      </c>
      <c r="M20" s="478"/>
      <c r="N20" s="478"/>
      <c r="O20" s="1514" t="s">
        <v>45</v>
      </c>
      <c r="P20" s="1528" t="s">
        <v>64</v>
      </c>
      <c r="Q20" s="480">
        <v>0</v>
      </c>
      <c r="R20" s="480">
        <v>0</v>
      </c>
      <c r="S20" s="1528" t="s">
        <v>58</v>
      </c>
      <c r="T20" s="486"/>
      <c r="U20" s="4236"/>
      <c r="V20" s="4237"/>
      <c r="W20" s="490"/>
      <c r="X20" s="531"/>
      <c r="Y20" s="490"/>
      <c r="AE20" s="492"/>
      <c r="AF20" s="492"/>
      <c r="AG20" s="492"/>
      <c r="AH20" s="492"/>
      <c r="AI20" s="492"/>
    </row>
    <row r="21" spans="1:35" s="491" customFormat="1" x14ac:dyDescent="0.2">
      <c r="A21" s="1542"/>
      <c r="B21" s="1542"/>
      <c r="C21" s="476" t="s">
        <v>187</v>
      </c>
      <c r="D21" s="476" t="s">
        <v>14</v>
      </c>
      <c r="E21" s="476" t="s">
        <v>132</v>
      </c>
      <c r="F21" s="1508">
        <v>39226</v>
      </c>
      <c r="G21" s="476" t="s">
        <v>319</v>
      </c>
      <c r="H21" s="476" t="s">
        <v>8</v>
      </c>
      <c r="I21" s="478">
        <v>1804440</v>
      </c>
      <c r="J21" s="478">
        <v>1563848</v>
      </c>
      <c r="K21" s="478"/>
      <c r="L21" s="478"/>
      <c r="M21" s="478"/>
      <c r="N21" s="478"/>
      <c r="O21" s="1514" t="s">
        <v>45</v>
      </c>
      <c r="P21" s="1528"/>
      <c r="Q21" s="480"/>
      <c r="R21" s="480"/>
      <c r="S21" s="1528"/>
      <c r="T21" s="487"/>
      <c r="U21" s="1332"/>
      <c r="V21" s="1333"/>
      <c r="W21" s="490"/>
      <c r="X21" s="531"/>
      <c r="Y21" s="490"/>
      <c r="AE21" s="492"/>
      <c r="AF21" s="492"/>
      <c r="AG21" s="492"/>
      <c r="AH21" s="492"/>
      <c r="AI21" s="492"/>
    </row>
    <row r="22" spans="1:35" s="473" customFormat="1" x14ac:dyDescent="0.2">
      <c r="A22" s="1543" t="s">
        <v>184</v>
      </c>
      <c r="B22" s="1543"/>
      <c r="C22" s="1544" t="s">
        <v>187</v>
      </c>
      <c r="D22" s="508" t="s">
        <v>7</v>
      </c>
      <c r="E22" s="508" t="s">
        <v>44</v>
      </c>
      <c r="F22" s="1506">
        <v>39380</v>
      </c>
      <c r="G22" s="508" t="s">
        <v>317</v>
      </c>
      <c r="H22" s="508" t="s">
        <v>8</v>
      </c>
      <c r="I22" s="510"/>
      <c r="J22" s="510"/>
      <c r="K22" s="510">
        <v>1786828</v>
      </c>
      <c r="L22" s="510">
        <v>1548584</v>
      </c>
      <c r="M22" s="510">
        <f>K22-I21</f>
        <v>-17612</v>
      </c>
      <c r="N22" s="510">
        <f>L22-J21</f>
        <v>-15264</v>
      </c>
      <c r="O22" s="1513" t="s">
        <v>199</v>
      </c>
      <c r="P22" s="1529" t="s">
        <v>320</v>
      </c>
      <c r="Q22" s="511">
        <v>2129672</v>
      </c>
      <c r="R22" s="511">
        <v>2359958</v>
      </c>
      <c r="S22" s="1529" t="s">
        <v>58</v>
      </c>
      <c r="T22" s="513"/>
      <c r="U22" s="1330"/>
      <c r="V22" s="1331"/>
      <c r="W22" s="472"/>
      <c r="X22" s="526"/>
      <c r="Y22" s="472"/>
      <c r="AE22" s="505"/>
      <c r="AF22" s="505"/>
      <c r="AG22" s="505"/>
      <c r="AH22" s="505"/>
      <c r="AI22" s="505"/>
    </row>
    <row r="23" spans="1:35" s="491" customFormat="1" x14ac:dyDescent="0.2">
      <c r="A23" s="1542" t="s">
        <v>185</v>
      </c>
      <c r="B23" s="1542"/>
      <c r="C23" s="476" t="s">
        <v>134</v>
      </c>
      <c r="D23" s="476" t="s">
        <v>7</v>
      </c>
      <c r="E23" s="476" t="s">
        <v>132</v>
      </c>
      <c r="F23" s="1508">
        <v>39261</v>
      </c>
      <c r="G23" s="476" t="s">
        <v>557</v>
      </c>
      <c r="H23" s="476" t="s">
        <v>8</v>
      </c>
      <c r="I23" s="478" t="s">
        <v>45</v>
      </c>
      <c r="J23" s="478" t="s">
        <v>45</v>
      </c>
      <c r="K23" s="478">
        <v>79054</v>
      </c>
      <c r="L23" s="478">
        <v>66885</v>
      </c>
      <c r="M23" s="478" t="s">
        <v>45</v>
      </c>
      <c r="N23" s="478" t="s">
        <v>45</v>
      </c>
      <c r="O23" s="1514" t="s">
        <v>45</v>
      </c>
      <c r="P23" s="1528" t="s">
        <v>64</v>
      </c>
      <c r="Q23" s="480">
        <v>0</v>
      </c>
      <c r="R23" s="480">
        <v>0</v>
      </c>
      <c r="S23" s="1528" t="s">
        <v>67</v>
      </c>
      <c r="T23" s="487"/>
      <c r="U23" s="4236"/>
      <c r="V23" s="4237"/>
      <c r="W23" s="488"/>
      <c r="X23" s="547"/>
      <c r="Y23" s="490"/>
      <c r="AE23" s="492"/>
      <c r="AF23" s="492"/>
      <c r="AG23" s="492"/>
      <c r="AH23" s="492"/>
      <c r="AI23" s="492"/>
    </row>
    <row r="24" spans="1:35" s="473" customFormat="1" x14ac:dyDescent="0.2">
      <c r="A24" s="1542" t="s">
        <v>191</v>
      </c>
      <c r="B24" s="1543"/>
      <c r="C24" s="476" t="s">
        <v>188</v>
      </c>
      <c r="D24" s="476" t="s">
        <v>7</v>
      </c>
      <c r="E24" s="476" t="s">
        <v>132</v>
      </c>
      <c r="F24" s="1508">
        <v>39289</v>
      </c>
      <c r="G24" s="476" t="s">
        <v>848</v>
      </c>
      <c r="H24" s="476" t="s">
        <v>8</v>
      </c>
      <c r="I24" s="478" t="s">
        <v>45</v>
      </c>
      <c r="J24" s="478" t="s">
        <v>45</v>
      </c>
      <c r="K24" s="478">
        <v>607347</v>
      </c>
      <c r="L24" s="478">
        <v>496000</v>
      </c>
      <c r="M24" s="478" t="s">
        <v>45</v>
      </c>
      <c r="N24" s="478" t="s">
        <v>45</v>
      </c>
      <c r="O24" s="1514" t="s">
        <v>45</v>
      </c>
      <c r="P24" s="1528" t="s">
        <v>189</v>
      </c>
      <c r="Q24" s="480"/>
      <c r="R24" s="480"/>
      <c r="S24" s="1528" t="s">
        <v>58</v>
      </c>
      <c r="T24" s="513"/>
      <c r="U24" s="1330"/>
      <c r="V24" s="1331"/>
      <c r="W24" s="472"/>
      <c r="X24" s="526"/>
      <c r="Y24" s="472"/>
      <c r="AE24" s="505"/>
      <c r="AF24" s="505"/>
      <c r="AG24" s="505"/>
      <c r="AH24" s="505"/>
      <c r="AI24" s="505"/>
    </row>
    <row r="25" spans="1:35" s="473" customFormat="1" ht="13.5" thickBot="1" x14ac:dyDescent="0.25">
      <c r="A25" s="1545"/>
      <c r="B25" s="1545"/>
      <c r="C25" s="753"/>
      <c r="D25" s="753"/>
      <c r="E25" s="753"/>
      <c r="F25" s="753"/>
      <c r="G25" s="753"/>
      <c r="H25" s="753"/>
      <c r="I25" s="1500"/>
      <c r="J25" s="1500"/>
      <c r="K25" s="1500"/>
      <c r="L25" s="1500"/>
      <c r="M25" s="1500"/>
      <c r="N25" s="1500"/>
      <c r="O25" s="1525"/>
      <c r="P25" s="1530"/>
      <c r="Q25" s="1495"/>
      <c r="R25" s="1495"/>
      <c r="S25" s="1530"/>
      <c r="T25" s="513"/>
      <c r="U25" s="1330"/>
      <c r="V25" s="1331"/>
      <c r="W25" s="472"/>
      <c r="X25" s="526"/>
      <c r="Y25" s="472"/>
      <c r="AE25" s="505"/>
      <c r="AF25" s="505"/>
      <c r="AG25" s="505"/>
      <c r="AH25" s="505"/>
      <c r="AI25" s="505"/>
    </row>
    <row r="26" spans="1:35" s="1384" customFormat="1" ht="19.5" thickTop="1" thickBot="1" x14ac:dyDescent="0.25">
      <c r="A26" s="1569"/>
      <c r="B26" s="1569"/>
      <c r="C26" s="1570">
        <v>2008</v>
      </c>
      <c r="D26" s="1571"/>
      <c r="E26" s="1571"/>
      <c r="F26" s="1571"/>
      <c r="G26" s="1571"/>
      <c r="H26" s="1571"/>
      <c r="I26" s="1572"/>
      <c r="J26" s="1572"/>
      <c r="K26" s="1572"/>
      <c r="L26" s="1572"/>
      <c r="M26" s="1572"/>
      <c r="N26" s="1572"/>
      <c r="O26" s="1573"/>
      <c r="P26" s="1574"/>
      <c r="Q26" s="1575"/>
      <c r="R26" s="1575"/>
      <c r="S26" s="1574"/>
      <c r="T26" s="1576"/>
      <c r="U26" s="1577"/>
      <c r="V26" s="1578"/>
      <c r="X26" s="1579"/>
      <c r="AE26" s="1580"/>
      <c r="AF26" s="1580"/>
      <c r="AG26" s="1580"/>
      <c r="AH26" s="1580"/>
      <c r="AI26" s="1580"/>
    </row>
    <row r="27" spans="1:35" s="1176" customFormat="1" ht="13.5" thickTop="1" x14ac:dyDescent="0.2">
      <c r="A27" s="1546" t="s">
        <v>338</v>
      </c>
      <c r="B27" s="1546"/>
      <c r="C27" s="1547" t="s">
        <v>300</v>
      </c>
      <c r="D27" s="1218" t="s">
        <v>14</v>
      </c>
      <c r="E27" s="1218" t="s">
        <v>132</v>
      </c>
      <c r="F27" s="1510">
        <v>39380</v>
      </c>
      <c r="G27" s="1218" t="s">
        <v>558</v>
      </c>
      <c r="H27" s="1218" t="s">
        <v>8</v>
      </c>
      <c r="I27" s="1229">
        <v>1942989</v>
      </c>
      <c r="J27" s="1229">
        <v>1683924</v>
      </c>
      <c r="K27" s="1229"/>
      <c r="L27" s="1229"/>
      <c r="M27" s="1229"/>
      <c r="N27" s="1229"/>
      <c r="O27" s="1515" t="s">
        <v>45</v>
      </c>
      <c r="P27" s="1532" t="s">
        <v>302</v>
      </c>
      <c r="Q27" s="1219">
        <v>0</v>
      </c>
      <c r="R27" s="1219">
        <v>0</v>
      </c>
      <c r="S27" s="1532" t="s">
        <v>67</v>
      </c>
      <c r="T27" s="1171"/>
      <c r="U27" s="1172"/>
      <c r="V27" s="1173"/>
      <c r="W27" s="1174"/>
      <c r="X27" s="1175"/>
      <c r="Y27" s="1174"/>
      <c r="AE27" s="1177"/>
      <c r="AF27" s="1177"/>
      <c r="AG27" s="1177"/>
      <c r="AH27" s="1177"/>
      <c r="AI27" s="1177"/>
    </row>
    <row r="28" spans="1:35" s="1245" customFormat="1" x14ac:dyDescent="0.2">
      <c r="A28" s="1546"/>
      <c r="B28" s="1546" t="s">
        <v>409</v>
      </c>
      <c r="C28" s="1547" t="s">
        <v>383</v>
      </c>
      <c r="D28" s="1218" t="s">
        <v>14</v>
      </c>
      <c r="E28" s="1218" t="s">
        <v>132</v>
      </c>
      <c r="F28" s="1510">
        <v>39422</v>
      </c>
      <c r="G28" s="1218" t="s">
        <v>747</v>
      </c>
      <c r="H28" s="1218" t="s">
        <v>8</v>
      </c>
      <c r="I28" s="1229">
        <v>1048047</v>
      </c>
      <c r="J28" s="1229">
        <v>960709</v>
      </c>
      <c r="K28" s="1229"/>
      <c r="L28" s="1229"/>
      <c r="M28" s="1229"/>
      <c r="N28" s="1229"/>
      <c r="O28" s="1519" t="s">
        <v>45</v>
      </c>
      <c r="P28" s="1532" t="s">
        <v>41</v>
      </c>
      <c r="Q28" s="1219"/>
      <c r="R28" s="1219"/>
      <c r="S28" s="1532"/>
      <c r="T28" s="1240"/>
      <c r="U28" s="1241"/>
      <c r="V28" s="1242"/>
      <c r="W28" s="1243"/>
      <c r="X28" s="1244"/>
      <c r="Y28" s="1243"/>
      <c r="AE28" s="1246"/>
      <c r="AF28" s="1246"/>
      <c r="AG28" s="1246"/>
      <c r="AH28" s="1246"/>
      <c r="AI28" s="1246"/>
    </row>
    <row r="29" spans="1:35" s="1176" customFormat="1" x14ac:dyDescent="0.2">
      <c r="A29" s="1546" t="s">
        <v>410</v>
      </c>
      <c r="B29" s="1546"/>
      <c r="C29" s="1547" t="s">
        <v>384</v>
      </c>
      <c r="D29" s="1218" t="s">
        <v>14</v>
      </c>
      <c r="E29" s="1218" t="s">
        <v>46</v>
      </c>
      <c r="F29" s="1510">
        <v>39422</v>
      </c>
      <c r="G29" s="1218" t="s">
        <v>411</v>
      </c>
      <c r="H29" s="1218" t="s">
        <v>8</v>
      </c>
      <c r="I29" s="1229">
        <v>71302</v>
      </c>
      <c r="J29" s="1229">
        <v>65011</v>
      </c>
      <c r="K29" s="1229"/>
      <c r="L29" s="1229"/>
      <c r="M29" s="1229"/>
      <c r="N29" s="1229"/>
      <c r="O29" s="1519" t="s">
        <v>45</v>
      </c>
      <c r="P29" s="1532" t="s">
        <v>36</v>
      </c>
      <c r="Q29" s="1219"/>
      <c r="R29" s="1219"/>
      <c r="S29" s="1532" t="s">
        <v>390</v>
      </c>
      <c r="T29" s="1171"/>
      <c r="U29" s="1172"/>
      <c r="V29" s="1173"/>
      <c r="W29" s="1174"/>
      <c r="X29" s="1175"/>
      <c r="Y29" s="1174"/>
      <c r="AE29" s="1177"/>
      <c r="AF29" s="1177"/>
      <c r="AG29" s="1177"/>
      <c r="AH29" s="1177"/>
      <c r="AI29" s="1177"/>
    </row>
    <row r="30" spans="1:35" s="1176" customFormat="1" x14ac:dyDescent="0.2">
      <c r="A30" s="1546"/>
      <c r="B30" s="1546"/>
      <c r="C30" s="1547" t="s">
        <v>412</v>
      </c>
      <c r="D30" s="1218" t="s">
        <v>14</v>
      </c>
      <c r="E30" s="1218" t="s">
        <v>132</v>
      </c>
      <c r="F30" s="1510">
        <v>39422</v>
      </c>
      <c r="G30" s="1218" t="s">
        <v>682</v>
      </c>
      <c r="H30" s="1218" t="s">
        <v>8</v>
      </c>
      <c r="I30" s="1229">
        <v>195102</v>
      </c>
      <c r="J30" s="1229">
        <v>185087</v>
      </c>
      <c r="K30" s="1229"/>
      <c r="L30" s="1229"/>
      <c r="M30" s="1229"/>
      <c r="N30" s="1229"/>
      <c r="O30" s="1519" t="s">
        <v>45</v>
      </c>
      <c r="P30" s="1532" t="s">
        <v>413</v>
      </c>
      <c r="Q30" s="1219"/>
      <c r="R30" s="1219"/>
      <c r="S30" s="1532" t="s">
        <v>390</v>
      </c>
      <c r="T30" s="1171"/>
      <c r="U30" s="1172"/>
      <c r="V30" s="1173"/>
      <c r="W30" s="1174"/>
      <c r="X30" s="1175"/>
      <c r="Y30" s="1174"/>
      <c r="AE30" s="1177"/>
      <c r="AF30" s="1177"/>
      <c r="AG30" s="1177"/>
      <c r="AH30" s="1177"/>
      <c r="AI30" s="1177"/>
    </row>
    <row r="31" spans="1:35" s="1176" customFormat="1" x14ac:dyDescent="0.2">
      <c r="A31" s="1546"/>
      <c r="B31" s="1546"/>
      <c r="C31" s="1218" t="s">
        <v>466</v>
      </c>
      <c r="D31" s="1218" t="s">
        <v>14</v>
      </c>
      <c r="E31" s="1218" t="s">
        <v>132</v>
      </c>
      <c r="F31" s="1510">
        <v>39448</v>
      </c>
      <c r="G31" s="1218" t="s">
        <v>510</v>
      </c>
      <c r="H31" s="1218" t="s">
        <v>8</v>
      </c>
      <c r="I31" s="1229">
        <v>112595</v>
      </c>
      <c r="J31" s="1229">
        <v>106791</v>
      </c>
      <c r="K31" s="1497"/>
      <c r="L31" s="1497"/>
      <c r="M31" s="1497"/>
      <c r="N31" s="1497"/>
      <c r="O31" s="1515" t="s">
        <v>45</v>
      </c>
      <c r="P31" s="1532"/>
      <c r="Q31" s="1219"/>
      <c r="R31" s="1219"/>
      <c r="S31" s="1532"/>
      <c r="T31" s="1171"/>
      <c r="U31" s="1172"/>
      <c r="V31" s="1173"/>
      <c r="W31" s="1174"/>
      <c r="X31" s="1175"/>
      <c r="Y31" s="1174"/>
      <c r="AE31" s="1177"/>
      <c r="AF31" s="1177"/>
      <c r="AG31" s="1177"/>
      <c r="AH31" s="1177"/>
      <c r="AI31" s="1177"/>
    </row>
    <row r="32" spans="1:35" s="1196" customFormat="1" x14ac:dyDescent="0.2">
      <c r="A32" s="1548" t="s">
        <v>415</v>
      </c>
      <c r="B32" s="1549"/>
      <c r="C32" s="1550" t="s">
        <v>412</v>
      </c>
      <c r="D32" s="1201" t="s">
        <v>7</v>
      </c>
      <c r="E32" s="1201" t="s">
        <v>44</v>
      </c>
      <c r="F32" s="1511">
        <v>39786</v>
      </c>
      <c r="G32" s="1201" t="s">
        <v>680</v>
      </c>
      <c r="H32" s="1201" t="s">
        <v>8</v>
      </c>
      <c r="I32" s="1203"/>
      <c r="J32" s="1203"/>
      <c r="K32" s="1203">
        <v>231531</v>
      </c>
      <c r="L32" s="1203">
        <v>221401</v>
      </c>
      <c r="M32" s="1203">
        <f>K32-I30</f>
        <v>36429</v>
      </c>
      <c r="N32" s="1203">
        <f>L32-J30</f>
        <v>36314</v>
      </c>
      <c r="O32" s="1517" t="s">
        <v>681</v>
      </c>
      <c r="P32" s="1531" t="s">
        <v>386</v>
      </c>
      <c r="Q32" s="1202">
        <v>96498</v>
      </c>
      <c r="R32" s="1202">
        <v>106096</v>
      </c>
      <c r="S32" s="1531" t="s">
        <v>390</v>
      </c>
      <c r="T32" s="1197"/>
      <c r="W32" s="1194"/>
      <c r="X32" s="1194"/>
      <c r="Y32" s="1194"/>
      <c r="Z32" s="1194"/>
      <c r="AA32" s="1194"/>
    </row>
    <row r="33" spans="1:35" s="1196" customFormat="1" x14ac:dyDescent="0.2">
      <c r="A33" s="1548" t="s">
        <v>468</v>
      </c>
      <c r="B33" s="1548"/>
      <c r="C33" s="1201" t="s">
        <v>466</v>
      </c>
      <c r="D33" s="1201" t="s">
        <v>7</v>
      </c>
      <c r="E33" s="1201" t="s">
        <v>44</v>
      </c>
      <c r="F33" s="1511">
        <v>39513</v>
      </c>
      <c r="G33" s="1201" t="s">
        <v>509</v>
      </c>
      <c r="H33" s="1498" t="s">
        <v>8</v>
      </c>
      <c r="I33" s="1497"/>
      <c r="J33" s="1497"/>
      <c r="K33" s="1203">
        <v>70533</v>
      </c>
      <c r="L33" s="1203">
        <v>66347</v>
      </c>
      <c r="M33" s="1203">
        <f>K33-I31</f>
        <v>-42062</v>
      </c>
      <c r="N33" s="1203">
        <f>L33-J31</f>
        <v>-40444</v>
      </c>
      <c r="O33" s="1517" t="s">
        <v>469</v>
      </c>
      <c r="P33" s="1531" t="s">
        <v>467</v>
      </c>
      <c r="Q33" s="1202">
        <v>29542</v>
      </c>
      <c r="R33" s="1202">
        <v>742047</v>
      </c>
      <c r="S33" s="1531" t="s">
        <v>58</v>
      </c>
      <c r="T33" s="1191"/>
      <c r="U33" s="1192"/>
      <c r="V33" s="1193"/>
      <c r="W33" s="1194"/>
      <c r="X33" s="1195"/>
      <c r="Y33" s="1194"/>
      <c r="AE33" s="1197"/>
      <c r="AF33" s="1197"/>
      <c r="AG33" s="1197"/>
      <c r="AH33" s="1197"/>
      <c r="AI33" s="1197"/>
    </row>
    <row r="34" spans="1:35" s="1196" customFormat="1" x14ac:dyDescent="0.2">
      <c r="A34" s="1546" t="s">
        <v>511</v>
      </c>
      <c r="B34" s="1546"/>
      <c r="C34" s="1547" t="s">
        <v>508</v>
      </c>
      <c r="D34" s="1218" t="s">
        <v>14</v>
      </c>
      <c r="E34" s="1218" t="s">
        <v>132</v>
      </c>
      <c r="F34" s="1510">
        <v>39513</v>
      </c>
      <c r="G34" s="1218" t="s">
        <v>689</v>
      </c>
      <c r="H34" s="1218" t="s">
        <v>8</v>
      </c>
      <c r="I34" s="1229">
        <v>53739</v>
      </c>
      <c r="J34" s="1229">
        <v>48014</v>
      </c>
      <c r="K34" s="1203"/>
      <c r="L34" s="1203"/>
      <c r="M34" s="1203"/>
      <c r="N34" s="1203"/>
      <c r="O34" s="1518" t="s">
        <v>45</v>
      </c>
      <c r="P34" s="1531"/>
      <c r="Q34" s="1202">
        <v>0</v>
      </c>
      <c r="R34" s="1202">
        <v>0</v>
      </c>
      <c r="S34" s="1531" t="s">
        <v>67</v>
      </c>
      <c r="T34" s="1191"/>
      <c r="U34" s="1192"/>
      <c r="V34" s="1193"/>
      <c r="W34" s="1194"/>
      <c r="X34" s="1195"/>
      <c r="Y34" s="1194"/>
      <c r="AE34" s="1197"/>
      <c r="AF34" s="1197"/>
      <c r="AG34" s="1197"/>
      <c r="AH34" s="1197"/>
      <c r="AI34" s="1197"/>
    </row>
    <row r="35" spans="1:35" s="1176" customFormat="1" x14ac:dyDescent="0.2">
      <c r="A35" s="1546"/>
      <c r="B35" s="1546"/>
      <c r="C35" s="1218" t="s">
        <v>525</v>
      </c>
      <c r="D35" s="1218" t="s">
        <v>14</v>
      </c>
      <c r="E35" s="1218" t="s">
        <v>132</v>
      </c>
      <c r="F35" s="1510">
        <v>39534</v>
      </c>
      <c r="G35" s="1218" t="s">
        <v>564</v>
      </c>
      <c r="H35" s="1218" t="s">
        <v>8</v>
      </c>
      <c r="I35" s="1229">
        <v>323698</v>
      </c>
      <c r="J35" s="1229">
        <v>294273</v>
      </c>
      <c r="K35" s="1229"/>
      <c r="L35" s="1229"/>
      <c r="M35" s="1229"/>
      <c r="N35" s="1229"/>
      <c r="O35" s="1515" t="s">
        <v>45</v>
      </c>
      <c r="P35" s="1532" t="s">
        <v>520</v>
      </c>
      <c r="Q35" s="1219"/>
      <c r="R35" s="1219"/>
      <c r="S35" s="1532" t="s">
        <v>58</v>
      </c>
      <c r="T35" s="1177"/>
      <c r="W35" s="1174"/>
      <c r="X35" s="1174"/>
      <c r="Y35" s="1174"/>
      <c r="Z35" s="1174"/>
      <c r="AA35" s="1174"/>
    </row>
    <row r="36" spans="1:35" s="1176" customFormat="1" x14ac:dyDescent="0.2">
      <c r="A36" s="1546" t="s">
        <v>528</v>
      </c>
      <c r="B36" s="1546"/>
      <c r="C36" s="1218" t="s">
        <v>525</v>
      </c>
      <c r="D36" s="1218" t="s">
        <v>7</v>
      </c>
      <c r="E36" s="1218" t="s">
        <v>132</v>
      </c>
      <c r="F36" s="1510">
        <v>39625</v>
      </c>
      <c r="G36" s="1218" t="s">
        <v>848</v>
      </c>
      <c r="H36" s="1218" t="s">
        <v>8</v>
      </c>
      <c r="I36" s="1229"/>
      <c r="J36" s="1229"/>
      <c r="K36" s="1229">
        <v>568330</v>
      </c>
      <c r="L36" s="1229">
        <v>520969</v>
      </c>
      <c r="M36" s="1229">
        <f>K36-I35</f>
        <v>244632</v>
      </c>
      <c r="N36" s="1229">
        <f>L36-J35</f>
        <v>226696</v>
      </c>
      <c r="O36" s="1515" t="s">
        <v>45</v>
      </c>
      <c r="P36" s="1532" t="s">
        <v>520</v>
      </c>
      <c r="Q36" s="1219"/>
      <c r="R36" s="1219"/>
      <c r="S36" s="1532" t="s">
        <v>58</v>
      </c>
      <c r="T36" s="1177"/>
      <c r="W36" s="1174"/>
      <c r="X36" s="1174"/>
      <c r="Y36" s="1174"/>
      <c r="Z36" s="1174"/>
      <c r="AA36" s="1174"/>
    </row>
    <row r="37" spans="1:35" s="1196" customFormat="1" x14ac:dyDescent="0.2">
      <c r="A37" s="1548" t="s">
        <v>529</v>
      </c>
      <c r="B37" s="1548"/>
      <c r="C37" s="1550" t="s">
        <v>526</v>
      </c>
      <c r="D37" s="1201" t="s">
        <v>7</v>
      </c>
      <c r="E37" s="1201" t="s">
        <v>44</v>
      </c>
      <c r="F37" s="1511">
        <v>39534</v>
      </c>
      <c r="G37" s="1201"/>
      <c r="H37" s="1201" t="s">
        <v>8</v>
      </c>
      <c r="I37" s="1203"/>
      <c r="J37" s="1203"/>
      <c r="K37" s="1203">
        <v>206737</v>
      </c>
      <c r="L37" s="1203">
        <v>179172</v>
      </c>
      <c r="M37" s="1203"/>
      <c r="N37" s="1203"/>
      <c r="O37" s="1518" t="s">
        <v>527</v>
      </c>
      <c r="P37" s="1531" t="s">
        <v>523</v>
      </c>
      <c r="Q37" s="1202">
        <v>126260</v>
      </c>
      <c r="R37" s="1202">
        <v>153825</v>
      </c>
      <c r="S37" s="1531" t="s">
        <v>390</v>
      </c>
      <c r="T37" s="1197"/>
      <c r="W37" s="1194"/>
      <c r="X37" s="1194"/>
      <c r="Y37" s="1194"/>
      <c r="Z37" s="1194"/>
      <c r="AA37" s="1194"/>
    </row>
    <row r="38" spans="1:35" s="1245" customFormat="1" x14ac:dyDescent="0.2">
      <c r="A38" s="1546"/>
      <c r="B38" s="1546" t="s">
        <v>560</v>
      </c>
      <c r="C38" s="1218" t="s">
        <v>563</v>
      </c>
      <c r="D38" s="1218" t="s">
        <v>14</v>
      </c>
      <c r="E38" s="1218" t="s">
        <v>132</v>
      </c>
      <c r="F38" s="1510">
        <v>39625</v>
      </c>
      <c r="G38" s="1218" t="s">
        <v>887</v>
      </c>
      <c r="H38" s="1218" t="s">
        <v>8</v>
      </c>
      <c r="I38" s="1229">
        <v>1159923</v>
      </c>
      <c r="J38" s="1229">
        <v>1089346</v>
      </c>
      <c r="K38" s="1229"/>
      <c r="L38" s="1229"/>
      <c r="M38" s="1229"/>
      <c r="N38" s="1229"/>
      <c r="O38" s="1515" t="s">
        <v>45</v>
      </c>
      <c r="P38" s="1532"/>
      <c r="Q38" s="1219"/>
      <c r="R38" s="1219"/>
      <c r="S38" s="1532" t="s">
        <v>67</v>
      </c>
      <c r="T38" s="1246"/>
      <c r="W38" s="1243"/>
      <c r="X38" s="1243"/>
      <c r="Y38" s="1243"/>
      <c r="Z38" s="1243"/>
      <c r="AA38" s="1243"/>
    </row>
    <row r="39" spans="1:35" s="1176" customFormat="1" x14ac:dyDescent="0.2">
      <c r="A39" s="1546" t="s">
        <v>561</v>
      </c>
      <c r="B39" s="1546"/>
      <c r="C39" s="1218" t="s">
        <v>590</v>
      </c>
      <c r="D39" s="1218" t="s">
        <v>14</v>
      </c>
      <c r="E39" s="1218" t="s">
        <v>132</v>
      </c>
      <c r="F39" s="1510">
        <v>39625</v>
      </c>
      <c r="G39" s="1218" t="s">
        <v>591</v>
      </c>
      <c r="H39" s="1218" t="s">
        <v>592</v>
      </c>
      <c r="I39" s="1229"/>
      <c r="J39" s="1229"/>
      <c r="K39" s="1229"/>
      <c r="L39" s="1229"/>
      <c r="M39" s="1229"/>
      <c r="N39" s="1229"/>
      <c r="O39" s="1515"/>
      <c r="P39" s="1532"/>
      <c r="Q39" s="1219"/>
      <c r="R39" s="1219"/>
      <c r="S39" s="1532"/>
      <c r="T39" s="1177"/>
      <c r="W39" s="1174"/>
      <c r="X39" s="1174"/>
      <c r="Y39" s="1174"/>
      <c r="Z39" s="1174"/>
      <c r="AA39" s="1174"/>
    </row>
    <row r="40" spans="1:35" s="1176" customFormat="1" x14ac:dyDescent="0.2">
      <c r="A40" s="1546"/>
      <c r="B40" s="1546"/>
      <c r="C40" s="1547" t="s">
        <v>566</v>
      </c>
      <c r="D40" s="1218" t="s">
        <v>14</v>
      </c>
      <c r="E40" s="1218" t="s">
        <v>132</v>
      </c>
      <c r="F40" s="1510">
        <v>39625</v>
      </c>
      <c r="G40" s="1218" t="s">
        <v>630</v>
      </c>
      <c r="H40" s="1218" t="s">
        <v>8</v>
      </c>
      <c r="I40" s="1229">
        <v>140004</v>
      </c>
      <c r="J40" s="1229">
        <v>125345</v>
      </c>
      <c r="K40" s="1229"/>
      <c r="L40" s="1229"/>
      <c r="M40" s="1229"/>
      <c r="N40" s="1229"/>
      <c r="O40" s="1519" t="s">
        <v>567</v>
      </c>
      <c r="P40" s="1532" t="s">
        <v>554</v>
      </c>
      <c r="Q40" s="1219"/>
      <c r="R40" s="1219"/>
      <c r="S40" s="1532" t="s">
        <v>67</v>
      </c>
      <c r="T40" s="1177"/>
      <c r="W40" s="1174"/>
      <c r="X40" s="1174"/>
      <c r="Y40" s="1174"/>
      <c r="Z40" s="1174"/>
      <c r="AA40" s="1174"/>
    </row>
    <row r="41" spans="1:35" s="1176" customFormat="1" x14ac:dyDescent="0.2">
      <c r="A41" s="1546"/>
      <c r="B41" s="1546"/>
      <c r="C41" s="1218" t="s">
        <v>597</v>
      </c>
      <c r="D41" s="1218" t="s">
        <v>14</v>
      </c>
      <c r="E41" s="1218" t="s">
        <v>132</v>
      </c>
      <c r="F41" s="1510">
        <v>39653</v>
      </c>
      <c r="G41" s="1218" t="s">
        <v>675</v>
      </c>
      <c r="H41" s="1218" t="s">
        <v>8</v>
      </c>
      <c r="I41" s="1229">
        <v>1969735</v>
      </c>
      <c r="J41" s="1229">
        <v>1608617</v>
      </c>
      <c r="K41" s="1497"/>
      <c r="L41" s="1497"/>
      <c r="M41" s="1497"/>
      <c r="N41" s="1497"/>
      <c r="O41" s="1515" t="s">
        <v>598</v>
      </c>
      <c r="P41" s="1532" t="s">
        <v>520</v>
      </c>
      <c r="Q41" s="1219">
        <v>0</v>
      </c>
      <c r="R41" s="1219">
        <v>0</v>
      </c>
      <c r="S41" s="1532" t="s">
        <v>390</v>
      </c>
      <c r="T41" s="1171"/>
      <c r="U41" s="1172"/>
      <c r="V41" s="1173"/>
      <c r="W41" s="1174"/>
      <c r="X41" s="1175"/>
      <c r="Y41" s="1174"/>
      <c r="AE41" s="1177"/>
      <c r="AF41" s="1177"/>
      <c r="AG41" s="1177"/>
      <c r="AH41" s="1177"/>
      <c r="AI41" s="1177"/>
    </row>
    <row r="42" spans="1:35" s="1234" customFormat="1" x14ac:dyDescent="0.2">
      <c r="A42" s="1548" t="s">
        <v>562</v>
      </c>
      <c r="B42" s="1548"/>
      <c r="C42" s="1201" t="s">
        <v>632</v>
      </c>
      <c r="D42" s="1201" t="s">
        <v>7</v>
      </c>
      <c r="E42" s="1201" t="s">
        <v>44</v>
      </c>
      <c r="F42" s="1511">
        <v>39744</v>
      </c>
      <c r="G42" s="1201" t="s">
        <v>633</v>
      </c>
      <c r="H42" s="1201" t="s">
        <v>8</v>
      </c>
      <c r="I42" s="1203"/>
      <c r="J42" s="1203"/>
      <c r="K42" s="1203">
        <v>377371</v>
      </c>
      <c r="L42" s="1203">
        <v>336544</v>
      </c>
      <c r="M42" s="1203">
        <f>K42-I40</f>
        <v>237367</v>
      </c>
      <c r="N42" s="1203">
        <f>L42-J40</f>
        <v>211199</v>
      </c>
      <c r="O42" s="1517" t="s">
        <v>567</v>
      </c>
      <c r="P42" s="1531" t="s">
        <v>554</v>
      </c>
      <c r="Q42" s="1202">
        <v>185973</v>
      </c>
      <c r="R42" s="1202">
        <v>226076</v>
      </c>
      <c r="S42" s="1531" t="s">
        <v>67</v>
      </c>
      <c r="T42" s="1233"/>
      <c r="W42" s="1235"/>
      <c r="X42" s="1235"/>
      <c r="Y42" s="1235"/>
      <c r="Z42" s="1235"/>
      <c r="AA42" s="1235"/>
    </row>
    <row r="43" spans="1:35" s="1176" customFormat="1" x14ac:dyDescent="0.2">
      <c r="A43" s="1546" t="s">
        <v>596</v>
      </c>
      <c r="B43" s="1546"/>
      <c r="C43" s="1547" t="s">
        <v>683</v>
      </c>
      <c r="D43" s="1218" t="s">
        <v>7</v>
      </c>
      <c r="E43" s="1218" t="s">
        <v>46</v>
      </c>
      <c r="F43" s="1510">
        <v>39786</v>
      </c>
      <c r="G43" s="1218" t="s">
        <v>684</v>
      </c>
      <c r="H43" s="1218" t="s">
        <v>8</v>
      </c>
      <c r="I43" s="1229"/>
      <c r="J43" s="1229"/>
      <c r="K43" s="1229">
        <v>293967</v>
      </c>
      <c r="L43" s="1229">
        <v>240073</v>
      </c>
      <c r="M43" s="1229">
        <f>K43-I41</f>
        <v>-1675768</v>
      </c>
      <c r="N43" s="1229">
        <f>L43-J41</f>
        <v>-1368544</v>
      </c>
      <c r="O43" s="1515" t="s">
        <v>45</v>
      </c>
      <c r="P43" s="1532" t="s">
        <v>520</v>
      </c>
      <c r="Q43" s="1219">
        <v>0</v>
      </c>
      <c r="R43" s="1219">
        <v>0</v>
      </c>
      <c r="S43" s="1532" t="s">
        <v>390</v>
      </c>
      <c r="T43" s="1177"/>
      <c r="W43" s="1174"/>
      <c r="X43" s="1174"/>
      <c r="Y43" s="1174"/>
      <c r="Z43" s="1174"/>
      <c r="AA43" s="1174"/>
    </row>
    <row r="44" spans="1:35" s="1176" customFormat="1" x14ac:dyDescent="0.2">
      <c r="A44" s="1546" t="s">
        <v>603</v>
      </c>
      <c r="B44" s="1546"/>
      <c r="C44" s="1218" t="s">
        <v>605</v>
      </c>
      <c r="D44" s="1218" t="s">
        <v>7</v>
      </c>
      <c r="E44" s="1218" t="s">
        <v>132</v>
      </c>
      <c r="F44" s="1510">
        <v>39709</v>
      </c>
      <c r="G44" s="1218" t="s">
        <v>849</v>
      </c>
      <c r="H44" s="1218" t="s">
        <v>8</v>
      </c>
      <c r="I44" s="1229"/>
      <c r="J44" s="1229"/>
      <c r="K44" s="1229">
        <v>488000</v>
      </c>
      <c r="L44" s="1229">
        <v>415791</v>
      </c>
      <c r="M44" s="1229"/>
      <c r="N44" s="1229"/>
      <c r="O44" s="1515" t="s">
        <v>45</v>
      </c>
      <c r="P44" s="1532" t="s">
        <v>601</v>
      </c>
      <c r="Q44" s="1219"/>
      <c r="R44" s="1219"/>
      <c r="S44" s="1532" t="s">
        <v>58</v>
      </c>
      <c r="T44" s="1177"/>
      <c r="W44" s="1174"/>
      <c r="X44" s="1174"/>
      <c r="Y44" s="1174"/>
      <c r="Z44" s="1174"/>
      <c r="AA44" s="1174"/>
    </row>
    <row r="45" spans="1:35" s="1234" customFormat="1" x14ac:dyDescent="0.2">
      <c r="A45" s="1548" t="s">
        <v>604</v>
      </c>
      <c r="B45" s="1548"/>
      <c r="C45" s="1550" t="s">
        <v>634</v>
      </c>
      <c r="D45" s="1201" t="s">
        <v>7</v>
      </c>
      <c r="E45" s="1201" t="s">
        <v>44</v>
      </c>
      <c r="F45" s="1511">
        <v>39709</v>
      </c>
      <c r="G45" s="1201"/>
      <c r="H45" s="1201" t="s">
        <v>8</v>
      </c>
      <c r="I45" s="1203"/>
      <c r="J45" s="1203"/>
      <c r="K45" s="1203">
        <v>241236</v>
      </c>
      <c r="L45" s="1203">
        <v>209071</v>
      </c>
      <c r="M45" s="1203"/>
      <c r="N45" s="1203"/>
      <c r="O45" s="1518" t="s">
        <v>565</v>
      </c>
      <c r="P45" s="1531"/>
      <c r="Q45" s="1202">
        <v>126260</v>
      </c>
      <c r="R45" s="1202">
        <v>153825</v>
      </c>
      <c r="S45" s="1531" t="s">
        <v>390</v>
      </c>
      <c r="T45" s="1233"/>
      <c r="W45" s="1235"/>
      <c r="X45" s="1235"/>
      <c r="Y45" s="1235"/>
      <c r="Z45" s="1235"/>
      <c r="AA45" s="1235"/>
    </row>
    <row r="46" spans="1:35" s="430" customFormat="1" ht="13.5" thickBot="1" x14ac:dyDescent="0.25">
      <c r="A46" s="1545"/>
      <c r="B46" s="1545"/>
      <c r="C46" s="1551"/>
      <c r="D46" s="753"/>
      <c r="E46" s="753"/>
      <c r="F46" s="753"/>
      <c r="G46" s="753"/>
      <c r="H46" s="753"/>
      <c r="I46" s="1500"/>
      <c r="J46" s="1500"/>
      <c r="K46" s="1500"/>
      <c r="L46" s="1500"/>
      <c r="M46" s="1500"/>
      <c r="N46" s="1500"/>
      <c r="O46" s="1520"/>
      <c r="P46" s="1530"/>
      <c r="Q46" s="1495"/>
      <c r="R46" s="1495"/>
      <c r="S46" s="1530"/>
      <c r="T46" s="621"/>
      <c r="W46" s="26"/>
      <c r="X46" s="26"/>
      <c r="Y46" s="26"/>
      <c r="Z46" s="26"/>
      <c r="AA46" s="26"/>
    </row>
    <row r="47" spans="1:35" s="1588" customFormat="1" ht="19.5" thickTop="1" thickBot="1" x14ac:dyDescent="0.25">
      <c r="A47" s="1581"/>
      <c r="B47" s="1581"/>
      <c r="C47" s="1582" t="s">
        <v>460</v>
      </c>
      <c r="D47" s="1583"/>
      <c r="E47" s="1583"/>
      <c r="F47" s="1583"/>
      <c r="G47" s="1583"/>
      <c r="H47" s="1583"/>
      <c r="I47" s="1584"/>
      <c r="J47" s="1584"/>
      <c r="K47" s="1584"/>
      <c r="L47" s="1584"/>
      <c r="M47" s="1584"/>
      <c r="N47" s="1584"/>
      <c r="O47" s="1585"/>
      <c r="P47" s="1586"/>
      <c r="Q47" s="1327"/>
      <c r="R47" s="1327"/>
      <c r="S47" s="1586"/>
      <c r="T47" s="1587"/>
    </row>
    <row r="48" spans="1:35" s="1245" customFormat="1" ht="13.5" thickTop="1" x14ac:dyDescent="0.2">
      <c r="A48" s="1553"/>
      <c r="B48" s="1553"/>
      <c r="C48" s="1554" t="s">
        <v>635</v>
      </c>
      <c r="D48" s="1254" t="s">
        <v>14</v>
      </c>
      <c r="E48" s="1254" t="s">
        <v>132</v>
      </c>
      <c r="F48" s="1536">
        <v>39744</v>
      </c>
      <c r="G48" s="1254" t="s">
        <v>747</v>
      </c>
      <c r="H48" s="1254" t="s">
        <v>8</v>
      </c>
      <c r="I48" s="1255">
        <v>103995</v>
      </c>
      <c r="J48" s="1255">
        <v>100529</v>
      </c>
      <c r="K48" s="1255"/>
      <c r="L48" s="1255"/>
      <c r="M48" s="1255"/>
      <c r="N48" s="1255"/>
      <c r="O48" s="1522" t="s">
        <v>45</v>
      </c>
      <c r="P48" s="1534" t="s">
        <v>628</v>
      </c>
      <c r="Q48" s="1257"/>
      <c r="R48" s="1257"/>
      <c r="S48" s="1534" t="s">
        <v>67</v>
      </c>
      <c r="T48" s="1246"/>
      <c r="W48" s="1243"/>
      <c r="X48" s="1243"/>
      <c r="Y48" s="1243"/>
      <c r="Z48" s="1243"/>
      <c r="AA48" s="1243"/>
    </row>
    <row r="49" spans="1:27" s="1245" customFormat="1" x14ac:dyDescent="0.2">
      <c r="A49" s="1553"/>
      <c r="B49" s="1553"/>
      <c r="C49" s="1254" t="s">
        <v>679</v>
      </c>
      <c r="D49" s="1254" t="s">
        <v>14</v>
      </c>
      <c r="E49" s="1254" t="s">
        <v>132</v>
      </c>
      <c r="F49" s="1536">
        <v>39786</v>
      </c>
      <c r="G49" s="1254" t="s">
        <v>807</v>
      </c>
      <c r="H49" s="1254" t="s">
        <v>8</v>
      </c>
      <c r="I49" s="1255">
        <v>795139</v>
      </c>
      <c r="J49" s="1255">
        <v>728877</v>
      </c>
      <c r="K49" s="1255"/>
      <c r="L49" s="1255"/>
      <c r="M49" s="1255"/>
      <c r="N49" s="1255"/>
      <c r="O49" s="1523" t="s">
        <v>45</v>
      </c>
      <c r="P49" s="1534" t="s">
        <v>668</v>
      </c>
      <c r="Q49" s="1257"/>
      <c r="R49" s="1257"/>
      <c r="S49" s="1534" t="s">
        <v>669</v>
      </c>
      <c r="T49" s="1246"/>
      <c r="W49" s="1243"/>
      <c r="X49" s="1243"/>
      <c r="Y49" s="1243"/>
      <c r="Z49" s="1243"/>
      <c r="AA49" s="1243"/>
    </row>
    <row r="50" spans="1:27" s="1245" customFormat="1" x14ac:dyDescent="0.2">
      <c r="A50" s="1553"/>
      <c r="B50" s="1553"/>
      <c r="C50" s="1254" t="s">
        <v>685</v>
      </c>
      <c r="D50" s="1254" t="s">
        <v>14</v>
      </c>
      <c r="E50" s="1254" t="s">
        <v>132</v>
      </c>
      <c r="F50" s="1536">
        <v>39786</v>
      </c>
      <c r="G50" s="1254" t="s">
        <v>807</v>
      </c>
      <c r="H50" s="1254" t="s">
        <v>8</v>
      </c>
      <c r="I50" s="1255">
        <v>246051</v>
      </c>
      <c r="J50" s="1255">
        <v>233584</v>
      </c>
      <c r="K50" s="1255"/>
      <c r="L50" s="1255"/>
      <c r="M50" s="1255"/>
      <c r="N50" s="1255"/>
      <c r="O50" s="1523" t="s">
        <v>45</v>
      </c>
      <c r="P50" s="1534" t="s">
        <v>670</v>
      </c>
      <c r="Q50" s="1257"/>
      <c r="R50" s="1257"/>
      <c r="S50" s="1534" t="s">
        <v>67</v>
      </c>
      <c r="T50" s="1246"/>
      <c r="W50" s="1243"/>
      <c r="X50" s="1243"/>
      <c r="Y50" s="1243"/>
      <c r="Z50" s="1243"/>
      <c r="AA50" s="1243"/>
    </row>
    <row r="51" spans="1:27" s="1276" customFormat="1" x14ac:dyDescent="0.2">
      <c r="A51" s="1552" t="s">
        <v>666</v>
      </c>
      <c r="B51" s="1555"/>
      <c r="C51" s="1556" t="s">
        <v>748</v>
      </c>
      <c r="D51" s="1264" t="s">
        <v>7</v>
      </c>
      <c r="E51" s="1264" t="s">
        <v>44</v>
      </c>
      <c r="F51" s="1537">
        <v>39835</v>
      </c>
      <c r="G51" s="1264" t="s">
        <v>749</v>
      </c>
      <c r="H51" s="1264" t="s">
        <v>8</v>
      </c>
      <c r="I51" s="1496"/>
      <c r="J51" s="1496"/>
      <c r="K51" s="1496">
        <v>103300</v>
      </c>
      <c r="L51" s="1496">
        <v>99857</v>
      </c>
      <c r="M51" s="1496">
        <f>I48-K51</f>
        <v>695</v>
      </c>
      <c r="N51" s="1496">
        <f>J48-L51</f>
        <v>672</v>
      </c>
      <c r="O51" s="1524" t="s">
        <v>746</v>
      </c>
      <c r="P51" s="1533" t="s">
        <v>37</v>
      </c>
      <c r="Q51" s="1265">
        <v>52239</v>
      </c>
      <c r="R51" s="1265">
        <v>55651</v>
      </c>
      <c r="S51" s="1533" t="s">
        <v>67</v>
      </c>
      <c r="T51" s="1275"/>
      <c r="W51" s="1277"/>
      <c r="X51" s="1277"/>
      <c r="Y51" s="1277"/>
      <c r="Z51" s="1277"/>
      <c r="AA51" s="1277"/>
    </row>
    <row r="52" spans="1:27" s="1271" customFormat="1" x14ac:dyDescent="0.2">
      <c r="A52" s="1552" t="s">
        <v>676</v>
      </c>
      <c r="B52" s="1552" t="s">
        <v>409</v>
      </c>
      <c r="C52" s="1556" t="s">
        <v>383</v>
      </c>
      <c r="D52" s="1264" t="s">
        <v>7</v>
      </c>
      <c r="E52" s="1264" t="s">
        <v>44</v>
      </c>
      <c r="F52" s="1537">
        <v>39835</v>
      </c>
      <c r="G52" s="1264" t="s">
        <v>745</v>
      </c>
      <c r="H52" s="1264" t="s">
        <v>8</v>
      </c>
      <c r="I52" s="1496"/>
      <c r="J52" s="1496"/>
      <c r="K52" s="1496">
        <v>630859</v>
      </c>
      <c r="L52" s="1496">
        <v>554993</v>
      </c>
      <c r="M52" s="1496">
        <f>K52-I28</f>
        <v>-417188</v>
      </c>
      <c r="N52" s="1496">
        <f>L52-J28</f>
        <v>-405716</v>
      </c>
      <c r="O52" s="1524" t="s">
        <v>746</v>
      </c>
      <c r="P52" s="1533" t="s">
        <v>41</v>
      </c>
      <c r="Q52" s="1265">
        <v>345716</v>
      </c>
      <c r="R52" s="1265">
        <v>420891</v>
      </c>
      <c r="S52" s="1533" t="s">
        <v>67</v>
      </c>
      <c r="T52" s="1270"/>
      <c r="W52" s="1272"/>
      <c r="X52" s="1272"/>
      <c r="Y52" s="1272"/>
      <c r="Z52" s="1272"/>
      <c r="AA52" s="1272"/>
    </row>
    <row r="53" spans="1:27" s="1271" customFormat="1" x14ac:dyDescent="0.2">
      <c r="A53" s="1552" t="s">
        <v>674</v>
      </c>
      <c r="B53" s="1552" t="s">
        <v>560</v>
      </c>
      <c r="C53" s="1264" t="s">
        <v>888</v>
      </c>
      <c r="D53" s="1264" t="s">
        <v>7</v>
      </c>
      <c r="E53" s="1264" t="s">
        <v>44</v>
      </c>
      <c r="F53" s="1537">
        <v>39989</v>
      </c>
      <c r="G53" s="1264" t="s">
        <v>633</v>
      </c>
      <c r="H53" s="1264" t="s">
        <v>8</v>
      </c>
      <c r="I53" s="1496"/>
      <c r="J53" s="1496"/>
      <c r="K53" s="1496">
        <v>1201154</v>
      </c>
      <c r="L53" s="1496">
        <v>1096507</v>
      </c>
      <c r="M53" s="1496">
        <f>I38-K53</f>
        <v>-41231</v>
      </c>
      <c r="N53" s="1496">
        <f>J38-L53</f>
        <v>-7161</v>
      </c>
      <c r="O53" s="1524" t="s">
        <v>889</v>
      </c>
      <c r="P53" s="1533" t="s">
        <v>871</v>
      </c>
      <c r="Q53" s="1265">
        <v>614505</v>
      </c>
      <c r="R53" s="1265">
        <v>713136</v>
      </c>
      <c r="S53" s="1533" t="s">
        <v>669</v>
      </c>
      <c r="T53" s="1270"/>
      <c r="W53" s="1272"/>
      <c r="X53" s="1272"/>
      <c r="Y53" s="1272"/>
      <c r="Z53" s="1272"/>
      <c r="AA53" s="1272"/>
    </row>
    <row r="54" spans="1:27" s="1276" customFormat="1" x14ac:dyDescent="0.2">
      <c r="A54" s="1557" t="s">
        <v>678</v>
      </c>
      <c r="B54" s="1558"/>
      <c r="C54" s="1556" t="s">
        <v>808</v>
      </c>
      <c r="D54" s="1264" t="s">
        <v>7</v>
      </c>
      <c r="E54" s="1264" t="s">
        <v>44</v>
      </c>
      <c r="F54" s="1537">
        <v>39898</v>
      </c>
      <c r="G54" s="1264" t="s">
        <v>809</v>
      </c>
      <c r="H54" s="1264" t="s">
        <v>8</v>
      </c>
      <c r="I54" s="1496"/>
      <c r="J54" s="1496"/>
      <c r="K54" s="1496">
        <v>553722</v>
      </c>
      <c r="L54" s="1496">
        <v>452207</v>
      </c>
      <c r="M54" s="1496">
        <f>I49-K54</f>
        <v>241417</v>
      </c>
      <c r="N54" s="1496">
        <f>J49-L54</f>
        <v>276670</v>
      </c>
      <c r="O54" s="1524" t="s">
        <v>636</v>
      </c>
      <c r="P54" s="1533" t="s">
        <v>668</v>
      </c>
      <c r="Q54" s="1265">
        <v>263998</v>
      </c>
      <c r="R54" s="1265">
        <v>356558</v>
      </c>
      <c r="S54" s="1533" t="s">
        <v>669</v>
      </c>
      <c r="T54" s="1275"/>
      <c r="W54" s="1277"/>
      <c r="X54" s="1277"/>
      <c r="Y54" s="1277"/>
      <c r="Z54" s="1277"/>
      <c r="AA54" s="1277"/>
    </row>
    <row r="55" spans="1:27" s="1276" customFormat="1" x14ac:dyDescent="0.2">
      <c r="A55" s="1557" t="s">
        <v>686</v>
      </c>
      <c r="B55" s="1558"/>
      <c r="C55" s="1556" t="s">
        <v>810</v>
      </c>
      <c r="D55" s="1264" t="s">
        <v>7</v>
      </c>
      <c r="E55" s="1264" t="s">
        <v>44</v>
      </c>
      <c r="F55" s="1537">
        <v>39898</v>
      </c>
      <c r="G55" s="1264" t="s">
        <v>809</v>
      </c>
      <c r="H55" s="1264" t="s">
        <v>8</v>
      </c>
      <c r="I55" s="1496"/>
      <c r="J55" s="1496"/>
      <c r="K55" s="1496">
        <v>267569</v>
      </c>
      <c r="L55" s="1496">
        <v>253667</v>
      </c>
      <c r="M55" s="1496">
        <f>I50-K55</f>
        <v>-21518</v>
      </c>
      <c r="N55" s="1496">
        <f>J50-L55</f>
        <v>-20083</v>
      </c>
      <c r="O55" s="1524" t="s">
        <v>636</v>
      </c>
      <c r="P55" s="1533" t="s">
        <v>189</v>
      </c>
      <c r="Q55" s="1265">
        <v>55910</v>
      </c>
      <c r="R55" s="1265">
        <v>69583</v>
      </c>
      <c r="S55" s="1533" t="s">
        <v>67</v>
      </c>
      <c r="T55" s="1275"/>
      <c r="W55" s="1277"/>
      <c r="X55" s="1277"/>
      <c r="Y55" s="1277"/>
      <c r="Z55" s="1277"/>
      <c r="AA55" s="1277"/>
    </row>
    <row r="56" spans="1:27" s="1271" customFormat="1" x14ac:dyDescent="0.2">
      <c r="A56" s="1552" t="s">
        <v>687</v>
      </c>
      <c r="B56" s="1552"/>
      <c r="C56" s="1556" t="s">
        <v>671</v>
      </c>
      <c r="D56" s="1264" t="s">
        <v>7</v>
      </c>
      <c r="E56" s="1264" t="s">
        <v>44</v>
      </c>
      <c r="F56" s="1537">
        <v>39786</v>
      </c>
      <c r="G56" s="1264"/>
      <c r="H56" s="1264" t="s">
        <v>8</v>
      </c>
      <c r="I56" s="1496"/>
      <c r="J56" s="1496"/>
      <c r="K56" s="1496">
        <v>692854</v>
      </c>
      <c r="L56" s="1496">
        <v>635116</v>
      </c>
      <c r="M56" s="1496"/>
      <c r="N56" s="1496"/>
      <c r="O56" s="1521" t="s">
        <v>636</v>
      </c>
      <c r="P56" s="1533" t="s">
        <v>673</v>
      </c>
      <c r="Q56" s="1265">
        <v>1059543</v>
      </c>
      <c r="R56" s="1265">
        <v>1114758</v>
      </c>
      <c r="S56" s="1533" t="s">
        <v>58</v>
      </c>
      <c r="T56" s="1270"/>
      <c r="W56" s="1272"/>
      <c r="X56" s="1272"/>
      <c r="Y56" s="1272"/>
      <c r="Z56" s="1272"/>
      <c r="AA56" s="1272"/>
    </row>
    <row r="57" spans="1:27" s="1245" customFormat="1" x14ac:dyDescent="0.2">
      <c r="A57" s="1553"/>
      <c r="B57" s="1553"/>
      <c r="C57" s="1254" t="s">
        <v>751</v>
      </c>
      <c r="D57" s="1254" t="s">
        <v>14</v>
      </c>
      <c r="E57" s="1254" t="s">
        <v>132</v>
      </c>
      <c r="F57" s="1536">
        <v>39835</v>
      </c>
      <c r="G57" s="1254" t="s">
        <v>851</v>
      </c>
      <c r="H57" s="1254" t="s">
        <v>8</v>
      </c>
      <c r="I57" s="1255">
        <v>205290</v>
      </c>
      <c r="J57" s="1255">
        <v>190470</v>
      </c>
      <c r="K57" s="1255"/>
      <c r="L57" s="1255"/>
      <c r="M57" s="1255"/>
      <c r="N57" s="1255"/>
      <c r="O57" s="1523" t="s">
        <v>45</v>
      </c>
      <c r="P57" s="1534" t="s">
        <v>628</v>
      </c>
      <c r="Q57" s="1257"/>
      <c r="R57" s="1257"/>
      <c r="S57" s="1534" t="s">
        <v>67</v>
      </c>
      <c r="T57" s="1246"/>
      <c r="W57" s="1243"/>
      <c r="X57" s="1243"/>
      <c r="Y57" s="1243"/>
      <c r="Z57" s="1243"/>
      <c r="AA57" s="1243"/>
    </row>
    <row r="58" spans="1:27" s="1271" customFormat="1" x14ac:dyDescent="0.2">
      <c r="A58" s="1552" t="s">
        <v>750</v>
      </c>
      <c r="B58" s="1552"/>
      <c r="C58" s="1556" t="s">
        <v>751</v>
      </c>
      <c r="D58" s="1264" t="s">
        <v>7</v>
      </c>
      <c r="E58" s="1264" t="s">
        <v>44</v>
      </c>
      <c r="F58" s="1537">
        <v>39926</v>
      </c>
      <c r="G58" s="1264" t="s">
        <v>852</v>
      </c>
      <c r="H58" s="1264" t="s">
        <v>8</v>
      </c>
      <c r="I58" s="1496"/>
      <c r="J58" s="1496"/>
      <c r="K58" s="1496">
        <v>230414</v>
      </c>
      <c r="L58" s="1496">
        <v>213781</v>
      </c>
      <c r="M58" s="1496">
        <f>K58-I57</f>
        <v>25124</v>
      </c>
      <c r="N58" s="1496">
        <f>L58-J57</f>
        <v>23311</v>
      </c>
      <c r="O58" s="1524" t="s">
        <v>853</v>
      </c>
      <c r="P58" s="1533" t="s">
        <v>845</v>
      </c>
      <c r="Q58" s="1265">
        <v>112162</v>
      </c>
      <c r="R58" s="1265">
        <v>128556</v>
      </c>
      <c r="S58" s="1533" t="s">
        <v>67</v>
      </c>
      <c r="T58" s="1270"/>
      <c r="W58" s="1272"/>
      <c r="X58" s="1272"/>
      <c r="Y58" s="1272"/>
      <c r="Z58" s="1272"/>
      <c r="AA58" s="1272"/>
    </row>
    <row r="59" spans="1:27" s="1245" customFormat="1" x14ac:dyDescent="0.2">
      <c r="A59" s="1553"/>
      <c r="B59" s="1553"/>
      <c r="C59" s="1554" t="s">
        <v>756</v>
      </c>
      <c r="D59" s="1254" t="s">
        <v>14</v>
      </c>
      <c r="E59" s="1254" t="s">
        <v>132</v>
      </c>
      <c r="F59" s="1536">
        <v>39870</v>
      </c>
      <c r="G59" s="1254" t="s">
        <v>1024</v>
      </c>
      <c r="H59" s="1254" t="s">
        <v>8</v>
      </c>
      <c r="I59" s="1255">
        <v>148212</v>
      </c>
      <c r="J59" s="1255">
        <v>128451</v>
      </c>
      <c r="K59" s="1255"/>
      <c r="L59" s="1255"/>
      <c r="M59" s="1255"/>
      <c r="N59" s="1255"/>
      <c r="O59" s="1523" t="s">
        <v>45</v>
      </c>
      <c r="P59" s="1534" t="s">
        <v>758</v>
      </c>
      <c r="Q59" s="1257"/>
      <c r="R59" s="1257"/>
      <c r="S59" s="1534" t="s">
        <v>390</v>
      </c>
      <c r="T59" s="1246"/>
      <c r="W59" s="1243"/>
      <c r="X59" s="1243"/>
      <c r="Y59" s="1243"/>
      <c r="Z59" s="1243"/>
      <c r="AA59" s="1243"/>
    </row>
    <row r="60" spans="1:27" s="1271" customFormat="1" x14ac:dyDescent="0.2">
      <c r="A60" s="1552" t="s">
        <v>755</v>
      </c>
      <c r="B60" s="1552"/>
      <c r="C60" s="1556" t="s">
        <v>756</v>
      </c>
      <c r="D60" s="1264" t="s">
        <v>7</v>
      </c>
      <c r="E60" s="1264" t="s">
        <v>44</v>
      </c>
      <c r="F60" s="1537">
        <v>40164</v>
      </c>
      <c r="G60" s="1264" t="s">
        <v>1016</v>
      </c>
      <c r="H60" s="1264" t="s">
        <v>8</v>
      </c>
      <c r="I60" s="1496"/>
      <c r="J60" s="1496"/>
      <c r="K60" s="1496">
        <v>143436</v>
      </c>
      <c r="L60" s="1496">
        <v>137022</v>
      </c>
      <c r="M60" s="1496">
        <f>K60-I59</f>
        <v>-4776</v>
      </c>
      <c r="N60" s="1496">
        <f>L60-J59</f>
        <v>8571</v>
      </c>
      <c r="O60" s="1524" t="s">
        <v>1025</v>
      </c>
      <c r="P60" s="1533" t="s">
        <v>753</v>
      </c>
      <c r="Q60" s="1265">
        <v>59857</v>
      </c>
      <c r="R60" s="1265">
        <v>65951</v>
      </c>
      <c r="S60" s="1533" t="s">
        <v>390</v>
      </c>
      <c r="T60" s="1270"/>
      <c r="W60" s="1272"/>
      <c r="X60" s="1272"/>
      <c r="Y60" s="1272"/>
      <c r="Z60" s="1272"/>
      <c r="AA60" s="1272"/>
    </row>
    <row r="61" spans="1:27" s="1245" customFormat="1" x14ac:dyDescent="0.2">
      <c r="A61" s="1553"/>
      <c r="B61" s="1553"/>
      <c r="C61" s="1554" t="s">
        <v>811</v>
      </c>
      <c r="D61" s="1254" t="s">
        <v>14</v>
      </c>
      <c r="E61" s="1254" t="s">
        <v>132</v>
      </c>
      <c r="F61" s="1536">
        <v>39898</v>
      </c>
      <c r="G61" s="1254" t="s">
        <v>857</v>
      </c>
      <c r="H61" s="1254" t="s">
        <v>8</v>
      </c>
      <c r="I61" s="1255">
        <v>245796</v>
      </c>
      <c r="J61" s="1255">
        <v>225313</v>
      </c>
      <c r="K61" s="1255"/>
      <c r="L61" s="1255"/>
      <c r="M61" s="1255"/>
      <c r="N61" s="1255"/>
      <c r="O61" s="1523" t="s">
        <v>45</v>
      </c>
      <c r="P61" s="1534" t="s">
        <v>33</v>
      </c>
      <c r="Q61" s="1257"/>
      <c r="R61" s="1257"/>
      <c r="S61" s="1534" t="s">
        <v>440</v>
      </c>
      <c r="T61" s="1246"/>
      <c r="W61" s="1243"/>
      <c r="X61" s="1243"/>
      <c r="Y61" s="1243"/>
      <c r="Z61" s="1243"/>
      <c r="AA61" s="1243"/>
    </row>
    <row r="62" spans="1:27" s="1271" customFormat="1" x14ac:dyDescent="0.2">
      <c r="A62" s="1552" t="s">
        <v>812</v>
      </c>
      <c r="B62" s="1552"/>
      <c r="C62" s="1264" t="s">
        <v>811</v>
      </c>
      <c r="D62" s="1264" t="s">
        <v>7</v>
      </c>
      <c r="E62" s="1264" t="s">
        <v>44</v>
      </c>
      <c r="F62" s="1537">
        <v>39961</v>
      </c>
      <c r="G62" s="1264" t="s">
        <v>855</v>
      </c>
      <c r="H62" s="1264" t="s">
        <v>8</v>
      </c>
      <c r="I62" s="1496"/>
      <c r="J62" s="1496"/>
      <c r="K62" s="1496">
        <v>245795</v>
      </c>
      <c r="L62" s="1496">
        <v>225312</v>
      </c>
      <c r="M62" s="1496">
        <f>I61-K62</f>
        <v>1</v>
      </c>
      <c r="N62" s="1496">
        <f>J61-L62</f>
        <v>1</v>
      </c>
      <c r="O62" s="1524" t="s">
        <v>856</v>
      </c>
      <c r="P62" s="1533" t="s">
        <v>33</v>
      </c>
      <c r="Q62" s="1265">
        <v>125920</v>
      </c>
      <c r="R62" s="1265">
        <v>144132</v>
      </c>
      <c r="S62" s="1533" t="s">
        <v>58</v>
      </c>
      <c r="T62" s="1270"/>
      <c r="W62" s="1272"/>
      <c r="X62" s="1272"/>
      <c r="Y62" s="1272"/>
      <c r="Z62" s="1272"/>
      <c r="AA62" s="1272"/>
    </row>
    <row r="63" spans="1:27" s="1245" customFormat="1" x14ac:dyDescent="0.2">
      <c r="A63" s="1553"/>
      <c r="B63" s="1553"/>
      <c r="C63" s="1554" t="s">
        <v>859</v>
      </c>
      <c r="D63" s="1254" t="s">
        <v>14</v>
      </c>
      <c r="E63" s="1254" t="s">
        <v>132</v>
      </c>
      <c r="F63" s="1536">
        <v>39961</v>
      </c>
      <c r="G63" s="1254" t="s">
        <v>972</v>
      </c>
      <c r="H63" s="1254" t="s">
        <v>8</v>
      </c>
      <c r="I63" s="1255">
        <v>163215</v>
      </c>
      <c r="J63" s="1255">
        <v>154030</v>
      </c>
      <c r="K63" s="1255"/>
      <c r="L63" s="1255"/>
      <c r="M63" s="1255"/>
      <c r="N63" s="1255"/>
      <c r="O63" s="1522" t="s">
        <v>45</v>
      </c>
      <c r="P63" s="1534" t="s">
        <v>861</v>
      </c>
      <c r="Q63" s="1257">
        <v>92684</v>
      </c>
      <c r="R63" s="1257">
        <v>100712</v>
      </c>
      <c r="S63" s="1534" t="s">
        <v>67</v>
      </c>
      <c r="T63" s="1246"/>
      <c r="W63" s="1243"/>
      <c r="X63" s="1243"/>
      <c r="Y63" s="1243"/>
      <c r="Z63" s="1243"/>
      <c r="AA63" s="1243"/>
    </row>
    <row r="64" spans="1:27" s="1245" customFormat="1" x14ac:dyDescent="0.2">
      <c r="A64" s="1553"/>
      <c r="B64" s="1553"/>
      <c r="C64" s="1554" t="s">
        <v>894</v>
      </c>
      <c r="D64" s="1254" t="s">
        <v>14</v>
      </c>
      <c r="E64" s="1254" t="s">
        <v>132</v>
      </c>
      <c r="F64" s="1536">
        <v>39989</v>
      </c>
      <c r="G64" s="1254" t="s">
        <v>1031</v>
      </c>
      <c r="H64" s="1254" t="s">
        <v>8</v>
      </c>
      <c r="I64" s="1255">
        <v>186162</v>
      </c>
      <c r="J64" s="1255">
        <v>154314</v>
      </c>
      <c r="K64" s="1255"/>
      <c r="L64" s="1255"/>
      <c r="M64" s="1255"/>
      <c r="N64" s="1255"/>
      <c r="O64" s="1522" t="s">
        <v>45</v>
      </c>
      <c r="P64" s="1534" t="s">
        <v>902</v>
      </c>
      <c r="Q64" s="1257">
        <v>83805</v>
      </c>
      <c r="R64" s="1257">
        <v>115628</v>
      </c>
      <c r="S64" s="1534" t="s">
        <v>669</v>
      </c>
      <c r="T64" s="1246"/>
      <c r="W64" s="1243"/>
      <c r="X64" s="1243"/>
      <c r="Y64" s="1243"/>
      <c r="Z64" s="1243"/>
      <c r="AA64" s="1243"/>
    </row>
    <row r="65" spans="1:27" s="1245" customFormat="1" x14ac:dyDescent="0.2">
      <c r="A65" s="1553"/>
      <c r="B65" s="1553"/>
      <c r="C65" s="1254" t="s">
        <v>897</v>
      </c>
      <c r="D65" s="1254" t="s">
        <v>14</v>
      </c>
      <c r="E65" s="1254" t="s">
        <v>132</v>
      </c>
      <c r="F65" s="1536">
        <v>40017</v>
      </c>
      <c r="G65" s="1254" t="s">
        <v>1031</v>
      </c>
      <c r="H65" s="1254" t="s">
        <v>8</v>
      </c>
      <c r="I65" s="1255">
        <v>826014</v>
      </c>
      <c r="J65" s="1255">
        <v>740650</v>
      </c>
      <c r="K65" s="1255"/>
      <c r="L65" s="1255"/>
      <c r="M65" s="1255"/>
      <c r="N65" s="1255"/>
      <c r="O65" s="1523" t="s">
        <v>903</v>
      </c>
      <c r="P65" s="1534" t="s">
        <v>874</v>
      </c>
      <c r="Q65" s="1257">
        <v>243188</v>
      </c>
      <c r="R65" s="1257">
        <v>323107</v>
      </c>
      <c r="S65" s="1534" t="s">
        <v>58</v>
      </c>
      <c r="T65" s="1246"/>
      <c r="W65" s="1243"/>
      <c r="X65" s="1243"/>
      <c r="Y65" s="1243"/>
      <c r="Z65" s="1243"/>
      <c r="AA65" s="1243"/>
    </row>
    <row r="66" spans="1:27" s="1245" customFormat="1" x14ac:dyDescent="0.2">
      <c r="A66" s="1553"/>
      <c r="B66" s="1553"/>
      <c r="C66" s="1554" t="s">
        <v>898</v>
      </c>
      <c r="D66" s="1254" t="s">
        <v>14</v>
      </c>
      <c r="E66" s="1254" t="s">
        <v>132</v>
      </c>
      <c r="F66" s="1536">
        <v>40017</v>
      </c>
      <c r="G66" s="1254" t="s">
        <v>1031</v>
      </c>
      <c r="H66" s="1254" t="s">
        <v>8</v>
      </c>
      <c r="I66" s="1255">
        <v>297403</v>
      </c>
      <c r="J66" s="1255">
        <v>276441</v>
      </c>
      <c r="K66" s="1255"/>
      <c r="L66" s="1255"/>
      <c r="M66" s="1255"/>
      <c r="N66" s="1255"/>
      <c r="O66" s="1522" t="s">
        <v>45</v>
      </c>
      <c r="P66" s="1534" t="s">
        <v>905</v>
      </c>
      <c r="Q66" s="1257"/>
      <c r="R66" s="1257"/>
      <c r="S66" s="1534" t="s">
        <v>58</v>
      </c>
      <c r="T66" s="1246"/>
      <c r="W66" s="1243"/>
      <c r="X66" s="1243"/>
      <c r="Y66" s="1243"/>
      <c r="Z66" s="1243"/>
      <c r="AA66" s="1243"/>
    </row>
    <row r="67" spans="1:27" s="1271" customFormat="1" x14ac:dyDescent="0.2">
      <c r="A67" s="1552" t="s">
        <v>858</v>
      </c>
      <c r="B67" s="1552"/>
      <c r="C67" s="1556" t="s">
        <v>859</v>
      </c>
      <c r="D67" s="1264" t="s">
        <v>7</v>
      </c>
      <c r="E67" s="1264" t="s">
        <v>44</v>
      </c>
      <c r="F67" s="1537">
        <v>40080</v>
      </c>
      <c r="G67" s="1264" t="s">
        <v>971</v>
      </c>
      <c r="H67" s="1264" t="s">
        <v>8</v>
      </c>
      <c r="I67" s="1496"/>
      <c r="J67" s="1496"/>
      <c r="K67" s="1496">
        <v>243280</v>
      </c>
      <c r="L67" s="1496">
        <v>219330</v>
      </c>
      <c r="M67" s="1496">
        <f t="shared" ref="M67:N70" si="0">K67-I63</f>
        <v>80065</v>
      </c>
      <c r="N67" s="1496">
        <f t="shared" si="0"/>
        <v>65300</v>
      </c>
      <c r="O67" s="1521" t="s">
        <v>860</v>
      </c>
      <c r="P67" s="1533" t="s">
        <v>65</v>
      </c>
      <c r="Q67" s="1265">
        <v>116725</v>
      </c>
      <c r="R67" s="1265">
        <v>139822</v>
      </c>
      <c r="S67" s="1533" t="s">
        <v>67</v>
      </c>
      <c r="T67" s="1270"/>
      <c r="W67" s="1272"/>
      <c r="X67" s="1272"/>
      <c r="Y67" s="1272"/>
      <c r="Z67" s="1272"/>
      <c r="AA67" s="1272"/>
    </row>
    <row r="68" spans="1:27" s="1271" customFormat="1" x14ac:dyDescent="0.2">
      <c r="A68" s="1552" t="s">
        <v>890</v>
      </c>
      <c r="B68" s="1552"/>
      <c r="C68" s="1556" t="s">
        <v>894</v>
      </c>
      <c r="D68" s="1264" t="s">
        <v>7</v>
      </c>
      <c r="E68" s="1264" t="s">
        <v>44</v>
      </c>
      <c r="F68" s="1537">
        <v>40164</v>
      </c>
      <c r="G68" s="1264" t="s">
        <v>1003</v>
      </c>
      <c r="H68" s="1264" t="s">
        <v>8</v>
      </c>
      <c r="I68" s="1496"/>
      <c r="J68" s="1496"/>
      <c r="K68" s="1496">
        <v>126296</v>
      </c>
      <c r="L68" s="1496">
        <v>119173</v>
      </c>
      <c r="M68" s="1496">
        <f t="shared" si="0"/>
        <v>-59866</v>
      </c>
      <c r="N68" s="1496">
        <f t="shared" si="0"/>
        <v>-35141</v>
      </c>
      <c r="O68" s="1521" t="s">
        <v>901</v>
      </c>
      <c r="P68" s="1533" t="s">
        <v>36</v>
      </c>
      <c r="Q68" s="1265">
        <v>53440</v>
      </c>
      <c r="R68" s="1265">
        <v>60322</v>
      </c>
      <c r="S68" s="1533" t="s">
        <v>669</v>
      </c>
      <c r="T68" s="1270"/>
      <c r="W68" s="1272"/>
      <c r="X68" s="1272"/>
      <c r="Y68" s="1272"/>
      <c r="Z68" s="1272"/>
      <c r="AA68" s="1272"/>
    </row>
    <row r="69" spans="1:27" s="1271" customFormat="1" x14ac:dyDescent="0.2">
      <c r="A69" s="1552" t="s">
        <v>893</v>
      </c>
      <c r="B69" s="1552"/>
      <c r="C69" s="1264" t="s">
        <v>897</v>
      </c>
      <c r="D69" s="1264" t="s">
        <v>7</v>
      </c>
      <c r="E69" s="1264" t="s">
        <v>44</v>
      </c>
      <c r="F69" s="1537">
        <v>40164</v>
      </c>
      <c r="G69" s="1264" t="s">
        <v>1005</v>
      </c>
      <c r="H69" s="1264" t="s">
        <v>8</v>
      </c>
      <c r="I69" s="1496"/>
      <c r="J69" s="1496"/>
      <c r="K69" s="1496">
        <v>808104</v>
      </c>
      <c r="L69" s="1496">
        <v>724592</v>
      </c>
      <c r="M69" s="1496">
        <f t="shared" si="0"/>
        <v>-17910</v>
      </c>
      <c r="N69" s="1496">
        <f t="shared" si="0"/>
        <v>-16058</v>
      </c>
      <c r="O69" s="1524" t="s">
        <v>903</v>
      </c>
      <c r="P69" s="1533" t="s">
        <v>874</v>
      </c>
      <c r="Q69" s="1265">
        <v>235796</v>
      </c>
      <c r="R69" s="1265">
        <v>313982</v>
      </c>
      <c r="S69" s="1533" t="s">
        <v>58</v>
      </c>
      <c r="T69" s="1270"/>
      <c r="W69" s="1272"/>
      <c r="X69" s="1272"/>
      <c r="Y69" s="1272"/>
      <c r="Z69" s="1272"/>
      <c r="AA69" s="1272"/>
    </row>
    <row r="70" spans="1:27" s="1271" customFormat="1" ht="13.5" thickBot="1" x14ac:dyDescent="0.25">
      <c r="A70" s="1552" t="s">
        <v>896</v>
      </c>
      <c r="B70" s="1552"/>
      <c r="C70" s="1556" t="s">
        <v>898</v>
      </c>
      <c r="D70" s="1264" t="s">
        <v>7</v>
      </c>
      <c r="E70" s="1264" t="s">
        <v>44</v>
      </c>
      <c r="F70" s="1537">
        <v>40164</v>
      </c>
      <c r="G70" s="1264" t="s">
        <v>1005</v>
      </c>
      <c r="H70" s="1264" t="s">
        <v>8</v>
      </c>
      <c r="I70" s="1496"/>
      <c r="J70" s="1496"/>
      <c r="K70" s="1496">
        <v>292307</v>
      </c>
      <c r="L70" s="1496">
        <v>271704</v>
      </c>
      <c r="M70" s="1496">
        <f t="shared" si="0"/>
        <v>-5096</v>
      </c>
      <c r="N70" s="1496">
        <f t="shared" si="0"/>
        <v>-4737</v>
      </c>
      <c r="O70" s="1521" t="s">
        <v>904</v>
      </c>
      <c r="P70" s="1533" t="s">
        <v>628</v>
      </c>
      <c r="Q70" s="1265">
        <v>1736611</v>
      </c>
      <c r="R70" s="1265">
        <v>1755968</v>
      </c>
      <c r="S70" s="1533" t="s">
        <v>58</v>
      </c>
      <c r="T70" s="1270"/>
      <c r="W70" s="1272"/>
      <c r="X70" s="1272"/>
      <c r="Y70" s="1272"/>
      <c r="Z70" s="1272"/>
      <c r="AA70" s="1272"/>
    </row>
    <row r="71" spans="1:27" s="1595" customFormat="1" ht="19.5" thickTop="1" thickBot="1" x14ac:dyDescent="0.25">
      <c r="A71" s="1589"/>
      <c r="B71" s="1589"/>
      <c r="C71" s="1590">
        <v>2010</v>
      </c>
      <c r="D71" s="1591"/>
      <c r="E71" s="1591"/>
      <c r="F71" s="1591"/>
      <c r="G71" s="1591"/>
      <c r="H71" s="1591"/>
      <c r="I71" s="1592"/>
      <c r="J71" s="1592"/>
      <c r="K71" s="1592"/>
      <c r="L71" s="1592"/>
      <c r="M71" s="1592"/>
      <c r="N71" s="1592"/>
      <c r="O71" s="1593"/>
      <c r="P71" s="1594"/>
      <c r="Q71" s="2098"/>
      <c r="R71" s="2098"/>
      <c r="S71" s="1594"/>
    </row>
    <row r="72" spans="1:27" s="1251" customFormat="1" ht="13.5" thickTop="1" x14ac:dyDescent="0.2">
      <c r="A72" s="2016"/>
      <c r="B72" s="2016"/>
      <c r="C72" s="2017" t="s">
        <v>891</v>
      </c>
      <c r="D72" s="2018" t="s">
        <v>14</v>
      </c>
      <c r="E72" s="2018" t="s">
        <v>132</v>
      </c>
      <c r="F72" s="2019">
        <v>39989</v>
      </c>
      <c r="G72" s="2018" t="s">
        <v>1024</v>
      </c>
      <c r="H72" s="2018" t="s">
        <v>8</v>
      </c>
      <c r="I72" s="2020">
        <v>3001998</v>
      </c>
      <c r="J72" s="2020">
        <v>2901932</v>
      </c>
      <c r="K72" s="2020"/>
      <c r="L72" s="2020"/>
      <c r="M72" s="2020"/>
      <c r="N72" s="2020"/>
      <c r="O72" s="2021" t="s">
        <v>892</v>
      </c>
      <c r="P72" s="2022" t="s">
        <v>874</v>
      </c>
      <c r="Q72" s="2023">
        <v>811728</v>
      </c>
      <c r="R72" s="2023">
        <v>903937</v>
      </c>
      <c r="S72" s="2022" t="s">
        <v>58</v>
      </c>
      <c r="T72" s="1250"/>
      <c r="W72" s="1252"/>
      <c r="X72" s="1252"/>
      <c r="Y72" s="1252"/>
      <c r="Z72" s="1252"/>
      <c r="AA72" s="1252"/>
    </row>
    <row r="73" spans="1:27" x14ac:dyDescent="0.2">
      <c r="A73" s="2016"/>
      <c r="B73" s="2016"/>
      <c r="C73" s="2018" t="s">
        <v>954</v>
      </c>
      <c r="D73" s="2018" t="s">
        <v>14</v>
      </c>
      <c r="E73" s="2018" t="s">
        <v>132</v>
      </c>
      <c r="F73" s="2019">
        <v>40052</v>
      </c>
      <c r="G73" s="2018" t="s">
        <v>1024</v>
      </c>
      <c r="H73" s="2018" t="s">
        <v>8</v>
      </c>
      <c r="I73" s="2020">
        <v>478327</v>
      </c>
      <c r="J73" s="2020">
        <v>443440</v>
      </c>
      <c r="K73" s="2020"/>
      <c r="L73" s="2020"/>
      <c r="M73" s="2020"/>
      <c r="N73" s="2020"/>
      <c r="O73" s="2024" t="s">
        <v>892</v>
      </c>
      <c r="P73" s="2025" t="s">
        <v>34</v>
      </c>
      <c r="Q73" s="2099">
        <v>137030</v>
      </c>
      <c r="R73" s="2099">
        <v>168231</v>
      </c>
      <c r="S73" s="2025" t="s">
        <v>58</v>
      </c>
    </row>
    <row r="74" spans="1:27" s="1932" customFormat="1" x14ac:dyDescent="0.2">
      <c r="A74" s="1925" t="s">
        <v>899</v>
      </c>
      <c r="B74" s="1925"/>
      <c r="C74" s="2013" t="s">
        <v>891</v>
      </c>
      <c r="D74" s="1926" t="s">
        <v>7</v>
      </c>
      <c r="E74" s="1926" t="s">
        <v>44</v>
      </c>
      <c r="F74" s="1927">
        <v>40164</v>
      </c>
      <c r="G74" s="1926" t="s">
        <v>1003</v>
      </c>
      <c r="H74" s="1926" t="s">
        <v>8</v>
      </c>
      <c r="I74" s="1928"/>
      <c r="J74" s="1928"/>
      <c r="K74" s="1928">
        <v>3048671</v>
      </c>
      <c r="L74" s="1928">
        <v>2729151</v>
      </c>
      <c r="M74" s="1928">
        <f>K74-I72</f>
        <v>46673</v>
      </c>
      <c r="N74" s="1928">
        <f>L74-J72</f>
        <v>-172781</v>
      </c>
      <c r="O74" s="2014" t="s">
        <v>892</v>
      </c>
      <c r="P74" s="2015" t="s">
        <v>874</v>
      </c>
      <c r="Q74" s="1935">
        <v>817673</v>
      </c>
      <c r="R74" s="1935">
        <v>1113376</v>
      </c>
      <c r="S74" s="2015" t="s">
        <v>58</v>
      </c>
      <c r="T74" s="1769"/>
      <c r="W74" s="1940"/>
      <c r="X74" s="1940"/>
      <c r="Y74" s="1940"/>
      <c r="Z74" s="1940"/>
      <c r="AA74" s="1940"/>
    </row>
    <row r="75" spans="1:27" s="77" customFormat="1" x14ac:dyDescent="0.2">
      <c r="A75" s="1925" t="s">
        <v>953</v>
      </c>
      <c r="B75" s="1925"/>
      <c r="C75" s="1926" t="s">
        <v>954</v>
      </c>
      <c r="D75" s="1926" t="s">
        <v>7</v>
      </c>
      <c r="E75" s="1926" t="s">
        <v>44</v>
      </c>
      <c r="F75" s="1927">
        <v>40164</v>
      </c>
      <c r="G75" s="1926" t="s">
        <v>1014</v>
      </c>
      <c r="H75" s="1926" t="s">
        <v>8</v>
      </c>
      <c r="I75" s="1928"/>
      <c r="J75" s="1928"/>
      <c r="K75" s="1928">
        <v>478396</v>
      </c>
      <c r="L75" s="1928">
        <v>443502</v>
      </c>
      <c r="M75" s="1928">
        <f>K75-I73</f>
        <v>69</v>
      </c>
      <c r="N75" s="1928">
        <f>L75-J73</f>
        <v>62</v>
      </c>
      <c r="O75" s="1929" t="s">
        <v>892</v>
      </c>
      <c r="P75" s="1930" t="s">
        <v>34</v>
      </c>
      <c r="Q75" s="2100">
        <v>136972</v>
      </c>
      <c r="R75" s="2100">
        <v>168179</v>
      </c>
      <c r="S75" s="1930" t="s">
        <v>58</v>
      </c>
      <c r="T75" s="430"/>
    </row>
    <row r="76" spans="1:27" s="1932" customFormat="1" x14ac:dyDescent="0.2">
      <c r="A76" s="1925" t="s">
        <v>986</v>
      </c>
      <c r="B76" s="1925"/>
      <c r="C76" s="1926" t="s">
        <v>985</v>
      </c>
      <c r="D76" s="1926" t="s">
        <v>7</v>
      </c>
      <c r="E76" s="1926" t="s">
        <v>44</v>
      </c>
      <c r="F76" s="1927">
        <v>40108</v>
      </c>
      <c r="G76" s="1926"/>
      <c r="H76" s="1926" t="s">
        <v>8</v>
      </c>
      <c r="I76" s="1928"/>
      <c r="J76" s="1928"/>
      <c r="K76" s="1928">
        <v>453475</v>
      </c>
      <c r="L76" s="1928">
        <v>415686</v>
      </c>
      <c r="M76" s="1928"/>
      <c r="N76" s="1928"/>
      <c r="O76" s="1929" t="s">
        <v>892</v>
      </c>
      <c r="P76" s="1930" t="s">
        <v>41</v>
      </c>
      <c r="Q76" s="2100">
        <v>286567</v>
      </c>
      <c r="R76" s="2100">
        <v>321556</v>
      </c>
      <c r="S76" s="1930" t="s">
        <v>58</v>
      </c>
    </row>
    <row r="77" spans="1:27" s="1505" customFormat="1" x14ac:dyDescent="0.2">
      <c r="A77" s="2089" t="s">
        <v>1026</v>
      </c>
      <c r="B77" s="2088"/>
      <c r="C77" s="1249" t="s">
        <v>1027</v>
      </c>
      <c r="D77" s="1249" t="s">
        <v>14</v>
      </c>
      <c r="E77" s="1249" t="s">
        <v>44</v>
      </c>
      <c r="F77" s="2090">
        <v>40164</v>
      </c>
      <c r="G77" s="2088"/>
      <c r="H77" s="1249" t="s">
        <v>8</v>
      </c>
      <c r="I77" s="2101">
        <v>933206</v>
      </c>
      <c r="J77" s="2101">
        <v>855438</v>
      </c>
      <c r="K77" s="2088"/>
      <c r="L77" s="2088"/>
      <c r="M77" s="2088"/>
      <c r="N77" s="2088"/>
      <c r="O77" s="2091" t="s">
        <v>1028</v>
      </c>
      <c r="P77" s="2091" t="s">
        <v>668</v>
      </c>
      <c r="Q77" s="2101">
        <v>724515</v>
      </c>
      <c r="R77" s="2101">
        <v>798548</v>
      </c>
      <c r="S77" s="2092" t="s">
        <v>58</v>
      </c>
    </row>
    <row r="78" spans="1:27" x14ac:dyDescent="0.2">
      <c r="P78" s="1535"/>
      <c r="S78" s="1535"/>
      <c r="T78" s="91"/>
      <c r="U78" s="7"/>
      <c r="V78" s="5"/>
      <c r="W78" s="5"/>
      <c r="X78" s="5"/>
    </row>
    <row r="79" spans="1:27" x14ac:dyDescent="0.2">
      <c r="P79" s="1535"/>
      <c r="S79" s="1535"/>
      <c r="T79" s="91"/>
      <c r="U79" s="7"/>
      <c r="V79" s="5"/>
      <c r="W79" s="5"/>
      <c r="X79" s="5"/>
    </row>
    <row r="80" spans="1:27" x14ac:dyDescent="0.2">
      <c r="P80" s="1535"/>
      <c r="S80" s="1535"/>
      <c r="T80" s="91"/>
      <c r="U80" s="7"/>
      <c r="V80" s="5"/>
      <c r="W80" s="5"/>
      <c r="X80" s="5"/>
    </row>
    <row r="81" spans="3:24" x14ac:dyDescent="0.2">
      <c r="C81" s="1559"/>
      <c r="P81" s="1535"/>
      <c r="S81" s="1535"/>
      <c r="T81" s="91"/>
      <c r="U81" s="7"/>
      <c r="V81" s="5"/>
      <c r="W81" s="5"/>
      <c r="X81" s="5"/>
    </row>
    <row r="82" spans="3:24" x14ac:dyDescent="0.2">
      <c r="P82" s="1535"/>
      <c r="S82" s="1535"/>
      <c r="T82" s="91"/>
      <c r="U82" s="7"/>
      <c r="V82" s="5"/>
      <c r="W82" s="5"/>
      <c r="X82" s="5"/>
    </row>
    <row r="83" spans="3:24" x14ac:dyDescent="0.2">
      <c r="P83" s="1535"/>
      <c r="S83" s="1535"/>
      <c r="T83" s="93"/>
      <c r="U83" s="7"/>
      <c r="V83" s="5"/>
      <c r="W83" s="5"/>
      <c r="X83" s="5"/>
    </row>
    <row r="84" spans="3:24" x14ac:dyDescent="0.2">
      <c r="P84" s="1535"/>
      <c r="S84" s="1535"/>
      <c r="T84" s="93"/>
      <c r="U84" s="7"/>
      <c r="V84" s="5"/>
      <c r="W84" s="5"/>
      <c r="X84" s="5"/>
    </row>
    <row r="85" spans="3:24" x14ac:dyDescent="0.2">
      <c r="P85" s="1535"/>
      <c r="S85" s="1535"/>
      <c r="T85" s="93"/>
      <c r="U85" s="2"/>
    </row>
    <row r="86" spans="3:24" x14ac:dyDescent="0.2">
      <c r="P86" s="1535"/>
      <c r="S86" s="1535"/>
      <c r="T86" s="93"/>
      <c r="U86" s="2"/>
    </row>
    <row r="87" spans="3:24" x14ac:dyDescent="0.2">
      <c r="P87" s="1535"/>
      <c r="S87" s="1535"/>
      <c r="T87" s="93"/>
      <c r="U87" s="2"/>
    </row>
    <row r="88" spans="3:24" x14ac:dyDescent="0.2">
      <c r="P88" s="1535"/>
      <c r="S88" s="1535"/>
      <c r="T88" s="93"/>
      <c r="U88" s="2"/>
    </row>
    <row r="89" spans="3:24" x14ac:dyDescent="0.2">
      <c r="P89" s="1535"/>
      <c r="S89" s="1535"/>
      <c r="T89" s="93"/>
      <c r="U89" s="2"/>
    </row>
    <row r="90" spans="3:24" x14ac:dyDescent="0.2">
      <c r="P90" s="1535"/>
      <c r="S90" s="1535"/>
      <c r="T90" s="93"/>
      <c r="U90" s="2"/>
    </row>
    <row r="91" spans="3:24" x14ac:dyDescent="0.2">
      <c r="P91" s="1535"/>
      <c r="S91" s="1535"/>
      <c r="T91" s="93"/>
      <c r="U91" s="2"/>
    </row>
    <row r="92" spans="3:24" x14ac:dyDescent="0.2">
      <c r="P92" s="1535"/>
      <c r="S92" s="1535"/>
      <c r="T92" s="93"/>
      <c r="U92" s="2"/>
    </row>
    <row r="93" spans="3:24" x14ac:dyDescent="0.2">
      <c r="P93" s="1535"/>
      <c r="S93" s="1535"/>
      <c r="T93" s="93"/>
      <c r="U93" s="2"/>
    </row>
  </sheetData>
  <mergeCells count="13">
    <mergeCell ref="A1:S2"/>
    <mergeCell ref="C3:C5"/>
    <mergeCell ref="U16:V16"/>
    <mergeCell ref="I3:J3"/>
    <mergeCell ref="U19:V19"/>
    <mergeCell ref="K3:L3"/>
    <mergeCell ref="M3:N3"/>
    <mergeCell ref="U3:X3"/>
    <mergeCell ref="U23:V23"/>
    <mergeCell ref="Q4:R4"/>
    <mergeCell ref="U17:V17"/>
    <mergeCell ref="U20:V20"/>
    <mergeCell ref="U18:V18"/>
  </mergeCells>
  <printOptions gridLines="1"/>
  <pageMargins left="0.75" right="0.75" top="1" bottom="1" header="0.5" footer="0.5"/>
  <pageSetup paperSize="17" scale="6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pageSetUpPr fitToPage="1"/>
  </sheetPr>
  <dimension ref="A1:BF254"/>
  <sheetViews>
    <sheetView workbookViewId="0"/>
  </sheetViews>
  <sheetFormatPr defaultRowHeight="12.75" x14ac:dyDescent="0.2"/>
  <cols>
    <col min="1" max="1" width="9.140625" style="98"/>
    <col min="2" max="2" width="8.140625" style="98" hidden="1" customWidth="1"/>
    <col min="3" max="3" width="49.42578125" customWidth="1"/>
    <col min="4" max="4" width="9.42578125" bestFit="1" customWidth="1"/>
    <col min="5" max="5" width="10.7109375" customWidth="1"/>
    <col min="6" max="6" width="31.5703125" customWidth="1"/>
    <col min="7" max="7" width="9.28515625" bestFit="1" customWidth="1"/>
    <col min="8" max="9" width="15.5703125" style="1" customWidth="1"/>
    <col min="10" max="13" width="15.5703125" style="84" customWidth="1"/>
    <col min="14" max="14" width="15.85546875" style="1" customWidth="1"/>
    <col min="15" max="15" width="15.5703125" bestFit="1" customWidth="1"/>
    <col min="16" max="16" width="10.28515625" bestFit="1" customWidth="1"/>
    <col min="17" max="17" width="10.140625" bestFit="1" customWidth="1"/>
    <col min="18" max="18" width="17.85546875" customWidth="1"/>
    <col min="19" max="20" width="16" customWidth="1"/>
    <col min="21" max="21" width="15.85546875" customWidth="1"/>
    <col min="22" max="22" width="13.85546875" style="39" customWidth="1"/>
    <col min="23" max="23" width="12.28515625" customWidth="1"/>
    <col min="24" max="24" width="9.7109375" bestFit="1" customWidth="1"/>
    <col min="25" max="25" width="10.7109375" customWidth="1"/>
    <col min="26" max="26" width="12.28515625" customWidth="1"/>
    <col min="27" max="27" width="10.42578125" customWidth="1"/>
    <col min="33" max="33" width="11.140625" bestFit="1" customWidth="1"/>
    <col min="34" max="34" width="9.42578125" bestFit="1" customWidth="1"/>
    <col min="35" max="37" width="11.140625" bestFit="1" customWidth="1"/>
  </cols>
  <sheetData>
    <row r="1" spans="1:58" ht="12.75" customHeight="1" thickTop="1" x14ac:dyDescent="0.3">
      <c r="C1" s="4255" t="s">
        <v>349</v>
      </c>
      <c r="D1" s="4256"/>
      <c r="E1" s="4256"/>
      <c r="F1" s="4256"/>
      <c r="G1" s="4256"/>
      <c r="H1" s="4256"/>
      <c r="I1" s="4256"/>
      <c r="J1" s="4256"/>
      <c r="K1" s="4256"/>
      <c r="L1" s="4256"/>
      <c r="M1" s="4256"/>
      <c r="N1" s="4256"/>
      <c r="O1" s="4256"/>
      <c r="P1" s="4256"/>
      <c r="Q1" s="4256"/>
      <c r="R1" s="4256"/>
      <c r="S1" s="4256"/>
      <c r="T1" s="4256"/>
      <c r="U1" s="4257"/>
      <c r="V1" s="90"/>
      <c r="W1" s="88"/>
      <c r="X1" s="88"/>
      <c r="Y1" s="88"/>
      <c r="Z1" s="81"/>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29"/>
      <c r="BA1" s="32"/>
      <c r="BB1" s="33"/>
      <c r="BC1" s="34"/>
      <c r="BD1" s="37"/>
      <c r="BE1" s="35" t="s">
        <v>71</v>
      </c>
      <c r="BF1" s="36" t="s">
        <v>84</v>
      </c>
    </row>
    <row r="2" spans="1:58" ht="13.5" customHeight="1" thickBot="1" x14ac:dyDescent="0.35">
      <c r="C2" s="4258"/>
      <c r="D2" s="4259"/>
      <c r="E2" s="4259"/>
      <c r="F2" s="4259"/>
      <c r="G2" s="4259"/>
      <c r="H2" s="4259"/>
      <c r="I2" s="4259"/>
      <c r="J2" s="4259"/>
      <c r="K2" s="4259"/>
      <c r="L2" s="4259"/>
      <c r="M2" s="4259"/>
      <c r="N2" s="4259"/>
      <c r="O2" s="4259"/>
      <c r="P2" s="4259"/>
      <c r="Q2" s="4259"/>
      <c r="R2" s="4259"/>
      <c r="S2" s="4259"/>
      <c r="T2" s="4259"/>
      <c r="U2" s="4260"/>
      <c r="V2" s="90"/>
      <c r="W2" s="88"/>
      <c r="X2" s="88"/>
      <c r="Y2" s="88"/>
      <c r="Z2" s="81"/>
      <c r="AA2" s="39"/>
      <c r="AB2" s="39"/>
      <c r="AC2" s="39"/>
      <c r="AD2" s="39"/>
      <c r="AE2" s="39"/>
      <c r="AF2" s="39"/>
      <c r="AG2" s="39"/>
      <c r="AH2" s="39"/>
      <c r="AI2" s="39"/>
      <c r="AJ2" s="39"/>
      <c r="AK2" s="41"/>
      <c r="AL2" s="41"/>
      <c r="AM2" s="41"/>
      <c r="AN2" s="41"/>
      <c r="AO2" s="41"/>
      <c r="AP2" s="41"/>
      <c r="AQ2" s="41"/>
      <c r="AR2" s="41"/>
      <c r="AS2" s="41"/>
      <c r="AT2" s="41"/>
      <c r="AU2" s="41"/>
      <c r="AV2" s="41"/>
      <c r="AW2" s="41"/>
      <c r="AX2" s="41"/>
      <c r="AY2" s="41"/>
      <c r="AZ2" s="30"/>
      <c r="BA2" s="32"/>
      <c r="BB2" s="33"/>
      <c r="BC2" s="34"/>
      <c r="BD2" s="37"/>
      <c r="BE2" s="35" t="s">
        <v>82</v>
      </c>
      <c r="BF2" s="36" t="s">
        <v>85</v>
      </c>
    </row>
    <row r="3" spans="1:58" ht="14.25" customHeight="1" thickTop="1" thickBot="1" x14ac:dyDescent="0.25">
      <c r="C3" s="132" t="s">
        <v>0</v>
      </c>
      <c r="D3" s="133"/>
      <c r="E3" s="133"/>
      <c r="F3" s="133"/>
      <c r="G3" s="133"/>
      <c r="H3" s="134">
        <v>10000000</v>
      </c>
      <c r="I3" s="134"/>
      <c r="J3" s="249"/>
      <c r="K3" s="249"/>
      <c r="L3" s="249"/>
      <c r="M3" s="249"/>
      <c r="N3" s="134"/>
      <c r="O3" s="133"/>
      <c r="P3" s="133"/>
      <c r="Q3" s="133"/>
      <c r="R3" s="133"/>
      <c r="S3" s="133"/>
      <c r="T3" s="133"/>
      <c r="U3" s="135"/>
      <c r="V3" s="26"/>
      <c r="W3" s="26"/>
      <c r="X3" s="82"/>
      <c r="Y3" s="4231"/>
      <c r="Z3" s="4231"/>
      <c r="AA3" s="39"/>
      <c r="AB3" s="39"/>
      <c r="AC3" s="39"/>
      <c r="AD3" s="39"/>
      <c r="AE3" s="39"/>
      <c r="AF3" s="39"/>
      <c r="AG3" s="39"/>
      <c r="AH3" s="39"/>
      <c r="AI3" s="39"/>
      <c r="AJ3" s="39"/>
      <c r="AK3" s="39"/>
      <c r="AL3" s="39"/>
      <c r="AM3" s="39"/>
      <c r="AN3" s="39"/>
      <c r="AO3" s="39"/>
      <c r="AP3" s="39"/>
      <c r="AQ3" s="39"/>
      <c r="AR3" s="39"/>
      <c r="AS3" s="39"/>
      <c r="AT3" s="39"/>
      <c r="AU3" s="39"/>
      <c r="AV3" s="39"/>
      <c r="AW3" s="39"/>
      <c r="AX3" s="39"/>
      <c r="AY3" s="39"/>
      <c r="BA3" s="32"/>
      <c r="BD3" s="19"/>
      <c r="BE3" s="35" t="s">
        <v>83</v>
      </c>
      <c r="BF3" s="36" t="s">
        <v>54</v>
      </c>
    </row>
    <row r="4" spans="1:58" ht="13.5" thickTop="1" x14ac:dyDescent="0.2">
      <c r="B4" s="614" t="s">
        <v>688</v>
      </c>
      <c r="C4" s="243"/>
      <c r="D4" s="136"/>
      <c r="E4" s="136"/>
      <c r="F4" s="136"/>
      <c r="G4" s="136"/>
      <c r="H4" s="4261" t="s">
        <v>309</v>
      </c>
      <c r="I4" s="4262"/>
      <c r="J4" s="4261" t="s">
        <v>310</v>
      </c>
      <c r="K4" s="4262"/>
      <c r="L4" s="4261" t="s">
        <v>311</v>
      </c>
      <c r="M4" s="4262"/>
      <c r="N4" s="137"/>
      <c r="O4" s="136"/>
      <c r="P4" s="136" t="s">
        <v>12</v>
      </c>
      <c r="Q4" s="136" t="s">
        <v>12</v>
      </c>
      <c r="R4" s="138"/>
      <c r="S4" s="245"/>
      <c r="T4" s="246"/>
      <c r="U4" s="139" t="s">
        <v>55</v>
      </c>
      <c r="V4" s="72"/>
      <c r="W4" s="4229"/>
      <c r="X4" s="4230"/>
      <c r="Y4" s="4230"/>
      <c r="Z4" s="4231"/>
      <c r="AA4" s="82"/>
      <c r="AB4" s="39"/>
      <c r="AC4" s="39"/>
      <c r="AD4" s="39"/>
      <c r="AE4" s="39"/>
      <c r="AF4" s="39"/>
      <c r="AG4" s="39"/>
      <c r="AH4" s="39"/>
      <c r="AI4" s="39"/>
      <c r="AJ4" s="39"/>
      <c r="AK4" s="39"/>
      <c r="AL4" s="39"/>
      <c r="AM4" s="39"/>
      <c r="AN4" s="39"/>
      <c r="AO4" s="39"/>
      <c r="AP4" s="39"/>
      <c r="AQ4" s="39"/>
      <c r="AR4" s="39"/>
      <c r="AS4" s="39"/>
      <c r="AT4" s="39"/>
      <c r="AU4" s="39"/>
      <c r="AV4" s="39"/>
      <c r="AW4" s="39"/>
      <c r="AX4" s="39"/>
      <c r="AY4" s="39"/>
      <c r="BA4" s="32"/>
    </row>
    <row r="5" spans="1:58" x14ac:dyDescent="0.2">
      <c r="A5" s="98" t="s">
        <v>8</v>
      </c>
      <c r="B5" s="614" t="s">
        <v>8</v>
      </c>
      <c r="C5" s="10" t="s">
        <v>2</v>
      </c>
      <c r="D5" s="239" t="s">
        <v>42</v>
      </c>
      <c r="E5" s="239"/>
      <c r="F5" s="239"/>
      <c r="G5" s="239" t="s">
        <v>43</v>
      </c>
      <c r="H5" s="240" t="s">
        <v>301</v>
      </c>
      <c r="I5" s="240" t="s">
        <v>308</v>
      </c>
      <c r="J5" s="240" t="s">
        <v>301</v>
      </c>
      <c r="K5" s="240" t="s">
        <v>308</v>
      </c>
      <c r="L5" s="240" t="s">
        <v>301</v>
      </c>
      <c r="M5" s="240" t="s">
        <v>308</v>
      </c>
      <c r="N5" s="240" t="s">
        <v>194</v>
      </c>
      <c r="O5" s="239" t="s">
        <v>0</v>
      </c>
      <c r="P5" s="239"/>
      <c r="Q5" s="239"/>
      <c r="R5" s="241"/>
      <c r="S5" s="4263" t="s">
        <v>312</v>
      </c>
      <c r="T5" s="4264"/>
      <c r="U5" s="242"/>
      <c r="V5" s="72"/>
      <c r="W5" s="117"/>
      <c r="X5" s="201"/>
      <c r="Y5" s="201"/>
      <c r="Z5" s="81"/>
      <c r="AA5" s="82"/>
      <c r="AB5" s="39"/>
      <c r="AC5" s="39"/>
      <c r="AD5" s="39"/>
      <c r="AE5" s="39"/>
      <c r="AF5" s="39"/>
      <c r="AG5" s="39"/>
      <c r="AH5" s="39"/>
      <c r="AI5" s="39"/>
      <c r="AJ5" s="39"/>
      <c r="AK5" s="39"/>
      <c r="AL5" s="39"/>
      <c r="AM5" s="39"/>
      <c r="AN5" s="39"/>
      <c r="AO5" s="39"/>
      <c r="AP5" s="39"/>
      <c r="AQ5" s="39"/>
      <c r="AR5" s="39"/>
      <c r="AS5" s="39"/>
      <c r="AT5" s="39"/>
      <c r="AU5" s="39"/>
      <c r="AV5" s="39"/>
      <c r="AW5" s="39"/>
      <c r="AX5" s="39"/>
      <c r="AY5" s="39"/>
      <c r="BA5" s="32"/>
    </row>
    <row r="6" spans="1:58" ht="13.5" thickBot="1" x14ac:dyDescent="0.25">
      <c r="A6" s="98" t="s">
        <v>172</v>
      </c>
      <c r="B6" s="614" t="s">
        <v>172</v>
      </c>
      <c r="C6" s="24" t="s">
        <v>3</v>
      </c>
      <c r="D6" s="140" t="s">
        <v>4</v>
      </c>
      <c r="E6" s="140" t="s">
        <v>5</v>
      </c>
      <c r="F6" s="140" t="s">
        <v>200</v>
      </c>
      <c r="G6" s="140" t="s">
        <v>4</v>
      </c>
      <c r="H6" s="141" t="s">
        <v>6</v>
      </c>
      <c r="I6" s="141" t="s">
        <v>6</v>
      </c>
      <c r="J6" s="141" t="s">
        <v>6</v>
      </c>
      <c r="K6" s="141" t="s">
        <v>6</v>
      </c>
      <c r="L6" s="141" t="s">
        <v>6</v>
      </c>
      <c r="M6" s="141" t="s">
        <v>6</v>
      </c>
      <c r="N6" s="141" t="s">
        <v>195</v>
      </c>
      <c r="O6" s="140" t="s">
        <v>1</v>
      </c>
      <c r="P6" s="140" t="s">
        <v>9</v>
      </c>
      <c r="Q6" s="140" t="s">
        <v>11</v>
      </c>
      <c r="R6" s="140" t="s">
        <v>31</v>
      </c>
      <c r="S6" s="140" t="s">
        <v>301</v>
      </c>
      <c r="T6" s="244" t="s">
        <v>313</v>
      </c>
      <c r="U6" s="142" t="s">
        <v>56</v>
      </c>
      <c r="V6" s="72"/>
      <c r="W6" s="26"/>
      <c r="X6" s="117"/>
      <c r="Y6" s="117"/>
      <c r="Z6" s="117"/>
      <c r="AA6" s="82"/>
      <c r="AB6" s="39"/>
      <c r="AC6" s="39"/>
      <c r="AD6" s="39"/>
      <c r="AE6" s="39"/>
      <c r="AF6" s="39"/>
      <c r="AG6" s="39"/>
      <c r="AH6" s="39"/>
      <c r="AI6" s="39"/>
      <c r="AJ6" s="39"/>
      <c r="AK6" s="39"/>
      <c r="AL6" s="39"/>
      <c r="AM6" s="39"/>
      <c r="AN6" s="39"/>
      <c r="AO6" s="39"/>
      <c r="AP6" s="39"/>
      <c r="AQ6" s="39"/>
      <c r="AR6" s="39"/>
      <c r="AS6" s="39"/>
      <c r="AT6" s="39"/>
      <c r="AU6" s="39"/>
      <c r="AV6" s="39"/>
      <c r="AW6" s="39"/>
      <c r="AX6" s="39"/>
      <c r="AY6" s="39"/>
    </row>
    <row r="7" spans="1:58" ht="14.25" thickTop="1" thickBot="1" x14ac:dyDescent="0.25">
      <c r="C7" s="20"/>
      <c r="D7" s="21"/>
      <c r="E7" s="21"/>
      <c r="F7" s="21"/>
      <c r="G7" s="21"/>
      <c r="H7" s="22"/>
      <c r="I7" s="22"/>
      <c r="J7" s="250"/>
      <c r="K7" s="250"/>
      <c r="L7" s="250"/>
      <c r="M7" s="250"/>
      <c r="N7" s="22"/>
      <c r="O7" s="21"/>
      <c r="P7" s="21"/>
      <c r="Q7" s="21"/>
      <c r="R7" s="21"/>
      <c r="S7" s="21"/>
      <c r="T7" s="21"/>
      <c r="U7" s="23"/>
      <c r="V7" s="26"/>
      <c r="W7" s="26"/>
      <c r="X7" s="201"/>
      <c r="Y7" s="82"/>
      <c r="Z7" s="201"/>
      <c r="AA7" s="82"/>
      <c r="AB7" s="39"/>
      <c r="AC7" s="39"/>
      <c r="AD7" s="39"/>
      <c r="AE7" s="39"/>
      <c r="AF7" s="39"/>
      <c r="AG7" s="39"/>
      <c r="AH7" s="39"/>
      <c r="AI7" s="39"/>
      <c r="AJ7" s="39"/>
      <c r="AK7" s="39"/>
      <c r="AL7" s="39"/>
      <c r="AM7" s="39"/>
      <c r="AN7" s="39"/>
      <c r="AO7" s="39"/>
      <c r="AP7" s="39"/>
      <c r="AQ7" s="39"/>
      <c r="AR7" s="39"/>
      <c r="AS7" s="39"/>
      <c r="AT7" s="39"/>
      <c r="AU7" s="39"/>
      <c r="AV7" s="39"/>
      <c r="AW7" s="39"/>
      <c r="AX7" s="39"/>
      <c r="AY7" s="39"/>
    </row>
    <row r="8" spans="1:58" s="39" customFormat="1" ht="14.25" thickTop="1" thickBot="1" x14ac:dyDescent="0.25">
      <c r="A8" s="615"/>
      <c r="B8" s="615"/>
      <c r="C8" s="670" t="s">
        <v>401</v>
      </c>
      <c r="D8" s="671"/>
      <c r="E8" s="671"/>
      <c r="F8" s="671"/>
      <c r="G8" s="671"/>
      <c r="H8" s="1088"/>
      <c r="I8" s="1088"/>
      <c r="J8" s="1089"/>
      <c r="K8" s="1089"/>
      <c r="L8" s="1089"/>
      <c r="M8" s="1089"/>
      <c r="N8" s="1088"/>
      <c r="O8" s="671"/>
      <c r="P8" s="671"/>
      <c r="Q8" s="671"/>
      <c r="R8" s="671"/>
      <c r="S8" s="671"/>
      <c r="T8" s="671"/>
      <c r="U8" s="751"/>
      <c r="V8" s="26"/>
      <c r="W8" s="236"/>
      <c r="X8" s="201"/>
      <c r="Y8" s="91"/>
      <c r="Z8" s="609"/>
      <c r="AA8" s="82"/>
    </row>
    <row r="9" spans="1:58" s="491" customFormat="1" x14ac:dyDescent="0.2">
      <c r="A9" s="474" t="s">
        <v>175</v>
      </c>
      <c r="B9" s="474"/>
      <c r="C9" s="475" t="s">
        <v>39</v>
      </c>
      <c r="D9" s="476" t="s">
        <v>7</v>
      </c>
      <c r="E9" s="476" t="s">
        <v>132</v>
      </c>
      <c r="F9" s="476" t="s">
        <v>470</v>
      </c>
      <c r="G9" s="476" t="s">
        <v>8</v>
      </c>
      <c r="H9" s="477" t="s">
        <v>45</v>
      </c>
      <c r="I9" s="477" t="s">
        <v>45</v>
      </c>
      <c r="J9" s="478">
        <v>336055</v>
      </c>
      <c r="K9" s="478">
        <v>309524</v>
      </c>
      <c r="L9" s="477" t="s">
        <v>45</v>
      </c>
      <c r="M9" s="477" t="s">
        <v>45</v>
      </c>
      <c r="N9" s="479" t="s">
        <v>45</v>
      </c>
      <c r="O9" s="480"/>
      <c r="P9" s="481">
        <v>0</v>
      </c>
      <c r="Q9" s="481"/>
      <c r="R9" s="482" t="s">
        <v>32</v>
      </c>
      <c r="S9" s="483">
        <v>0</v>
      </c>
      <c r="T9" s="484">
        <v>0</v>
      </c>
      <c r="U9" s="485" t="s">
        <v>59</v>
      </c>
      <c r="V9" s="486"/>
      <c r="W9" s="487"/>
      <c r="X9" s="488"/>
      <c r="Y9" s="487"/>
      <c r="Z9" s="489"/>
      <c r="AA9" s="490"/>
      <c r="AG9" s="492"/>
      <c r="AH9" s="492"/>
      <c r="AI9" s="492"/>
      <c r="AJ9" s="492"/>
      <c r="AK9" s="492"/>
    </row>
    <row r="10" spans="1:58" s="491" customFormat="1" x14ac:dyDescent="0.2">
      <c r="A10" s="634"/>
      <c r="B10" s="634"/>
      <c r="C10" s="475" t="s">
        <v>13</v>
      </c>
      <c r="D10" s="476" t="s">
        <v>14</v>
      </c>
      <c r="E10" s="476" t="s">
        <v>132</v>
      </c>
      <c r="F10" s="476" t="s">
        <v>201</v>
      </c>
      <c r="G10" s="476" t="s">
        <v>8</v>
      </c>
      <c r="H10" s="480">
        <v>843117</v>
      </c>
      <c r="I10" s="480">
        <v>758806</v>
      </c>
      <c r="J10" s="478"/>
      <c r="K10" s="478"/>
      <c r="L10" s="477"/>
      <c r="M10" s="477"/>
      <c r="N10" s="477" t="s">
        <v>45</v>
      </c>
      <c r="O10" s="480"/>
      <c r="P10" s="481"/>
      <c r="Q10" s="481"/>
      <c r="R10" s="481"/>
      <c r="S10" s="480"/>
      <c r="T10" s="493"/>
      <c r="U10" s="494"/>
      <c r="V10" s="487"/>
      <c r="W10" s="487"/>
      <c r="X10" s="488"/>
      <c r="Y10" s="487"/>
      <c r="Z10" s="489"/>
      <c r="AA10" s="490"/>
      <c r="AG10" s="492"/>
      <c r="AH10" s="492"/>
      <c r="AI10" s="492"/>
      <c r="AJ10" s="492"/>
      <c r="AK10" s="492"/>
    </row>
    <row r="11" spans="1:58" s="491" customFormat="1" x14ac:dyDescent="0.2">
      <c r="A11" s="474" t="s">
        <v>173</v>
      </c>
      <c r="B11" s="474"/>
      <c r="C11" s="475" t="s">
        <v>15</v>
      </c>
      <c r="D11" s="476" t="s">
        <v>7</v>
      </c>
      <c r="E11" s="476" t="s">
        <v>132</v>
      </c>
      <c r="F11" s="476" t="s">
        <v>203</v>
      </c>
      <c r="G11" s="476" t="s">
        <v>8</v>
      </c>
      <c r="H11" s="480">
        <v>0</v>
      </c>
      <c r="I11" s="480">
        <v>0</v>
      </c>
      <c r="J11" s="478">
        <v>233482</v>
      </c>
      <c r="K11" s="478">
        <v>233482</v>
      </c>
      <c r="L11" s="477"/>
      <c r="M11" s="477"/>
      <c r="N11" s="477" t="s">
        <v>45</v>
      </c>
      <c r="O11" s="480"/>
      <c r="P11" s="481"/>
      <c r="Q11" s="481"/>
      <c r="R11" s="481" t="s">
        <v>34</v>
      </c>
      <c r="S11" s="480"/>
      <c r="T11" s="493"/>
      <c r="U11" s="494" t="s">
        <v>67</v>
      </c>
      <c r="V11" s="486"/>
      <c r="W11" s="487"/>
      <c r="X11" s="488"/>
      <c r="Y11" s="487"/>
      <c r="Z11" s="489"/>
      <c r="AA11" s="490"/>
      <c r="AG11" s="492"/>
      <c r="AH11" s="492"/>
      <c r="AI11" s="492"/>
      <c r="AJ11" s="492"/>
      <c r="AK11" s="492"/>
    </row>
    <row r="12" spans="1:58" s="491" customFormat="1" x14ac:dyDescent="0.2">
      <c r="A12" s="474" t="s">
        <v>174</v>
      </c>
      <c r="B12" s="474"/>
      <c r="C12" s="475" t="s">
        <v>202</v>
      </c>
      <c r="D12" s="476" t="s">
        <v>7</v>
      </c>
      <c r="E12" s="476" t="s">
        <v>132</v>
      </c>
      <c r="F12" s="476" t="s">
        <v>203</v>
      </c>
      <c r="G12" s="476" t="s">
        <v>16</v>
      </c>
      <c r="H12" s="480">
        <v>0</v>
      </c>
      <c r="I12" s="480">
        <v>0</v>
      </c>
      <c r="J12" s="478">
        <v>240946</v>
      </c>
      <c r="K12" s="478">
        <v>240946</v>
      </c>
      <c r="L12" s="477"/>
      <c r="M12" s="477"/>
      <c r="N12" s="477" t="s">
        <v>45</v>
      </c>
      <c r="O12" s="480"/>
      <c r="P12" s="481"/>
      <c r="Q12" s="476"/>
      <c r="R12" s="481" t="s">
        <v>34</v>
      </c>
      <c r="S12" s="480"/>
      <c r="T12" s="493"/>
      <c r="U12" s="494"/>
      <c r="V12" s="486"/>
      <c r="W12" s="487"/>
      <c r="X12" s="488"/>
      <c r="Y12" s="487"/>
      <c r="Z12" s="489"/>
      <c r="AA12" s="490"/>
      <c r="AG12" s="492"/>
      <c r="AH12" s="492"/>
      <c r="AI12" s="492"/>
      <c r="AJ12" s="492"/>
      <c r="AK12" s="492"/>
    </row>
    <row r="13" spans="1:58" s="473" customFormat="1" ht="13.5" thickBot="1" x14ac:dyDescent="0.25">
      <c r="A13" s="615"/>
      <c r="B13" s="615"/>
      <c r="C13" s="495"/>
      <c r="D13" s="496"/>
      <c r="E13" s="496"/>
      <c r="F13" s="496"/>
      <c r="G13" s="496"/>
      <c r="H13" s="497"/>
      <c r="I13" s="497"/>
      <c r="J13" s="498"/>
      <c r="K13" s="498"/>
      <c r="L13" s="499"/>
      <c r="M13" s="499"/>
      <c r="N13" s="497"/>
      <c r="O13" s="497"/>
      <c r="P13" s="500"/>
      <c r="Q13" s="500"/>
      <c r="R13" s="501"/>
      <c r="S13" s="502"/>
      <c r="T13" s="503"/>
      <c r="U13" s="504"/>
      <c r="V13" s="470"/>
      <c r="W13" s="470"/>
      <c r="X13" s="469"/>
      <c r="Y13" s="470"/>
      <c r="Z13" s="471"/>
      <c r="AA13" s="472"/>
      <c r="AG13" s="505"/>
      <c r="AH13" s="505"/>
      <c r="AI13" s="505"/>
      <c r="AJ13" s="505"/>
      <c r="AK13" s="505"/>
    </row>
    <row r="14" spans="1:58" s="473" customFormat="1" ht="13.5" thickBot="1" x14ac:dyDescent="0.25">
      <c r="A14" s="615"/>
      <c r="B14" s="615"/>
      <c r="C14" s="644" t="s">
        <v>38</v>
      </c>
      <c r="D14" s="645"/>
      <c r="E14" s="645"/>
      <c r="F14" s="645"/>
      <c r="G14" s="645"/>
      <c r="H14" s="646">
        <v>0</v>
      </c>
      <c r="I14" s="646">
        <v>0</v>
      </c>
      <c r="J14" s="647">
        <v>0</v>
      </c>
      <c r="K14" s="647">
        <v>0</v>
      </c>
      <c r="L14" s="648"/>
      <c r="M14" s="648"/>
      <c r="N14" s="649">
        <v>2007</v>
      </c>
      <c r="O14" s="506">
        <f>H3</f>
        <v>10000000</v>
      </c>
      <c r="P14" s="650">
        <f>SUM(P9:P12)</f>
        <v>0</v>
      </c>
      <c r="Q14" s="650">
        <v>0</v>
      </c>
      <c r="R14" s="650"/>
      <c r="S14" s="646">
        <f>SUM(S9:S13)</f>
        <v>0</v>
      </c>
      <c r="T14" s="651">
        <f>SUM(T9)</f>
        <v>0</v>
      </c>
      <c r="U14" s="652"/>
      <c r="V14" s="470"/>
      <c r="W14" s="470"/>
      <c r="X14" s="469"/>
      <c r="Y14" s="470"/>
      <c r="Z14" s="471"/>
      <c r="AA14" s="472"/>
      <c r="AG14" s="505"/>
      <c r="AH14" s="505"/>
      <c r="AI14" s="505"/>
      <c r="AJ14" s="505"/>
      <c r="AK14" s="505"/>
    </row>
    <row r="15" spans="1:58" s="39" customFormat="1" ht="14.25" thickTop="1" thickBot="1" x14ac:dyDescent="0.25">
      <c r="A15" s="615"/>
      <c r="B15" s="615"/>
      <c r="C15" s="102"/>
      <c r="D15" s="104"/>
      <c r="E15" s="105"/>
      <c r="F15" s="105"/>
      <c r="G15" s="105"/>
      <c r="H15" s="616"/>
      <c r="I15" s="616"/>
      <c r="J15" s="617"/>
      <c r="K15" s="617"/>
      <c r="L15" s="617"/>
      <c r="M15" s="617"/>
      <c r="N15" s="616"/>
      <c r="O15" s="616"/>
      <c r="P15" s="106"/>
      <c r="Q15" s="106"/>
      <c r="R15" s="106"/>
      <c r="S15" s="618"/>
      <c r="T15" s="618"/>
      <c r="U15" s="619"/>
      <c r="V15" s="91"/>
      <c r="W15" s="91"/>
      <c r="X15" s="201"/>
      <c r="Y15" s="91"/>
      <c r="Z15" s="609"/>
      <c r="AA15" s="82"/>
      <c r="AG15" s="52"/>
      <c r="AH15" s="52"/>
      <c r="AI15" s="52"/>
      <c r="AJ15" s="52"/>
      <c r="AK15" s="52"/>
    </row>
    <row r="16" spans="1:58" s="39" customFormat="1" ht="14.25" thickTop="1" thickBot="1" x14ac:dyDescent="0.25">
      <c r="A16" s="615"/>
      <c r="B16" s="615"/>
      <c r="C16" s="670" t="s">
        <v>402</v>
      </c>
      <c r="D16" s="675"/>
      <c r="E16" s="675"/>
      <c r="F16" s="675"/>
      <c r="G16" s="675"/>
      <c r="H16" s="1090"/>
      <c r="I16" s="1090"/>
      <c r="J16" s="1091"/>
      <c r="K16" s="1091"/>
      <c r="L16" s="1091"/>
      <c r="M16" s="1091"/>
      <c r="N16" s="1090"/>
      <c r="O16" s="1090"/>
      <c r="P16" s="1092"/>
      <c r="Q16" s="1092"/>
      <c r="R16" s="1092"/>
      <c r="S16" s="1092"/>
      <c r="T16" s="1092"/>
      <c r="U16" s="1093"/>
      <c r="V16" s="91"/>
      <c r="W16" s="91"/>
      <c r="X16" s="201"/>
      <c r="Y16" s="91"/>
      <c r="Z16" s="609"/>
      <c r="AA16" s="82"/>
      <c r="AG16" s="52"/>
      <c r="AH16" s="52"/>
      <c r="AI16" s="52"/>
      <c r="AJ16" s="52"/>
      <c r="AK16" s="52"/>
    </row>
    <row r="17" spans="1:37" s="491" customFormat="1" ht="25.5" x14ac:dyDescent="0.2">
      <c r="A17" s="474" t="s">
        <v>176</v>
      </c>
      <c r="B17" s="474"/>
      <c r="C17" s="475" t="s">
        <v>13</v>
      </c>
      <c r="D17" s="476" t="s">
        <v>7</v>
      </c>
      <c r="E17" s="476" t="s">
        <v>132</v>
      </c>
      <c r="F17" s="2093" t="s">
        <v>1032</v>
      </c>
      <c r="G17" s="476" t="s">
        <v>8</v>
      </c>
      <c r="H17" s="477" t="s">
        <v>45</v>
      </c>
      <c r="I17" s="477" t="s">
        <v>45</v>
      </c>
      <c r="J17" s="478">
        <v>791277</v>
      </c>
      <c r="K17" s="478">
        <v>745327</v>
      </c>
      <c r="L17" s="477">
        <f>J17-H10</f>
        <v>-51840</v>
      </c>
      <c r="M17" s="477">
        <f>K17-I10</f>
        <v>-13479</v>
      </c>
      <c r="N17" s="477" t="s">
        <v>45</v>
      </c>
      <c r="O17" s="480">
        <f>O14</f>
        <v>10000000</v>
      </c>
      <c r="P17" s="481">
        <v>0</v>
      </c>
      <c r="Q17" s="481"/>
      <c r="R17" s="482" t="s">
        <v>33</v>
      </c>
      <c r="S17" s="483">
        <v>382581</v>
      </c>
      <c r="T17" s="484">
        <v>427432</v>
      </c>
      <c r="U17" s="485" t="s">
        <v>60</v>
      </c>
      <c r="V17" s="487"/>
      <c r="W17" s="487"/>
      <c r="X17" s="488"/>
      <c r="Y17" s="487"/>
      <c r="Z17" s="489"/>
      <c r="AA17" s="490"/>
      <c r="AG17" s="492"/>
      <c r="AH17" s="492"/>
      <c r="AI17" s="492"/>
      <c r="AJ17" s="492"/>
      <c r="AK17" s="492"/>
    </row>
    <row r="18" spans="1:37" s="491" customFormat="1" x14ac:dyDescent="0.2">
      <c r="A18" s="634"/>
      <c r="B18" s="634"/>
      <c r="C18" s="475" t="s">
        <v>50</v>
      </c>
      <c r="D18" s="476" t="s">
        <v>14</v>
      </c>
      <c r="E18" s="476" t="s">
        <v>132</v>
      </c>
      <c r="F18" s="476" t="s">
        <v>204</v>
      </c>
      <c r="G18" s="476" t="s">
        <v>8</v>
      </c>
      <c r="H18" s="480">
        <v>1233073</v>
      </c>
      <c r="I18" s="480">
        <v>1111963</v>
      </c>
      <c r="J18" s="477"/>
      <c r="K18" s="477"/>
      <c r="L18" s="477"/>
      <c r="M18" s="477"/>
      <c r="N18" s="477" t="s">
        <v>45</v>
      </c>
      <c r="O18" s="480"/>
      <c r="P18" s="481"/>
      <c r="Q18" s="481"/>
      <c r="R18" s="481" t="s">
        <v>36</v>
      </c>
      <c r="S18" s="480"/>
      <c r="T18" s="493"/>
      <c r="U18" s="494"/>
      <c r="V18" s="487"/>
      <c r="W18" s="487"/>
      <c r="X18" s="488"/>
      <c r="Y18" s="487"/>
      <c r="Z18" s="489"/>
      <c r="AA18" s="490"/>
      <c r="AG18" s="492"/>
      <c r="AH18" s="492"/>
      <c r="AI18" s="492"/>
      <c r="AJ18" s="492"/>
      <c r="AK18" s="492"/>
    </row>
    <row r="19" spans="1:37" s="491" customFormat="1" x14ac:dyDescent="0.2">
      <c r="A19" s="634"/>
      <c r="B19" s="634"/>
      <c r="C19" s="475" t="s">
        <v>51</v>
      </c>
      <c r="D19" s="476" t="s">
        <v>14</v>
      </c>
      <c r="E19" s="476" t="s">
        <v>132</v>
      </c>
      <c r="F19" s="476" t="s">
        <v>314</v>
      </c>
      <c r="G19" s="476" t="s">
        <v>8</v>
      </c>
      <c r="H19" s="480">
        <v>197526</v>
      </c>
      <c r="I19" s="480">
        <v>178773</v>
      </c>
      <c r="J19" s="477"/>
      <c r="K19" s="477"/>
      <c r="L19" s="477"/>
      <c r="M19" s="477"/>
      <c r="N19" s="477" t="s">
        <v>45</v>
      </c>
      <c r="O19" s="480"/>
      <c r="P19" s="481"/>
      <c r="Q19" s="481"/>
      <c r="R19" s="481" t="s">
        <v>37</v>
      </c>
      <c r="S19" s="480"/>
      <c r="T19" s="493"/>
      <c r="U19" s="494"/>
      <c r="V19" s="487"/>
      <c r="W19" s="487"/>
      <c r="X19" s="488"/>
      <c r="Y19" s="487"/>
      <c r="Z19" s="489"/>
      <c r="AA19" s="490"/>
      <c r="AG19" s="492"/>
      <c r="AH19" s="492"/>
      <c r="AI19" s="492"/>
      <c r="AJ19" s="492"/>
      <c r="AK19" s="492"/>
    </row>
    <row r="20" spans="1:37" s="491" customFormat="1" x14ac:dyDescent="0.2">
      <c r="A20" s="474" t="s">
        <v>179</v>
      </c>
      <c r="B20" s="474"/>
      <c r="C20" s="475" t="s">
        <v>52</v>
      </c>
      <c r="D20" s="476" t="s">
        <v>7</v>
      </c>
      <c r="E20" s="476" t="s">
        <v>132</v>
      </c>
      <c r="F20" s="476" t="s">
        <v>506</v>
      </c>
      <c r="G20" s="476" t="s">
        <v>8</v>
      </c>
      <c r="H20" s="477" t="s">
        <v>45</v>
      </c>
      <c r="I20" s="477" t="s">
        <v>45</v>
      </c>
      <c r="J20" s="478">
        <v>229672</v>
      </c>
      <c r="K20" s="478">
        <v>209664</v>
      </c>
      <c r="L20" s="477" t="s">
        <v>45</v>
      </c>
      <c r="M20" s="477" t="s">
        <v>45</v>
      </c>
      <c r="N20" s="477" t="s">
        <v>45</v>
      </c>
      <c r="O20" s="480"/>
      <c r="P20" s="481"/>
      <c r="Q20" s="481"/>
      <c r="R20" s="481" t="s">
        <v>284</v>
      </c>
      <c r="S20" s="480"/>
      <c r="T20" s="493"/>
      <c r="U20" s="494" t="s">
        <v>58</v>
      </c>
      <c r="V20" s="486"/>
      <c r="W20" s="487"/>
      <c r="X20" s="488"/>
      <c r="Y20" s="487"/>
      <c r="Z20" s="489"/>
      <c r="AA20" s="490"/>
      <c r="AG20" s="492"/>
      <c r="AH20" s="492"/>
      <c r="AI20" s="492"/>
      <c r="AJ20" s="492"/>
      <c r="AK20" s="492"/>
    </row>
    <row r="21" spans="1:37" s="473" customFormat="1" ht="13.5" thickBot="1" x14ac:dyDescent="0.25">
      <c r="A21" s="615"/>
      <c r="B21" s="615"/>
      <c r="C21" s="495"/>
      <c r="D21" s="496"/>
      <c r="E21" s="496"/>
      <c r="F21" s="496"/>
      <c r="G21" s="496"/>
      <c r="H21" s="497"/>
      <c r="I21" s="497"/>
      <c r="J21" s="498"/>
      <c r="K21" s="498"/>
      <c r="L21" s="499"/>
      <c r="M21" s="499"/>
      <c r="N21" s="497"/>
      <c r="O21" s="497"/>
      <c r="P21" s="500"/>
      <c r="Q21" s="500"/>
      <c r="R21" s="501"/>
      <c r="S21" s="502"/>
      <c r="T21" s="503"/>
      <c r="U21" s="504"/>
      <c r="V21" s="470"/>
      <c r="W21" s="470"/>
      <c r="X21" s="469"/>
      <c r="Y21" s="470"/>
      <c r="Z21" s="471"/>
      <c r="AA21" s="472"/>
      <c r="AG21" s="505"/>
      <c r="AH21" s="505"/>
      <c r="AI21" s="505"/>
      <c r="AJ21" s="505"/>
      <c r="AK21" s="505"/>
    </row>
    <row r="22" spans="1:37" s="473" customFormat="1" ht="13.5" thickBot="1" x14ac:dyDescent="0.25">
      <c r="A22" s="615"/>
      <c r="B22" s="615"/>
      <c r="C22" s="644" t="s">
        <v>38</v>
      </c>
      <c r="D22" s="645"/>
      <c r="E22" s="645"/>
      <c r="F22" s="645"/>
      <c r="G22" s="645"/>
      <c r="H22" s="646">
        <v>0</v>
      </c>
      <c r="I22" s="646">
        <v>0</v>
      </c>
      <c r="J22" s="647">
        <f>SUM(J17)</f>
        <v>791277</v>
      </c>
      <c r="K22" s="647">
        <f>SUM(K17)</f>
        <v>745327</v>
      </c>
      <c r="L22" s="648"/>
      <c r="M22" s="648"/>
      <c r="N22" s="649">
        <v>2007</v>
      </c>
      <c r="O22" s="506">
        <f>H3</f>
        <v>10000000</v>
      </c>
      <c r="P22" s="650">
        <f>SUM(P17, P20)</f>
        <v>0</v>
      </c>
      <c r="Q22" s="650">
        <f>J22/H3</f>
        <v>7.9127699999999995E-2</v>
      </c>
      <c r="R22" s="650"/>
      <c r="S22" s="646">
        <f>SUM(S17, S19, S20)</f>
        <v>382581</v>
      </c>
      <c r="T22" s="651">
        <f>SUM(T17,T20)</f>
        <v>427432</v>
      </c>
      <c r="U22" s="652"/>
      <c r="V22" s="514"/>
      <c r="W22" s="470"/>
      <c r="X22" s="515"/>
      <c r="Y22" s="470"/>
      <c r="Z22" s="470"/>
      <c r="AA22" s="472"/>
      <c r="AG22" s="505"/>
      <c r="AH22" s="505"/>
      <c r="AI22" s="505"/>
      <c r="AJ22" s="505"/>
      <c r="AK22" s="505"/>
    </row>
    <row r="23" spans="1:37" s="39" customFormat="1" ht="14.25" thickTop="1" thickBot="1" x14ac:dyDescent="0.25">
      <c r="A23" s="615"/>
      <c r="B23" s="615"/>
      <c r="C23" s="102"/>
      <c r="D23" s="104"/>
      <c r="E23" s="105"/>
      <c r="F23" s="105"/>
      <c r="G23" s="105"/>
      <c r="H23" s="616"/>
      <c r="I23" s="616"/>
      <c r="J23" s="617"/>
      <c r="K23" s="617"/>
      <c r="L23" s="617"/>
      <c r="M23" s="617"/>
      <c r="N23" s="616"/>
      <c r="O23" s="616"/>
      <c r="P23" s="106"/>
      <c r="Q23" s="106"/>
      <c r="R23" s="106"/>
      <c r="S23" s="106"/>
      <c r="T23" s="106"/>
      <c r="U23" s="106"/>
      <c r="V23" s="91"/>
      <c r="W23" s="91"/>
      <c r="X23" s="82"/>
      <c r="Y23" s="82"/>
      <c r="Z23" s="82"/>
      <c r="AA23" s="82"/>
      <c r="AG23" s="52"/>
      <c r="AH23" s="52"/>
      <c r="AI23" s="52"/>
      <c r="AJ23" s="52"/>
      <c r="AK23" s="52"/>
    </row>
    <row r="24" spans="1:37" s="39" customFormat="1" ht="14.25" thickTop="1" thickBot="1" x14ac:dyDescent="0.25">
      <c r="A24" s="615"/>
      <c r="B24" s="615"/>
      <c r="C24" s="670" t="s">
        <v>403</v>
      </c>
      <c r="D24" s="675"/>
      <c r="E24" s="675"/>
      <c r="F24" s="675"/>
      <c r="G24" s="675"/>
      <c r="H24" s="1090"/>
      <c r="I24" s="1090"/>
      <c r="J24" s="1091"/>
      <c r="K24" s="1091"/>
      <c r="L24" s="1091"/>
      <c r="M24" s="1091"/>
      <c r="N24" s="1090"/>
      <c r="O24" s="1090"/>
      <c r="P24" s="1092"/>
      <c r="Q24" s="1092"/>
      <c r="R24" s="1092"/>
      <c r="S24" s="1092"/>
      <c r="T24" s="1092"/>
      <c r="U24" s="1093"/>
      <c r="V24" s="96"/>
      <c r="W24" s="4232"/>
      <c r="X24" s="4229"/>
      <c r="Y24" s="4229"/>
      <c r="Z24" s="4229"/>
      <c r="AA24" s="82"/>
      <c r="AG24" s="52"/>
      <c r="AH24" s="52"/>
      <c r="AI24" s="52"/>
      <c r="AJ24" s="52"/>
      <c r="AK24" s="52"/>
    </row>
    <row r="25" spans="1:37" s="491" customFormat="1" ht="13.5" thickBot="1" x14ac:dyDescent="0.25">
      <c r="A25" s="474" t="s">
        <v>180</v>
      </c>
      <c r="B25" s="474"/>
      <c r="C25" s="516" t="s">
        <v>40</v>
      </c>
      <c r="D25" s="517" t="s">
        <v>7</v>
      </c>
      <c r="E25" s="517" t="s">
        <v>46</v>
      </c>
      <c r="F25" s="518" t="s">
        <v>205</v>
      </c>
      <c r="G25" s="517" t="s">
        <v>8</v>
      </c>
      <c r="H25" s="519">
        <v>0</v>
      </c>
      <c r="I25" s="519">
        <v>0</v>
      </c>
      <c r="J25" s="520">
        <v>255439</v>
      </c>
      <c r="K25" s="520">
        <v>255439</v>
      </c>
      <c r="L25" s="520"/>
      <c r="M25" s="520"/>
      <c r="N25" s="520" t="s">
        <v>45</v>
      </c>
      <c r="O25" s="519">
        <f>O22</f>
        <v>10000000</v>
      </c>
      <c r="P25" s="521">
        <v>0</v>
      </c>
      <c r="Q25" s="521">
        <v>0</v>
      </c>
      <c r="R25" s="521" t="s">
        <v>41</v>
      </c>
      <c r="S25" s="519">
        <v>0</v>
      </c>
      <c r="T25" s="522">
        <v>0</v>
      </c>
      <c r="U25" s="523" t="s">
        <v>58</v>
      </c>
      <c r="V25" s="486"/>
      <c r="W25" s="4240"/>
      <c r="X25" s="4241"/>
      <c r="Y25" s="524"/>
      <c r="Z25" s="524"/>
      <c r="AA25" s="490"/>
      <c r="AG25" s="492"/>
      <c r="AH25" s="492"/>
      <c r="AI25" s="492"/>
      <c r="AJ25" s="492"/>
      <c r="AK25" s="492"/>
    </row>
    <row r="26" spans="1:37" s="491" customFormat="1" ht="13.5" thickTop="1" x14ac:dyDescent="0.2">
      <c r="A26" s="634"/>
      <c r="B26" s="634"/>
      <c r="C26" s="653"/>
      <c r="D26" s="73"/>
      <c r="E26" s="73"/>
      <c r="F26" s="654"/>
      <c r="G26" s="73"/>
      <c r="H26" s="74"/>
      <c r="I26" s="74"/>
      <c r="J26" s="635"/>
      <c r="K26" s="635"/>
      <c r="L26" s="635"/>
      <c r="M26" s="635"/>
      <c r="N26" s="657">
        <v>2007</v>
      </c>
      <c r="O26" s="525">
        <f>H3-J17</f>
        <v>9208723</v>
      </c>
      <c r="P26" s="92"/>
      <c r="Q26" s="92"/>
      <c r="R26" s="92"/>
      <c r="S26" s="74"/>
      <c r="T26" s="74"/>
      <c r="U26" s="92"/>
      <c r="V26" s="486"/>
      <c r="W26" s="605"/>
      <c r="X26" s="606"/>
      <c r="Y26" s="606"/>
      <c r="Z26" s="606"/>
      <c r="AA26" s="490"/>
      <c r="AG26" s="492"/>
      <c r="AH26" s="492"/>
      <c r="AI26" s="492"/>
      <c r="AJ26" s="492"/>
      <c r="AK26" s="492"/>
    </row>
    <row r="27" spans="1:37" s="39" customFormat="1" ht="13.5" thickBot="1" x14ac:dyDescent="0.25">
      <c r="A27" s="615"/>
      <c r="B27" s="615"/>
      <c r="C27" s="25"/>
      <c r="D27" s="26"/>
      <c r="E27" s="26"/>
      <c r="F27" s="26"/>
      <c r="G27" s="26"/>
      <c r="H27" s="27"/>
      <c r="I27" s="27"/>
      <c r="J27" s="203"/>
      <c r="K27" s="203"/>
      <c r="L27" s="203"/>
      <c r="M27" s="203"/>
      <c r="N27" s="27"/>
      <c r="O27" s="27"/>
      <c r="P27" s="28"/>
      <c r="Q27" s="28"/>
      <c r="R27" s="28"/>
      <c r="S27" s="27"/>
      <c r="T27" s="27"/>
      <c r="U27" s="28"/>
      <c r="V27" s="28"/>
      <c r="W27" s="91"/>
      <c r="X27" s="82"/>
      <c r="Y27" s="82"/>
      <c r="Z27" s="82"/>
      <c r="AA27" s="82"/>
      <c r="AG27" s="52"/>
      <c r="AH27" s="52"/>
      <c r="AI27" s="52"/>
      <c r="AJ27" s="52"/>
      <c r="AK27" s="52"/>
    </row>
    <row r="28" spans="1:37" s="39" customFormat="1" ht="14.25" thickTop="1" thickBot="1" x14ac:dyDescent="0.25">
      <c r="A28" s="615"/>
      <c r="B28" s="615"/>
      <c r="C28" s="670" t="s">
        <v>404</v>
      </c>
      <c r="D28" s="671"/>
      <c r="E28" s="671"/>
      <c r="F28" s="671"/>
      <c r="G28" s="671"/>
      <c r="H28" s="1088"/>
      <c r="I28" s="1088"/>
      <c r="J28" s="1089"/>
      <c r="K28" s="1089"/>
      <c r="L28" s="1089"/>
      <c r="M28" s="1089"/>
      <c r="N28" s="1088"/>
      <c r="O28" s="1088"/>
      <c r="P28" s="1094"/>
      <c r="Q28" s="1094"/>
      <c r="R28" s="1094"/>
      <c r="S28" s="1088"/>
      <c r="T28" s="1088"/>
      <c r="U28" s="1095"/>
      <c r="V28" s="28"/>
      <c r="W28" s="4233"/>
      <c r="X28" s="4231"/>
      <c r="Y28" s="82"/>
      <c r="Z28" s="95"/>
      <c r="AA28" s="82"/>
      <c r="AG28" s="52"/>
      <c r="AH28" s="52"/>
      <c r="AI28" s="52"/>
      <c r="AJ28" s="52"/>
      <c r="AK28" s="52"/>
    </row>
    <row r="29" spans="1:37" s="491" customFormat="1" x14ac:dyDescent="0.2">
      <c r="A29" s="474" t="s">
        <v>183</v>
      </c>
      <c r="B29" s="474"/>
      <c r="C29" s="527" t="s">
        <v>61</v>
      </c>
      <c r="D29" s="528" t="s">
        <v>7</v>
      </c>
      <c r="E29" s="528" t="s">
        <v>132</v>
      </c>
      <c r="F29" s="528" t="s">
        <v>248</v>
      </c>
      <c r="G29" s="528" t="s">
        <v>8</v>
      </c>
      <c r="H29" s="483">
        <v>0</v>
      </c>
      <c r="I29" s="483">
        <v>0</v>
      </c>
      <c r="J29" s="529">
        <v>85539</v>
      </c>
      <c r="K29" s="529">
        <v>85539</v>
      </c>
      <c r="L29" s="530"/>
      <c r="M29" s="530"/>
      <c r="N29" s="530" t="s">
        <v>45</v>
      </c>
      <c r="O29" s="483"/>
      <c r="P29" s="482">
        <f>H29/H3</f>
        <v>0</v>
      </c>
      <c r="Q29" s="482"/>
      <c r="R29" s="482" t="s">
        <v>64</v>
      </c>
      <c r="S29" s="483"/>
      <c r="T29" s="484"/>
      <c r="U29" s="485" t="s">
        <v>58</v>
      </c>
      <c r="V29" s="486"/>
      <c r="W29" s="4236"/>
      <c r="X29" s="4237"/>
      <c r="Y29" s="490"/>
      <c r="Z29" s="531"/>
      <c r="AA29" s="490"/>
      <c r="AG29" s="492"/>
      <c r="AH29" s="492"/>
      <c r="AI29" s="492"/>
      <c r="AJ29" s="492"/>
      <c r="AK29" s="492"/>
    </row>
    <row r="30" spans="1:37" s="473" customFormat="1" x14ac:dyDescent="0.2">
      <c r="A30" s="602" t="s">
        <v>181</v>
      </c>
      <c r="B30" s="602"/>
      <c r="C30" s="507" t="s">
        <v>62</v>
      </c>
      <c r="D30" s="508" t="s">
        <v>7</v>
      </c>
      <c r="E30" s="508" t="s">
        <v>44</v>
      </c>
      <c r="F30" s="508"/>
      <c r="G30" s="508" t="s">
        <v>8</v>
      </c>
      <c r="H30" s="509" t="s">
        <v>45</v>
      </c>
      <c r="I30" s="509" t="s">
        <v>45</v>
      </c>
      <c r="J30" s="510">
        <v>677944</v>
      </c>
      <c r="K30" s="510">
        <v>612787</v>
      </c>
      <c r="L30" s="509" t="s">
        <v>45</v>
      </c>
      <c r="M30" s="509" t="s">
        <v>45</v>
      </c>
      <c r="N30" s="509" t="s">
        <v>197</v>
      </c>
      <c r="O30" s="511">
        <f>O25-J30</f>
        <v>9322056</v>
      </c>
      <c r="P30" s="512">
        <f>J30/H3</f>
        <v>6.7794400000000005E-2</v>
      </c>
      <c r="Q30" s="512"/>
      <c r="R30" s="512" t="s">
        <v>65</v>
      </c>
      <c r="S30" s="511">
        <v>324549</v>
      </c>
      <c r="T30" s="532">
        <v>385863</v>
      </c>
      <c r="U30" s="533" t="s">
        <v>58</v>
      </c>
      <c r="V30" s="513"/>
      <c r="W30" s="4242"/>
      <c r="X30" s="4243"/>
      <c r="Y30" s="472"/>
      <c r="Z30" s="526"/>
      <c r="AA30" s="472"/>
      <c r="AG30" s="505"/>
      <c r="AH30" s="505"/>
      <c r="AI30" s="505"/>
      <c r="AJ30" s="505"/>
      <c r="AK30" s="505"/>
    </row>
    <row r="31" spans="1:37" s="473" customFormat="1" x14ac:dyDescent="0.2">
      <c r="A31" s="602" t="s">
        <v>182</v>
      </c>
      <c r="B31" s="602"/>
      <c r="C31" s="507" t="s">
        <v>63</v>
      </c>
      <c r="D31" s="508" t="s">
        <v>7</v>
      </c>
      <c r="E31" s="508" t="s">
        <v>44</v>
      </c>
      <c r="F31" s="508"/>
      <c r="G31" s="508" t="s">
        <v>8</v>
      </c>
      <c r="H31" s="509" t="s">
        <v>45</v>
      </c>
      <c r="I31" s="509" t="s">
        <v>45</v>
      </c>
      <c r="J31" s="510">
        <v>156126</v>
      </c>
      <c r="K31" s="510">
        <v>147045</v>
      </c>
      <c r="L31" s="509" t="s">
        <v>45</v>
      </c>
      <c r="M31" s="509" t="s">
        <v>45</v>
      </c>
      <c r="N31" s="509" t="s">
        <v>197</v>
      </c>
      <c r="O31" s="511">
        <f>O30-J31</f>
        <v>9165930</v>
      </c>
      <c r="P31" s="512">
        <f>J31/H3</f>
        <v>1.5612600000000001E-2</v>
      </c>
      <c r="Q31" s="512"/>
      <c r="R31" s="512" t="s">
        <v>66</v>
      </c>
      <c r="S31" s="511">
        <v>70611</v>
      </c>
      <c r="T31" s="532">
        <v>79448</v>
      </c>
      <c r="U31" s="533" t="s">
        <v>67</v>
      </c>
      <c r="V31" s="513"/>
      <c r="W31" s="4242"/>
      <c r="X31" s="4243"/>
      <c r="Y31" s="472"/>
      <c r="Z31" s="526"/>
      <c r="AA31" s="472"/>
      <c r="AG31" s="505"/>
      <c r="AH31" s="505"/>
      <c r="AI31" s="505"/>
      <c r="AJ31" s="505"/>
      <c r="AK31" s="505"/>
    </row>
    <row r="32" spans="1:37" s="473" customFormat="1" ht="13.5" thickBot="1" x14ac:dyDescent="0.25">
      <c r="A32" s="615"/>
      <c r="B32" s="615"/>
      <c r="C32" s="534"/>
      <c r="D32" s="535"/>
      <c r="E32" s="535"/>
      <c r="F32" s="535"/>
      <c r="G32" s="535"/>
      <c r="H32" s="536"/>
      <c r="I32" s="536"/>
      <c r="J32" s="537"/>
      <c r="K32" s="537"/>
      <c r="L32" s="538"/>
      <c r="M32" s="538"/>
      <c r="N32" s="538"/>
      <c r="O32" s="536"/>
      <c r="P32" s="539"/>
      <c r="Q32" s="539"/>
      <c r="R32" s="539"/>
      <c r="S32" s="536"/>
      <c r="T32" s="540"/>
      <c r="U32" s="541"/>
      <c r="V32" s="513"/>
      <c r="W32" s="4242"/>
      <c r="X32" s="4243"/>
      <c r="Y32" s="472"/>
      <c r="Z32" s="526"/>
      <c r="AA32" s="472"/>
      <c r="AG32" s="505"/>
      <c r="AH32" s="505"/>
      <c r="AI32" s="505"/>
      <c r="AJ32" s="505"/>
      <c r="AK32" s="505"/>
    </row>
    <row r="33" spans="1:37" s="473" customFormat="1" ht="13.5" thickBot="1" x14ac:dyDescent="0.25">
      <c r="A33" s="615"/>
      <c r="B33" s="615"/>
      <c r="C33" s="644" t="s">
        <v>68</v>
      </c>
      <c r="D33" s="655"/>
      <c r="E33" s="655"/>
      <c r="F33" s="655"/>
      <c r="G33" s="655"/>
      <c r="H33" s="646">
        <f>SUM(H29:H31)</f>
        <v>0</v>
      </c>
      <c r="I33" s="646">
        <f>SUM(I29:I31)</f>
        <v>0</v>
      </c>
      <c r="J33" s="647">
        <f>SUM(J30:J31)</f>
        <v>834070</v>
      </c>
      <c r="K33" s="647">
        <f>SUM(K30:K31)</f>
        <v>759832</v>
      </c>
      <c r="L33" s="648"/>
      <c r="M33" s="648"/>
      <c r="N33" s="649">
        <v>2007</v>
      </c>
      <c r="O33" s="506">
        <f>H3-J17-J30-J31</f>
        <v>8374653</v>
      </c>
      <c r="P33" s="650">
        <f>SUM(P29:P31)</f>
        <v>8.3407000000000009E-2</v>
      </c>
      <c r="Q33" s="650">
        <f>J33/H3</f>
        <v>8.3406999999999995E-2</v>
      </c>
      <c r="R33" s="650"/>
      <c r="S33" s="646">
        <f>SUM(S29:S31)</f>
        <v>395160</v>
      </c>
      <c r="T33" s="651">
        <f>SUM(T29:T31)</f>
        <v>465311</v>
      </c>
      <c r="U33" s="656"/>
      <c r="V33" s="542"/>
      <c r="W33" s="4242"/>
      <c r="X33" s="4243"/>
      <c r="Y33" s="472"/>
      <c r="Z33" s="526"/>
      <c r="AA33" s="472"/>
      <c r="AG33" s="505"/>
      <c r="AH33" s="505"/>
      <c r="AI33" s="505"/>
      <c r="AJ33" s="505"/>
      <c r="AK33" s="505"/>
    </row>
    <row r="34" spans="1:37" s="39" customFormat="1" ht="14.25" thickTop="1" thickBot="1" x14ac:dyDescent="0.25">
      <c r="A34" s="615"/>
      <c r="B34" s="615"/>
      <c r="C34" s="25"/>
      <c r="D34" s="26"/>
      <c r="E34" s="26"/>
      <c r="F34" s="26"/>
      <c r="G34" s="26"/>
      <c r="H34" s="27"/>
      <c r="I34" s="27"/>
      <c r="J34" s="203"/>
      <c r="K34" s="203"/>
      <c r="L34" s="203"/>
      <c r="M34" s="203"/>
      <c r="N34" s="27"/>
      <c r="O34" s="27"/>
      <c r="P34" s="28"/>
      <c r="Q34" s="28"/>
      <c r="R34" s="28"/>
      <c r="S34" s="27"/>
      <c r="T34" s="27"/>
      <c r="U34" s="28"/>
      <c r="V34" s="28"/>
      <c r="W34" s="94"/>
      <c r="X34" s="81"/>
      <c r="Y34" s="82"/>
      <c r="Z34" s="95"/>
      <c r="AA34" s="82"/>
      <c r="AG34" s="52"/>
      <c r="AH34" s="52"/>
      <c r="AI34" s="52"/>
      <c r="AJ34" s="52"/>
      <c r="AK34" s="52"/>
    </row>
    <row r="35" spans="1:37" s="39" customFormat="1" ht="14.25" thickTop="1" thickBot="1" x14ac:dyDescent="0.25">
      <c r="A35" s="615"/>
      <c r="B35" s="615"/>
      <c r="C35" s="670" t="s">
        <v>405</v>
      </c>
      <c r="D35" s="675"/>
      <c r="E35" s="675"/>
      <c r="F35" s="675"/>
      <c r="G35" s="675"/>
      <c r="H35" s="1090"/>
      <c r="I35" s="1090"/>
      <c r="J35" s="1091"/>
      <c r="K35" s="1091"/>
      <c r="L35" s="1091"/>
      <c r="M35" s="1091"/>
      <c r="N35" s="1090"/>
      <c r="O35" s="1090"/>
      <c r="P35" s="1092"/>
      <c r="Q35" s="1092"/>
      <c r="R35" s="1092"/>
      <c r="S35" s="1092"/>
      <c r="T35" s="1092"/>
      <c r="U35" s="1093"/>
      <c r="V35" s="91"/>
      <c r="W35" s="94"/>
      <c r="X35" s="81"/>
      <c r="Y35" s="82"/>
      <c r="Z35" s="95"/>
      <c r="AA35" s="82"/>
      <c r="AG35" s="52"/>
      <c r="AH35" s="52"/>
      <c r="AI35" s="52"/>
      <c r="AJ35" s="52"/>
      <c r="AK35" s="52"/>
    </row>
    <row r="36" spans="1:37" s="491" customFormat="1" ht="13.5" thickBot="1" x14ac:dyDescent="0.25">
      <c r="A36" s="634"/>
      <c r="B36" s="634"/>
      <c r="C36" s="516" t="s">
        <v>187</v>
      </c>
      <c r="D36" s="517" t="s">
        <v>14</v>
      </c>
      <c r="E36" s="517" t="s">
        <v>132</v>
      </c>
      <c r="F36" s="517" t="s">
        <v>319</v>
      </c>
      <c r="G36" s="517" t="s">
        <v>8</v>
      </c>
      <c r="H36" s="519">
        <v>1804440</v>
      </c>
      <c r="I36" s="519">
        <v>1563848</v>
      </c>
      <c r="J36" s="520"/>
      <c r="K36" s="520"/>
      <c r="L36" s="520"/>
      <c r="M36" s="520"/>
      <c r="N36" s="520" t="s">
        <v>45</v>
      </c>
      <c r="O36" s="519">
        <f>O33</f>
        <v>8374653</v>
      </c>
      <c r="P36" s="521"/>
      <c r="Q36" s="521"/>
      <c r="R36" s="521"/>
      <c r="S36" s="519"/>
      <c r="T36" s="522"/>
      <c r="U36" s="523"/>
      <c r="V36" s="487"/>
      <c r="W36" s="545"/>
      <c r="X36" s="546"/>
      <c r="Y36" s="490"/>
      <c r="Z36" s="531"/>
      <c r="AA36" s="490"/>
      <c r="AG36" s="492"/>
      <c r="AH36" s="492"/>
      <c r="AI36" s="492"/>
      <c r="AJ36" s="492"/>
      <c r="AK36" s="492"/>
    </row>
    <row r="37" spans="1:37" s="491" customFormat="1" ht="13.5" thickTop="1" x14ac:dyDescent="0.2">
      <c r="A37" s="634"/>
      <c r="B37" s="634"/>
      <c r="C37" s="653"/>
      <c r="D37" s="73"/>
      <c r="E37" s="73"/>
      <c r="F37" s="73"/>
      <c r="G37" s="73"/>
      <c r="H37" s="74"/>
      <c r="I37" s="74"/>
      <c r="J37" s="635"/>
      <c r="K37" s="635"/>
      <c r="L37" s="635"/>
      <c r="M37" s="635"/>
      <c r="N37" s="657">
        <v>2007</v>
      </c>
      <c r="O37" s="525">
        <f>H3-J17-J30-J31</f>
        <v>8374653</v>
      </c>
      <c r="P37" s="92"/>
      <c r="Q37" s="92"/>
      <c r="R37" s="92"/>
      <c r="S37" s="74"/>
      <c r="T37" s="74"/>
      <c r="U37" s="92"/>
      <c r="V37" s="487"/>
      <c r="W37" s="607"/>
      <c r="X37" s="608"/>
      <c r="Y37" s="490"/>
      <c r="Z37" s="531"/>
      <c r="AA37" s="490"/>
      <c r="AG37" s="492"/>
      <c r="AH37" s="492"/>
      <c r="AI37" s="492"/>
      <c r="AJ37" s="492"/>
      <c r="AK37" s="492"/>
    </row>
    <row r="38" spans="1:37" s="39" customFormat="1" ht="13.5" thickBot="1" x14ac:dyDescent="0.25">
      <c r="A38" s="615"/>
      <c r="B38" s="615"/>
      <c r="C38" s="25"/>
      <c r="D38" s="26"/>
      <c r="E38" s="26"/>
      <c r="F38" s="26"/>
      <c r="G38" s="26"/>
      <c r="H38" s="27"/>
      <c r="I38" s="27"/>
      <c r="J38" s="203"/>
      <c r="K38" s="203"/>
      <c r="L38" s="203"/>
      <c r="M38" s="203"/>
      <c r="N38" s="27"/>
      <c r="O38" s="27"/>
      <c r="P38" s="28"/>
      <c r="Q38" s="28"/>
      <c r="R38" s="28"/>
      <c r="S38" s="27"/>
      <c r="T38" s="27"/>
      <c r="U38" s="28"/>
      <c r="V38" s="28"/>
      <c r="W38" s="4232"/>
      <c r="X38" s="4232"/>
      <c r="Y38" s="4232"/>
      <c r="Z38" s="4232"/>
      <c r="AA38" s="82"/>
      <c r="AG38" s="52"/>
      <c r="AH38" s="52"/>
      <c r="AI38" s="52"/>
      <c r="AJ38" s="52"/>
      <c r="AK38" s="52"/>
    </row>
    <row r="39" spans="1:37" s="39" customFormat="1" ht="14.25" thickTop="1" thickBot="1" x14ac:dyDescent="0.25">
      <c r="A39" s="615"/>
      <c r="B39" s="615"/>
      <c r="C39" s="676" t="s">
        <v>406</v>
      </c>
      <c r="D39" s="419"/>
      <c r="E39" s="419"/>
      <c r="F39" s="419"/>
      <c r="G39" s="419"/>
      <c r="H39" s="1096"/>
      <c r="I39" s="1096"/>
      <c r="J39" s="1097"/>
      <c r="K39" s="1097"/>
      <c r="L39" s="1097"/>
      <c r="M39" s="1097"/>
      <c r="N39" s="1096"/>
      <c r="O39" s="1096"/>
      <c r="P39" s="1098"/>
      <c r="Q39" s="1098"/>
      <c r="R39" s="1098"/>
      <c r="S39" s="1096"/>
      <c r="T39" s="1096"/>
      <c r="U39" s="1099"/>
      <c r="V39" s="28"/>
      <c r="W39" s="4232"/>
      <c r="X39" s="4229"/>
      <c r="Y39" s="117"/>
      <c r="Z39" s="117"/>
      <c r="AA39" s="82"/>
      <c r="AG39" s="52"/>
      <c r="AH39" s="52"/>
      <c r="AI39" s="52"/>
      <c r="AJ39" s="52"/>
      <c r="AK39" s="52"/>
    </row>
    <row r="40" spans="1:37" s="491" customFormat="1" ht="13.5" thickTop="1" x14ac:dyDescent="0.2">
      <c r="A40" s="474" t="s">
        <v>185</v>
      </c>
      <c r="B40" s="474"/>
      <c r="C40" s="475" t="s">
        <v>134</v>
      </c>
      <c r="D40" s="476" t="s">
        <v>7</v>
      </c>
      <c r="E40" s="476" t="s">
        <v>132</v>
      </c>
      <c r="F40" s="476" t="s">
        <v>557</v>
      </c>
      <c r="G40" s="476" t="s">
        <v>8</v>
      </c>
      <c r="H40" s="477" t="s">
        <v>45</v>
      </c>
      <c r="I40" s="477" t="s">
        <v>45</v>
      </c>
      <c r="J40" s="478">
        <v>79054</v>
      </c>
      <c r="K40" s="478">
        <v>66885</v>
      </c>
      <c r="L40" s="477" t="s">
        <v>45</v>
      </c>
      <c r="M40" s="477" t="s">
        <v>45</v>
      </c>
      <c r="N40" s="477" t="s">
        <v>45</v>
      </c>
      <c r="O40" s="480"/>
      <c r="P40" s="481"/>
      <c r="Q40" s="481"/>
      <c r="R40" s="481" t="s">
        <v>64</v>
      </c>
      <c r="S40" s="480"/>
      <c r="T40" s="493"/>
      <c r="U40" s="494" t="s">
        <v>67</v>
      </c>
      <c r="V40" s="487"/>
      <c r="W40" s="4236"/>
      <c r="X40" s="4237"/>
      <c r="Y40" s="488"/>
      <c r="Z40" s="547"/>
      <c r="AA40" s="490"/>
      <c r="AG40" s="492"/>
      <c r="AH40" s="492"/>
      <c r="AI40" s="492"/>
      <c r="AJ40" s="492"/>
      <c r="AK40" s="492"/>
    </row>
    <row r="41" spans="1:37" s="473" customFormat="1" x14ac:dyDescent="0.2">
      <c r="A41" s="602" t="s">
        <v>178</v>
      </c>
      <c r="B41" s="602"/>
      <c r="C41" s="507" t="s">
        <v>50</v>
      </c>
      <c r="D41" s="508" t="s">
        <v>7</v>
      </c>
      <c r="E41" s="508" t="s">
        <v>44</v>
      </c>
      <c r="F41" s="508" t="s">
        <v>315</v>
      </c>
      <c r="G41" s="508" t="s">
        <v>8</v>
      </c>
      <c r="H41" s="509" t="s">
        <v>45</v>
      </c>
      <c r="I41" s="509" t="s">
        <v>45</v>
      </c>
      <c r="J41" s="510">
        <v>1653965</v>
      </c>
      <c r="K41" s="510">
        <v>1433436</v>
      </c>
      <c r="L41" s="509">
        <f>J41-H18</f>
        <v>420892</v>
      </c>
      <c r="M41" s="509">
        <f>K41-I18</f>
        <v>321473</v>
      </c>
      <c r="N41" s="511" t="s">
        <v>198</v>
      </c>
      <c r="O41" s="511">
        <f>O36-J41</f>
        <v>6720688</v>
      </c>
      <c r="P41" s="512">
        <f>J41/H3</f>
        <v>0.1653965</v>
      </c>
      <c r="Q41" s="512"/>
      <c r="R41" s="512" t="s">
        <v>36</v>
      </c>
      <c r="S41" s="511">
        <v>2212917</v>
      </c>
      <c r="T41" s="532">
        <v>2406016</v>
      </c>
      <c r="U41" s="533" t="s">
        <v>58</v>
      </c>
      <c r="V41" s="513"/>
      <c r="W41" s="4242"/>
      <c r="X41" s="4243"/>
      <c r="Y41" s="469"/>
      <c r="Z41" s="548"/>
      <c r="AA41" s="472"/>
      <c r="AG41" s="505"/>
      <c r="AH41" s="505"/>
      <c r="AI41" s="505"/>
      <c r="AJ41" s="505"/>
      <c r="AK41" s="505"/>
    </row>
    <row r="42" spans="1:37" s="473" customFormat="1" ht="13.5" thickBot="1" x14ac:dyDescent="0.25">
      <c r="A42" s="615"/>
      <c r="B42" s="615"/>
      <c r="C42" s="507"/>
      <c r="D42" s="508"/>
      <c r="E42" s="508"/>
      <c r="F42" s="508"/>
      <c r="G42" s="508"/>
      <c r="H42" s="511"/>
      <c r="I42" s="511"/>
      <c r="J42" s="510"/>
      <c r="K42" s="510"/>
      <c r="L42" s="509"/>
      <c r="M42" s="509"/>
      <c r="N42" s="511"/>
      <c r="O42" s="511"/>
      <c r="P42" s="512"/>
      <c r="Q42" s="512"/>
      <c r="R42" s="512"/>
      <c r="S42" s="511"/>
      <c r="T42" s="532"/>
      <c r="U42" s="533"/>
      <c r="V42" s="513"/>
      <c r="W42" s="4242"/>
      <c r="X42" s="4243"/>
      <c r="Y42" s="469"/>
      <c r="Z42" s="548"/>
      <c r="AA42" s="472"/>
      <c r="AG42" s="505"/>
      <c r="AH42" s="505"/>
      <c r="AI42" s="505"/>
      <c r="AJ42" s="505"/>
      <c r="AK42" s="505"/>
    </row>
    <row r="43" spans="1:37" s="473" customFormat="1" ht="14.25" thickTop="1" thickBot="1" x14ac:dyDescent="0.25">
      <c r="A43" s="615"/>
      <c r="B43" s="615"/>
      <c r="C43" s="658" t="s">
        <v>38</v>
      </c>
      <c r="D43" s="109"/>
      <c r="E43" s="109"/>
      <c r="F43" s="109"/>
      <c r="G43" s="109"/>
      <c r="H43" s="110">
        <f>SUM(H40:H41)</f>
        <v>0</v>
      </c>
      <c r="I43" s="110">
        <f>SUM(I40:I41)</f>
        <v>0</v>
      </c>
      <c r="J43" s="110">
        <f>SUM(J41)</f>
        <v>1653965</v>
      </c>
      <c r="K43" s="110">
        <f>SUM(K41)</f>
        <v>1433436</v>
      </c>
      <c r="L43" s="659"/>
      <c r="M43" s="659"/>
      <c r="N43" s="660">
        <v>2007</v>
      </c>
      <c r="O43" s="549">
        <f>H3-J17-J30-J31-J41</f>
        <v>6720688</v>
      </c>
      <c r="P43" s="661">
        <f>SUM(P40:P41)</f>
        <v>0.1653965</v>
      </c>
      <c r="Q43" s="661">
        <f>J43/H3</f>
        <v>0.1653965</v>
      </c>
      <c r="R43" s="661"/>
      <c r="S43" s="110">
        <f>SUM(S40:S41)</f>
        <v>2212917</v>
      </c>
      <c r="T43" s="110">
        <f>SUM(T40:T41)</f>
        <v>2406016</v>
      </c>
      <c r="U43" s="111"/>
      <c r="V43" s="513"/>
      <c r="W43" s="4242"/>
      <c r="X43" s="4243"/>
      <c r="Y43" s="469"/>
      <c r="Z43" s="548"/>
      <c r="AA43" s="472"/>
      <c r="AG43" s="505"/>
      <c r="AH43" s="505"/>
      <c r="AI43" s="505"/>
      <c r="AJ43" s="505"/>
      <c r="AK43" s="505"/>
    </row>
    <row r="44" spans="1:37" s="39" customFormat="1" ht="14.25" thickTop="1" thickBot="1" x14ac:dyDescent="0.25">
      <c r="A44" s="615"/>
      <c r="B44" s="615"/>
      <c r="C44" s="25"/>
      <c r="D44" s="26"/>
      <c r="E44" s="26"/>
      <c r="F44" s="26"/>
      <c r="G44" s="26"/>
      <c r="H44" s="27"/>
      <c r="I44" s="27"/>
      <c r="J44" s="203"/>
      <c r="K44" s="203"/>
      <c r="L44" s="203"/>
      <c r="M44" s="203"/>
      <c r="N44" s="27"/>
      <c r="O44" s="27"/>
      <c r="P44" s="28"/>
      <c r="Q44" s="28"/>
      <c r="R44" s="28"/>
      <c r="S44" s="27"/>
      <c r="T44" s="27"/>
      <c r="U44" s="28"/>
      <c r="V44" s="28"/>
      <c r="W44" s="94"/>
      <c r="X44" s="81"/>
      <c r="Y44" s="201"/>
      <c r="Z44" s="238"/>
      <c r="AA44" s="82"/>
      <c r="AG44" s="52"/>
      <c r="AH44" s="52"/>
      <c r="AI44" s="52"/>
      <c r="AJ44" s="52"/>
      <c r="AK44" s="52"/>
    </row>
    <row r="45" spans="1:37" s="39" customFormat="1" ht="14.25" thickTop="1" thickBot="1" x14ac:dyDescent="0.25">
      <c r="A45" s="615"/>
      <c r="B45" s="615"/>
      <c r="C45" s="407" t="s">
        <v>407</v>
      </c>
      <c r="D45" s="109"/>
      <c r="E45" s="109"/>
      <c r="F45" s="109"/>
      <c r="G45" s="109"/>
      <c r="H45" s="110"/>
      <c r="I45" s="110"/>
      <c r="J45" s="659"/>
      <c r="K45" s="659"/>
      <c r="L45" s="659"/>
      <c r="M45" s="659"/>
      <c r="N45" s="110"/>
      <c r="O45" s="110"/>
      <c r="P45" s="661"/>
      <c r="Q45" s="661"/>
      <c r="R45" s="661"/>
      <c r="S45" s="110"/>
      <c r="T45" s="1100"/>
      <c r="U45" s="111"/>
      <c r="V45" s="28"/>
      <c r="W45" s="94"/>
      <c r="X45" s="81"/>
      <c r="Y45" s="82"/>
      <c r="Z45" s="95"/>
      <c r="AA45" s="82"/>
      <c r="AG45" s="52"/>
      <c r="AH45" s="52"/>
      <c r="AI45" s="52"/>
      <c r="AJ45" s="52"/>
      <c r="AK45" s="52"/>
    </row>
    <row r="46" spans="1:37" s="473" customFormat="1" ht="14.25" thickTop="1" thickBot="1" x14ac:dyDescent="0.25">
      <c r="A46" s="474" t="s">
        <v>191</v>
      </c>
      <c r="B46" s="602"/>
      <c r="C46" s="516" t="s">
        <v>188</v>
      </c>
      <c r="D46" s="517" t="s">
        <v>7</v>
      </c>
      <c r="E46" s="517" t="s">
        <v>132</v>
      </c>
      <c r="F46" s="517" t="s">
        <v>848</v>
      </c>
      <c r="G46" s="517" t="s">
        <v>8</v>
      </c>
      <c r="H46" s="520" t="s">
        <v>45</v>
      </c>
      <c r="I46" s="520" t="s">
        <v>45</v>
      </c>
      <c r="J46" s="1083">
        <v>607347</v>
      </c>
      <c r="K46" s="1083">
        <v>496000</v>
      </c>
      <c r="L46" s="520" t="s">
        <v>45</v>
      </c>
      <c r="M46" s="520" t="s">
        <v>45</v>
      </c>
      <c r="N46" s="519" t="s">
        <v>45</v>
      </c>
      <c r="O46" s="519"/>
      <c r="P46" s="521"/>
      <c r="Q46" s="521"/>
      <c r="R46" s="521" t="s">
        <v>189</v>
      </c>
      <c r="S46" s="519"/>
      <c r="T46" s="522"/>
      <c r="U46" s="523" t="s">
        <v>58</v>
      </c>
      <c r="V46" s="513"/>
      <c r="W46" s="543"/>
      <c r="X46" s="544"/>
      <c r="Y46" s="472"/>
      <c r="Z46" s="526"/>
      <c r="AA46" s="472"/>
      <c r="AG46" s="505"/>
      <c r="AH46" s="505"/>
      <c r="AI46" s="505"/>
      <c r="AJ46" s="505"/>
      <c r="AK46" s="505"/>
    </row>
    <row r="47" spans="1:37" s="473" customFormat="1" ht="13.5" thickTop="1" x14ac:dyDescent="0.2">
      <c r="A47" s="916"/>
      <c r="B47" s="916"/>
      <c r="C47" s="25"/>
      <c r="D47" s="26"/>
      <c r="E47" s="26"/>
      <c r="F47" s="26"/>
      <c r="G47" s="26"/>
      <c r="H47" s="203"/>
      <c r="I47" s="203"/>
      <c r="J47" s="248"/>
      <c r="K47" s="248"/>
      <c r="L47" s="203"/>
      <c r="M47" s="203"/>
      <c r="N47" s="643">
        <v>2007</v>
      </c>
      <c r="O47" s="525">
        <f>H3-J17-J30-J31-J41</f>
        <v>6720688</v>
      </c>
      <c r="P47" s="28"/>
      <c r="Q47" s="28"/>
      <c r="R47" s="28"/>
      <c r="S47" s="27"/>
      <c r="T47" s="27"/>
      <c r="U47" s="28"/>
      <c r="V47" s="513"/>
      <c r="W47" s="603"/>
      <c r="X47" s="604"/>
      <c r="Y47" s="472"/>
      <c r="Z47" s="526"/>
      <c r="AA47" s="472"/>
      <c r="AG47" s="505"/>
      <c r="AH47" s="505"/>
      <c r="AI47" s="505"/>
      <c r="AJ47" s="505"/>
      <c r="AK47" s="505"/>
    </row>
    <row r="48" spans="1:37" s="39" customFormat="1" ht="13.5" thickBot="1" x14ac:dyDescent="0.25">
      <c r="A48" s="615"/>
      <c r="B48" s="615"/>
      <c r="C48" s="25"/>
      <c r="D48" s="26"/>
      <c r="E48" s="26"/>
      <c r="F48" s="26"/>
      <c r="G48" s="26"/>
      <c r="H48" s="27"/>
      <c r="I48" s="27"/>
      <c r="J48" s="203"/>
      <c r="K48" s="203"/>
      <c r="L48" s="203"/>
      <c r="M48" s="203"/>
      <c r="N48" s="27"/>
      <c r="O48" s="27"/>
      <c r="P48" s="28"/>
      <c r="Q48" s="28"/>
      <c r="R48" s="28"/>
      <c r="S48" s="27"/>
      <c r="T48" s="27"/>
      <c r="U48" s="28"/>
      <c r="V48" s="28"/>
      <c r="W48" s="94"/>
      <c r="X48" s="81"/>
      <c r="Y48" s="82"/>
      <c r="Z48" s="95"/>
      <c r="AA48" s="82"/>
      <c r="AG48" s="52"/>
      <c r="AH48" s="52"/>
      <c r="AI48" s="52"/>
      <c r="AJ48" s="52"/>
      <c r="AK48" s="52"/>
    </row>
    <row r="49" spans="1:37" s="39" customFormat="1" ht="14.25" thickTop="1" thickBot="1" x14ac:dyDescent="0.25">
      <c r="A49" s="615"/>
      <c r="B49" s="615"/>
      <c r="C49" s="407" t="s">
        <v>408</v>
      </c>
      <c r="D49" s="109"/>
      <c r="E49" s="109"/>
      <c r="F49" s="109"/>
      <c r="G49" s="109"/>
      <c r="H49" s="110"/>
      <c r="I49" s="110"/>
      <c r="J49" s="659"/>
      <c r="K49" s="659"/>
      <c r="L49" s="659"/>
      <c r="M49" s="659"/>
      <c r="N49" s="110"/>
      <c r="O49" s="110"/>
      <c r="P49" s="661"/>
      <c r="Q49" s="661"/>
      <c r="R49" s="661"/>
      <c r="S49" s="110"/>
      <c r="T49" s="1100"/>
      <c r="U49" s="111"/>
      <c r="V49" s="28"/>
      <c r="W49" s="94"/>
      <c r="X49" s="81"/>
      <c r="Y49" s="82"/>
      <c r="Z49" s="95"/>
      <c r="AA49" s="82"/>
      <c r="AG49" s="52"/>
      <c r="AH49" s="52"/>
      <c r="AI49" s="52"/>
      <c r="AJ49" s="52"/>
      <c r="AK49" s="52"/>
    </row>
    <row r="50" spans="1:37" s="473" customFormat="1" ht="13.5" thickTop="1" x14ac:dyDescent="0.2">
      <c r="A50" s="602" t="s">
        <v>177</v>
      </c>
      <c r="B50" s="602"/>
      <c r="C50" s="552" t="s">
        <v>125</v>
      </c>
      <c r="D50" s="553" t="s">
        <v>7</v>
      </c>
      <c r="E50" s="553" t="s">
        <v>44</v>
      </c>
      <c r="F50" s="553" t="s">
        <v>315</v>
      </c>
      <c r="G50" s="553" t="s">
        <v>8</v>
      </c>
      <c r="H50" s="554"/>
      <c r="I50" s="554"/>
      <c r="J50" s="555">
        <v>182396</v>
      </c>
      <c r="K50" s="555">
        <v>159341</v>
      </c>
      <c r="L50" s="555">
        <f>J50-H19</f>
        <v>-15130</v>
      </c>
      <c r="M50" s="555">
        <f>K50-I19</f>
        <v>-19432</v>
      </c>
      <c r="N50" s="554" t="s">
        <v>196</v>
      </c>
      <c r="O50" s="554">
        <f>O47-J50</f>
        <v>6538292</v>
      </c>
      <c r="P50" s="556">
        <f>J50/H3</f>
        <v>1.8239600000000002E-2</v>
      </c>
      <c r="Q50" s="556"/>
      <c r="R50" s="556" t="s">
        <v>37</v>
      </c>
      <c r="S50" s="554">
        <v>94388</v>
      </c>
      <c r="T50" s="554">
        <v>115164</v>
      </c>
      <c r="U50" s="557" t="s">
        <v>58</v>
      </c>
      <c r="V50" s="513"/>
      <c r="W50" s="543"/>
      <c r="X50" s="544"/>
      <c r="Y50" s="472"/>
      <c r="Z50" s="526"/>
      <c r="AA50" s="472"/>
      <c r="AG50" s="505"/>
      <c r="AH50" s="505"/>
      <c r="AI50" s="505"/>
      <c r="AJ50" s="505"/>
      <c r="AK50" s="505"/>
    </row>
    <row r="51" spans="1:37" s="473" customFormat="1" x14ac:dyDescent="0.2">
      <c r="A51" s="602" t="s">
        <v>184</v>
      </c>
      <c r="B51" s="602"/>
      <c r="C51" s="558" t="s">
        <v>121</v>
      </c>
      <c r="D51" s="508" t="s">
        <v>7</v>
      </c>
      <c r="E51" s="508" t="s">
        <v>44</v>
      </c>
      <c r="F51" s="508" t="s">
        <v>317</v>
      </c>
      <c r="G51" s="508" t="s">
        <v>8</v>
      </c>
      <c r="H51" s="511"/>
      <c r="I51" s="511"/>
      <c r="J51" s="510">
        <v>1786828</v>
      </c>
      <c r="K51" s="510">
        <v>1548584</v>
      </c>
      <c r="L51" s="510">
        <f>J51-H36</f>
        <v>-17612</v>
      </c>
      <c r="M51" s="510">
        <f>K51-I36</f>
        <v>-15264</v>
      </c>
      <c r="N51" s="511" t="s">
        <v>199</v>
      </c>
      <c r="O51" s="511">
        <f>O50-J51</f>
        <v>4751464</v>
      </c>
      <c r="P51" s="512">
        <f>J51/H3</f>
        <v>0.1786828</v>
      </c>
      <c r="Q51" s="512"/>
      <c r="R51" s="512" t="s">
        <v>320</v>
      </c>
      <c r="S51" s="511">
        <v>2129672</v>
      </c>
      <c r="T51" s="511">
        <v>2359958</v>
      </c>
      <c r="U51" s="533" t="s">
        <v>58</v>
      </c>
      <c r="V51" s="513"/>
      <c r="W51" s="543"/>
      <c r="X51" s="544"/>
      <c r="Y51" s="472"/>
      <c r="Z51" s="526"/>
      <c r="AA51" s="472"/>
      <c r="AG51" s="505"/>
      <c r="AH51" s="505"/>
      <c r="AI51" s="505"/>
      <c r="AJ51" s="505"/>
      <c r="AK51" s="505"/>
    </row>
    <row r="52" spans="1:37" s="1176" customFormat="1" ht="13.5" thickBot="1" x14ac:dyDescent="0.25">
      <c r="A52" s="1163" t="s">
        <v>338</v>
      </c>
      <c r="B52" s="1163"/>
      <c r="C52" s="1164" t="s">
        <v>300</v>
      </c>
      <c r="D52" s="1165" t="s">
        <v>14</v>
      </c>
      <c r="E52" s="1165" t="s">
        <v>132</v>
      </c>
      <c r="F52" s="1165" t="s">
        <v>558</v>
      </c>
      <c r="G52" s="1165" t="s">
        <v>8</v>
      </c>
      <c r="H52" s="1166">
        <v>1942989</v>
      </c>
      <c r="I52" s="1166">
        <v>1683924</v>
      </c>
      <c r="J52" s="1167"/>
      <c r="K52" s="1167"/>
      <c r="L52" s="1167"/>
      <c r="M52" s="1167"/>
      <c r="N52" s="1168" t="s">
        <v>45</v>
      </c>
      <c r="O52" s="1166"/>
      <c r="P52" s="1169"/>
      <c r="Q52" s="1169"/>
      <c r="R52" s="1169" t="s">
        <v>302</v>
      </c>
      <c r="S52" s="1166"/>
      <c r="T52" s="1166"/>
      <c r="U52" s="1170" t="s">
        <v>67</v>
      </c>
      <c r="V52" s="1171"/>
      <c r="W52" s="1172"/>
      <c r="X52" s="1173"/>
      <c r="Y52" s="1174"/>
      <c r="Z52" s="1175"/>
      <c r="AA52" s="1174"/>
      <c r="AG52" s="1177"/>
      <c r="AH52" s="1177"/>
      <c r="AI52" s="1177"/>
      <c r="AJ52" s="1177"/>
      <c r="AK52" s="1177"/>
    </row>
    <row r="53" spans="1:37" s="564" customFormat="1" ht="14.25" thickTop="1" thickBot="1" x14ac:dyDescent="0.25">
      <c r="A53" s="615"/>
      <c r="B53" s="615"/>
      <c r="C53" s="407" t="s">
        <v>38</v>
      </c>
      <c r="D53" s="109"/>
      <c r="E53" s="109"/>
      <c r="F53" s="109"/>
      <c r="G53" s="109"/>
      <c r="H53" s="110">
        <v>0</v>
      </c>
      <c r="I53" s="110">
        <v>0</v>
      </c>
      <c r="J53" s="110">
        <f>SUM(J50:J52)</f>
        <v>1969224</v>
      </c>
      <c r="K53" s="110">
        <f>SUM(K50:K52)</f>
        <v>1707925</v>
      </c>
      <c r="L53" s="659"/>
      <c r="M53" s="659"/>
      <c r="N53" s="633">
        <v>2007</v>
      </c>
      <c r="O53" s="549">
        <f>H3-J17-J30-J31-J41-J50-J51</f>
        <v>4751464</v>
      </c>
      <c r="P53" s="661">
        <f>SUM(P50:P51)</f>
        <v>0.1969224</v>
      </c>
      <c r="Q53" s="661">
        <f>J53/H3</f>
        <v>0.1969224</v>
      </c>
      <c r="R53" s="661"/>
      <c r="S53" s="110">
        <f>SUM(S50:S52)</f>
        <v>2224060</v>
      </c>
      <c r="T53" s="110">
        <f>SUM(T50:T52)</f>
        <v>2475122</v>
      </c>
      <c r="U53" s="111"/>
      <c r="V53" s="559"/>
      <c r="W53" s="560"/>
      <c r="X53" s="561"/>
      <c r="Y53" s="562"/>
      <c r="Z53" s="563"/>
      <c r="AA53" s="562"/>
      <c r="AG53" s="565"/>
      <c r="AH53" s="565"/>
      <c r="AI53" s="565"/>
      <c r="AJ53" s="565"/>
      <c r="AK53" s="565"/>
    </row>
    <row r="54" spans="1:37" s="39" customFormat="1" ht="13.5" thickTop="1" x14ac:dyDescent="0.2">
      <c r="A54" s="615"/>
      <c r="B54" s="615"/>
      <c r="C54" s="611"/>
      <c r="D54" s="26"/>
      <c r="E54" s="26"/>
      <c r="F54" s="26"/>
      <c r="G54" s="26"/>
      <c r="H54" s="27"/>
      <c r="I54" s="27"/>
      <c r="J54" s="27"/>
      <c r="K54" s="27"/>
      <c r="L54" s="203"/>
      <c r="M54" s="203"/>
      <c r="N54" s="1853">
        <v>2008</v>
      </c>
      <c r="O54" s="1233">
        <f>H3</f>
        <v>10000000</v>
      </c>
      <c r="P54" s="622"/>
      <c r="Q54" s="622"/>
      <c r="R54" s="28"/>
      <c r="S54" s="27"/>
      <c r="T54" s="27"/>
      <c r="U54" s="28"/>
      <c r="V54" s="28"/>
      <c r="W54" s="94"/>
      <c r="X54" s="81"/>
      <c r="Y54" s="82"/>
      <c r="Z54" s="95"/>
      <c r="AA54" s="82"/>
      <c r="AG54" s="52"/>
      <c r="AH54" s="52"/>
      <c r="AI54" s="52"/>
      <c r="AJ54" s="52"/>
      <c r="AK54" s="52"/>
    </row>
    <row r="55" spans="1:37" s="39" customFormat="1" ht="13.5" thickBot="1" x14ac:dyDescent="0.25">
      <c r="A55" s="615"/>
      <c r="B55" s="615"/>
      <c r="C55" s="611"/>
      <c r="D55" s="26"/>
      <c r="E55" s="26"/>
      <c r="F55" s="26"/>
      <c r="G55" s="26"/>
      <c r="H55" s="27"/>
      <c r="I55" s="27"/>
      <c r="J55" s="27"/>
      <c r="K55" s="27"/>
      <c r="L55" s="203"/>
      <c r="M55" s="203"/>
      <c r="N55" s="620"/>
      <c r="O55" s="621"/>
      <c r="P55" s="622"/>
      <c r="Q55" s="622"/>
      <c r="R55" s="28"/>
      <c r="S55" s="27"/>
      <c r="T55" s="27"/>
      <c r="U55" s="28"/>
      <c r="V55" s="28"/>
      <c r="W55" s="94"/>
      <c r="X55" s="81"/>
      <c r="Y55" s="82"/>
      <c r="Z55" s="95"/>
      <c r="AA55" s="82"/>
      <c r="AG55" s="52"/>
      <c r="AH55" s="52"/>
      <c r="AI55" s="52"/>
      <c r="AJ55" s="52"/>
      <c r="AK55" s="52"/>
    </row>
    <row r="56" spans="1:37" s="39" customFormat="1" ht="14.25" thickTop="1" thickBot="1" x14ac:dyDescent="0.25">
      <c r="A56" s="615"/>
      <c r="B56" s="615"/>
      <c r="C56" s="676" t="s">
        <v>400</v>
      </c>
      <c r="D56" s="419"/>
      <c r="E56" s="419"/>
      <c r="F56" s="419"/>
      <c r="G56" s="419"/>
      <c r="H56" s="1096"/>
      <c r="I56" s="1096"/>
      <c r="J56" s="1096"/>
      <c r="K56" s="1096"/>
      <c r="L56" s="1097"/>
      <c r="M56" s="1097"/>
      <c r="N56" s="1101"/>
      <c r="O56" s="1096"/>
      <c r="P56" s="1098"/>
      <c r="Q56" s="1098"/>
      <c r="R56" s="1098"/>
      <c r="S56" s="1096"/>
      <c r="T56" s="1096"/>
      <c r="U56" s="1099"/>
      <c r="V56" s="28"/>
      <c r="W56" s="94"/>
      <c r="X56" s="81"/>
      <c r="Y56" s="82"/>
      <c r="Z56" s="95"/>
      <c r="AA56" s="82"/>
      <c r="AG56" s="52"/>
      <c r="AH56" s="52"/>
      <c r="AI56" s="52"/>
      <c r="AJ56" s="52"/>
      <c r="AK56" s="52"/>
    </row>
    <row r="57" spans="1:37" s="1245" customFormat="1" ht="13.5" thickTop="1" x14ac:dyDescent="0.2">
      <c r="A57" s="634"/>
      <c r="B57" s="634"/>
      <c r="C57" s="1307" t="s">
        <v>383</v>
      </c>
      <c r="D57" s="1243" t="s">
        <v>14</v>
      </c>
      <c r="E57" s="1243" t="s">
        <v>132</v>
      </c>
      <c r="F57" s="1243" t="s">
        <v>747</v>
      </c>
      <c r="G57" s="1243" t="s">
        <v>8</v>
      </c>
      <c r="H57" s="1308">
        <v>1048047</v>
      </c>
      <c r="I57" s="1308">
        <v>960709</v>
      </c>
      <c r="J57" s="1308"/>
      <c r="K57" s="1308"/>
      <c r="L57" s="1309"/>
      <c r="M57" s="1309"/>
      <c r="N57" s="1310" t="s">
        <v>45</v>
      </c>
      <c r="O57" s="1308">
        <f>H3</f>
        <v>10000000</v>
      </c>
      <c r="P57" s="1311"/>
      <c r="Q57" s="1311"/>
      <c r="R57" s="1311" t="s">
        <v>41</v>
      </c>
      <c r="S57" s="1308"/>
      <c r="T57" s="1308"/>
      <c r="U57" s="1312"/>
      <c r="V57" s="1240"/>
      <c r="W57" s="1241"/>
      <c r="X57" s="1242"/>
      <c r="Y57" s="1243"/>
      <c r="Z57" s="1244"/>
      <c r="AA57" s="1243"/>
      <c r="AG57" s="1246"/>
      <c r="AH57" s="1246"/>
      <c r="AI57" s="1246"/>
      <c r="AJ57" s="1246"/>
      <c r="AK57" s="1246"/>
    </row>
    <row r="58" spans="1:37" s="1176" customFormat="1" x14ac:dyDescent="0.2">
      <c r="A58" s="1163" t="s">
        <v>410</v>
      </c>
      <c r="B58" s="1163"/>
      <c r="C58" s="1178" t="s">
        <v>384</v>
      </c>
      <c r="D58" s="1174" t="s">
        <v>14</v>
      </c>
      <c r="E58" s="1174" t="s">
        <v>46</v>
      </c>
      <c r="F58" s="1174" t="s">
        <v>411</v>
      </c>
      <c r="G58" s="1174" t="s">
        <v>8</v>
      </c>
      <c r="H58" s="1179">
        <v>71302</v>
      </c>
      <c r="I58" s="1179">
        <v>65011</v>
      </c>
      <c r="J58" s="1179"/>
      <c r="K58" s="1179"/>
      <c r="L58" s="1180"/>
      <c r="M58" s="1180"/>
      <c r="N58" s="1181" t="s">
        <v>45</v>
      </c>
      <c r="O58" s="1179">
        <f>O54</f>
        <v>10000000</v>
      </c>
      <c r="P58" s="1182"/>
      <c r="Q58" s="1182"/>
      <c r="R58" s="1182" t="s">
        <v>36</v>
      </c>
      <c r="S58" s="1179"/>
      <c r="T58" s="1179"/>
      <c r="U58" s="1183" t="s">
        <v>390</v>
      </c>
      <c r="V58" s="1171"/>
      <c r="W58" s="1172"/>
      <c r="X58" s="1173"/>
      <c r="Y58" s="1174"/>
      <c r="Z58" s="1175"/>
      <c r="AA58" s="1174"/>
      <c r="AG58" s="1177"/>
      <c r="AH58" s="1177"/>
      <c r="AI58" s="1177"/>
      <c r="AJ58" s="1177"/>
      <c r="AK58" s="1177"/>
    </row>
    <row r="59" spans="1:37" s="1176" customFormat="1" ht="13.5" thickBot="1" x14ac:dyDescent="0.25">
      <c r="A59" s="634"/>
      <c r="B59" s="634"/>
      <c r="C59" s="1184" t="s">
        <v>412</v>
      </c>
      <c r="D59" s="1185" t="s">
        <v>14</v>
      </c>
      <c r="E59" s="1185" t="s">
        <v>132</v>
      </c>
      <c r="F59" s="1185" t="s">
        <v>682</v>
      </c>
      <c r="G59" s="1185" t="s">
        <v>8</v>
      </c>
      <c r="H59" s="1186">
        <v>195102</v>
      </c>
      <c r="I59" s="1186">
        <v>185087</v>
      </c>
      <c r="J59" s="1186"/>
      <c r="K59" s="1186"/>
      <c r="L59" s="1187"/>
      <c r="M59" s="1187"/>
      <c r="N59" s="1188" t="s">
        <v>45</v>
      </c>
      <c r="O59" s="1186">
        <f>O58</f>
        <v>10000000</v>
      </c>
      <c r="P59" s="1189"/>
      <c r="Q59" s="1189"/>
      <c r="R59" s="1189" t="s">
        <v>413</v>
      </c>
      <c r="S59" s="1186"/>
      <c r="T59" s="1186"/>
      <c r="U59" s="1190" t="s">
        <v>390</v>
      </c>
      <c r="V59" s="1171"/>
      <c r="W59" s="1172"/>
      <c r="X59" s="1173"/>
      <c r="Y59" s="1174"/>
      <c r="Z59" s="1175"/>
      <c r="AA59" s="1174"/>
      <c r="AG59" s="1177"/>
      <c r="AH59" s="1177"/>
      <c r="AI59" s="1177"/>
      <c r="AJ59" s="1177"/>
      <c r="AK59" s="1177"/>
    </row>
    <row r="60" spans="1:37" s="564" customFormat="1" ht="14.25" thickTop="1" thickBot="1" x14ac:dyDescent="0.25">
      <c r="A60" s="615"/>
      <c r="B60" s="615"/>
      <c r="C60" s="662" t="s">
        <v>38</v>
      </c>
      <c r="D60" s="294"/>
      <c r="E60" s="294"/>
      <c r="F60" s="294"/>
      <c r="G60" s="294"/>
      <c r="H60" s="126">
        <v>0</v>
      </c>
      <c r="I60" s="126">
        <v>0</v>
      </c>
      <c r="J60" s="126"/>
      <c r="K60" s="126"/>
      <c r="L60" s="235"/>
      <c r="M60" s="235"/>
      <c r="N60" s="1854" t="s">
        <v>459</v>
      </c>
      <c r="O60" s="1855">
        <f>O59</f>
        <v>10000000</v>
      </c>
      <c r="P60" s="663"/>
      <c r="Q60" s="663"/>
      <c r="R60" s="663"/>
      <c r="S60" s="126"/>
      <c r="T60" s="126"/>
      <c r="U60" s="664"/>
      <c r="V60" s="559"/>
      <c r="W60" s="560"/>
      <c r="X60" s="561"/>
      <c r="Y60" s="562"/>
      <c r="Z60" s="563"/>
      <c r="AA60" s="562"/>
      <c r="AG60" s="565"/>
      <c r="AH60" s="565"/>
      <c r="AI60" s="565"/>
      <c r="AJ60" s="565"/>
      <c r="AK60" s="565"/>
    </row>
    <row r="61" spans="1:37" s="39" customFormat="1" ht="13.5" thickTop="1" x14ac:dyDescent="0.2">
      <c r="A61" s="615"/>
      <c r="B61" s="615"/>
      <c r="C61" s="611"/>
      <c r="D61" s="26"/>
      <c r="E61" s="26"/>
      <c r="F61" s="26"/>
      <c r="G61" s="26"/>
      <c r="H61" s="27"/>
      <c r="I61" s="27"/>
      <c r="J61" s="27"/>
      <c r="K61" s="27"/>
      <c r="L61" s="203"/>
      <c r="M61" s="203"/>
      <c r="N61" s="1317" t="s">
        <v>460</v>
      </c>
      <c r="O61" s="1318">
        <f>H3</f>
        <v>10000000</v>
      </c>
      <c r="P61" s="28"/>
      <c r="Q61" s="28"/>
      <c r="R61" s="28"/>
      <c r="S61" s="27"/>
      <c r="T61" s="27"/>
      <c r="U61" s="28"/>
      <c r="V61" s="28"/>
      <c r="W61" s="94"/>
      <c r="X61" s="81"/>
      <c r="Y61" s="82"/>
      <c r="Z61" s="95"/>
      <c r="AA61" s="82"/>
      <c r="AG61" s="52"/>
      <c r="AH61" s="52"/>
      <c r="AI61" s="52"/>
      <c r="AJ61" s="52"/>
      <c r="AK61" s="52"/>
    </row>
    <row r="62" spans="1:37" s="39" customFormat="1" ht="13.5" thickBot="1" x14ac:dyDescent="0.25">
      <c r="A62" s="615"/>
      <c r="B62" s="615"/>
      <c r="C62" s="611"/>
      <c r="D62" s="26"/>
      <c r="E62" s="26"/>
      <c r="F62" s="26"/>
      <c r="G62" s="26"/>
      <c r="H62" s="27"/>
      <c r="I62" s="27"/>
      <c r="J62" s="27"/>
      <c r="K62" s="27"/>
      <c r="L62" s="203"/>
      <c r="M62" s="203"/>
      <c r="N62" s="612"/>
      <c r="O62" s="27"/>
      <c r="P62" s="28"/>
      <c r="Q62" s="28"/>
      <c r="R62" s="28"/>
      <c r="S62" s="27"/>
      <c r="T62" s="27"/>
      <c r="U62" s="28"/>
      <c r="V62" s="28"/>
      <c r="W62" s="94"/>
      <c r="X62" s="81"/>
      <c r="Y62" s="82"/>
      <c r="Z62" s="95"/>
      <c r="AA62" s="82"/>
      <c r="AG62" s="52"/>
      <c r="AH62" s="52"/>
      <c r="AI62" s="52"/>
      <c r="AJ62" s="52"/>
      <c r="AK62" s="52"/>
    </row>
    <row r="63" spans="1:37" s="39" customFormat="1" ht="14.25" thickTop="1" thickBot="1" x14ac:dyDescent="0.25">
      <c r="A63" s="615"/>
      <c r="B63" s="615"/>
      <c r="C63" s="407" t="s">
        <v>476</v>
      </c>
      <c r="D63" s="109"/>
      <c r="E63" s="109"/>
      <c r="F63" s="109"/>
      <c r="G63" s="109"/>
      <c r="H63" s="110"/>
      <c r="I63" s="110"/>
      <c r="J63" s="659"/>
      <c r="K63" s="659"/>
      <c r="L63" s="659"/>
      <c r="M63" s="659"/>
      <c r="N63" s="110"/>
      <c r="O63" s="110"/>
      <c r="P63" s="661"/>
      <c r="Q63" s="661"/>
      <c r="R63" s="661"/>
      <c r="S63" s="110"/>
      <c r="T63" s="1100"/>
      <c r="U63" s="111"/>
      <c r="V63" s="28"/>
      <c r="W63" s="94"/>
      <c r="X63" s="81"/>
      <c r="Y63" s="82"/>
      <c r="Z63" s="95"/>
      <c r="AA63" s="82"/>
      <c r="AG63" s="52"/>
      <c r="AH63" s="52"/>
      <c r="AI63" s="52"/>
      <c r="AJ63" s="52"/>
      <c r="AK63" s="52"/>
    </row>
    <row r="64" spans="1:37" s="1176" customFormat="1" ht="14.25" thickTop="1" thickBot="1" x14ac:dyDescent="0.25">
      <c r="A64" s="634"/>
      <c r="B64" s="634"/>
      <c r="C64" s="1236" t="s">
        <v>466</v>
      </c>
      <c r="D64" s="1165" t="s">
        <v>14</v>
      </c>
      <c r="E64" s="1165" t="s">
        <v>132</v>
      </c>
      <c r="F64" s="1165" t="s">
        <v>510</v>
      </c>
      <c r="G64" s="1165" t="s">
        <v>8</v>
      </c>
      <c r="H64" s="1168">
        <v>112595</v>
      </c>
      <c r="I64" s="1168">
        <v>106791</v>
      </c>
      <c r="J64" s="1237"/>
      <c r="K64" s="1237"/>
      <c r="L64" s="1238"/>
      <c r="M64" s="1238"/>
      <c r="N64" s="1167" t="s">
        <v>45</v>
      </c>
      <c r="O64" s="1166">
        <f>O60</f>
        <v>10000000</v>
      </c>
      <c r="P64" s="1169"/>
      <c r="Q64" s="1169"/>
      <c r="R64" s="1169"/>
      <c r="S64" s="1166"/>
      <c r="T64" s="1239"/>
      <c r="U64" s="1170"/>
      <c r="V64" s="1171"/>
      <c r="W64" s="1172"/>
      <c r="X64" s="1173"/>
      <c r="Y64" s="1174"/>
      <c r="Z64" s="1175"/>
      <c r="AA64" s="1174"/>
      <c r="AG64" s="1177"/>
      <c r="AH64" s="1177"/>
      <c r="AI64" s="1177"/>
      <c r="AJ64" s="1177"/>
      <c r="AK64" s="1177"/>
    </row>
    <row r="65" spans="1:37" s="39" customFormat="1" ht="13.5" thickTop="1" x14ac:dyDescent="0.2">
      <c r="A65" s="615"/>
      <c r="B65" s="615"/>
      <c r="C65" s="611"/>
      <c r="D65" s="26"/>
      <c r="E65" s="26"/>
      <c r="F65" s="26"/>
      <c r="G65" s="26"/>
      <c r="H65" s="27"/>
      <c r="I65" s="27"/>
      <c r="J65" s="27"/>
      <c r="K65" s="27"/>
      <c r="L65" s="203"/>
      <c r="M65" s="203"/>
      <c r="N65" s="1856" t="s">
        <v>459</v>
      </c>
      <c r="O65" s="1735">
        <f>O64</f>
        <v>10000000</v>
      </c>
      <c r="P65" s="28"/>
      <c r="Q65" s="28"/>
      <c r="R65" s="28"/>
      <c r="S65" s="27"/>
      <c r="T65" s="27"/>
      <c r="U65" s="28"/>
      <c r="V65" s="28"/>
      <c r="W65" s="94"/>
      <c r="X65" s="81"/>
      <c r="Y65" s="82"/>
      <c r="Z65" s="95"/>
      <c r="AA65" s="82"/>
      <c r="AG65" s="52"/>
      <c r="AH65" s="52"/>
      <c r="AI65" s="52"/>
      <c r="AJ65" s="52"/>
      <c r="AK65" s="52"/>
    </row>
    <row r="66" spans="1:37" s="39" customFormat="1" ht="13.5" thickBot="1" x14ac:dyDescent="0.25">
      <c r="A66" s="615"/>
      <c r="B66" s="615"/>
      <c r="C66" s="611"/>
      <c r="D66" s="26"/>
      <c r="E66" s="26"/>
      <c r="F66" s="26"/>
      <c r="G66" s="26"/>
      <c r="H66" s="27"/>
      <c r="I66" s="27"/>
      <c r="J66" s="27"/>
      <c r="K66" s="27"/>
      <c r="L66" s="203"/>
      <c r="M66" s="203"/>
      <c r="N66" s="612"/>
      <c r="O66" s="27"/>
      <c r="P66" s="28"/>
      <c r="Q66" s="28"/>
      <c r="R66" s="28"/>
      <c r="S66" s="27"/>
      <c r="T66" s="27"/>
      <c r="U66" s="28"/>
      <c r="V66" s="28"/>
      <c r="W66" s="94"/>
      <c r="X66" s="81"/>
      <c r="Y66" s="82"/>
      <c r="Z66" s="95"/>
      <c r="AA66" s="82"/>
      <c r="AG66" s="52"/>
      <c r="AH66" s="52"/>
      <c r="AI66" s="52"/>
      <c r="AJ66" s="52"/>
      <c r="AK66" s="52"/>
    </row>
    <row r="67" spans="1:37" s="39" customFormat="1" ht="14.25" thickTop="1" thickBot="1" x14ac:dyDescent="0.25">
      <c r="A67" s="615"/>
      <c r="B67" s="615"/>
      <c r="C67" s="407" t="s">
        <v>507</v>
      </c>
      <c r="D67" s="109"/>
      <c r="E67" s="109"/>
      <c r="F67" s="109"/>
      <c r="G67" s="109"/>
      <c r="H67" s="110"/>
      <c r="I67" s="110"/>
      <c r="J67" s="659"/>
      <c r="K67" s="659"/>
      <c r="L67" s="659"/>
      <c r="M67" s="659"/>
      <c r="N67" s="110"/>
      <c r="O67" s="110"/>
      <c r="P67" s="661"/>
      <c r="Q67" s="661"/>
      <c r="R67" s="661"/>
      <c r="S67" s="110"/>
      <c r="T67" s="1100"/>
      <c r="U67" s="111"/>
      <c r="V67" s="28"/>
      <c r="W67" s="94"/>
      <c r="X67" s="81"/>
      <c r="Y67" s="82"/>
      <c r="Z67" s="95"/>
      <c r="AA67" s="82"/>
      <c r="AG67" s="52"/>
      <c r="AH67" s="52"/>
      <c r="AI67" s="52"/>
      <c r="AJ67" s="52"/>
      <c r="AK67" s="52"/>
    </row>
    <row r="68" spans="1:37" s="1196" customFormat="1" ht="13.5" thickTop="1" x14ac:dyDescent="0.2">
      <c r="A68" s="1198" t="s">
        <v>468</v>
      </c>
      <c r="B68" s="1198"/>
      <c r="C68" s="1208" t="s">
        <v>466</v>
      </c>
      <c r="D68" s="1209" t="s">
        <v>7</v>
      </c>
      <c r="E68" s="1209" t="s">
        <v>44</v>
      </c>
      <c r="F68" s="1209" t="s">
        <v>509</v>
      </c>
      <c r="G68" s="1210" t="s">
        <v>8</v>
      </c>
      <c r="H68" s="1211"/>
      <c r="I68" s="1211"/>
      <c r="J68" s="1212">
        <v>70533</v>
      </c>
      <c r="K68" s="1212">
        <v>66347</v>
      </c>
      <c r="L68" s="1213">
        <f>J68-H64</f>
        <v>-42062</v>
      </c>
      <c r="M68" s="1213">
        <f>K68-I64</f>
        <v>-40444</v>
      </c>
      <c r="N68" s="1213" t="s">
        <v>469</v>
      </c>
      <c r="O68" s="1214">
        <f>O65-J68</f>
        <v>9929467</v>
      </c>
      <c r="P68" s="1215">
        <f>J68/H3</f>
        <v>7.0533000000000002E-3</v>
      </c>
      <c r="Q68" s="1215"/>
      <c r="R68" s="1215" t="s">
        <v>467</v>
      </c>
      <c r="S68" s="1214">
        <v>29542</v>
      </c>
      <c r="T68" s="1214">
        <v>742047</v>
      </c>
      <c r="U68" s="1216" t="s">
        <v>58</v>
      </c>
      <c r="V68" s="1191"/>
      <c r="W68" s="1192"/>
      <c r="X68" s="1193"/>
      <c r="Y68" s="1194"/>
      <c r="Z68" s="1195"/>
      <c r="AA68" s="1194"/>
      <c r="AG68" s="1197"/>
      <c r="AH68" s="1197"/>
      <c r="AI68" s="1197"/>
      <c r="AJ68" s="1197"/>
      <c r="AK68" s="1197"/>
    </row>
    <row r="69" spans="1:37" s="1415" customFormat="1" ht="13.5" thickBot="1" x14ac:dyDescent="0.25">
      <c r="A69" s="1163" t="s">
        <v>511</v>
      </c>
      <c r="B69" s="1163"/>
      <c r="C69" s="1217" t="s">
        <v>508</v>
      </c>
      <c r="D69" s="1218" t="s">
        <v>14</v>
      </c>
      <c r="E69" s="1218" t="s">
        <v>132</v>
      </c>
      <c r="F69" s="1218" t="s">
        <v>689</v>
      </c>
      <c r="G69" s="1218" t="s">
        <v>8</v>
      </c>
      <c r="H69" s="1219">
        <v>53739</v>
      </c>
      <c r="I69" s="1219">
        <v>48014</v>
      </c>
      <c r="J69" s="1503"/>
      <c r="K69" s="1503"/>
      <c r="L69" s="1888"/>
      <c r="M69" s="1888"/>
      <c r="N69" s="1887" t="s">
        <v>45</v>
      </c>
      <c r="O69" s="1503">
        <f>O68</f>
        <v>9929467</v>
      </c>
      <c r="P69" s="1889"/>
      <c r="Q69" s="1889"/>
      <c r="R69" s="1889"/>
      <c r="S69" s="1503"/>
      <c r="T69" s="1503"/>
      <c r="U69" s="1890" t="s">
        <v>67</v>
      </c>
      <c r="V69" s="1891"/>
      <c r="W69" s="1892"/>
      <c r="X69" s="1893"/>
      <c r="Y69" s="1598"/>
      <c r="Z69" s="1894"/>
      <c r="AA69" s="1598"/>
      <c r="AG69" s="1734"/>
      <c r="AH69" s="1734"/>
      <c r="AI69" s="1734"/>
      <c r="AJ69" s="1734"/>
      <c r="AK69" s="1734"/>
    </row>
    <row r="70" spans="1:37" s="564" customFormat="1" ht="14.25" thickTop="1" thickBot="1" x14ac:dyDescent="0.25">
      <c r="A70" s="625"/>
      <c r="B70" s="625"/>
      <c r="C70" s="407" t="s">
        <v>38</v>
      </c>
      <c r="D70" s="411"/>
      <c r="E70" s="411"/>
      <c r="F70" s="109"/>
      <c r="G70" s="109"/>
      <c r="H70" s="110"/>
      <c r="I70" s="110"/>
      <c r="J70" s="110">
        <f>SUM(J68:J69)</f>
        <v>70533</v>
      </c>
      <c r="K70" s="110">
        <f>SUM(K68:K69)</f>
        <v>66347</v>
      </c>
      <c r="L70" s="110"/>
      <c r="M70" s="110"/>
      <c r="N70" s="1857" t="s">
        <v>459</v>
      </c>
      <c r="O70" s="1575">
        <f>H3-J68</f>
        <v>9929467</v>
      </c>
      <c r="P70" s="110"/>
      <c r="Q70" s="917">
        <f>(J68)/H3</f>
        <v>7.0533000000000002E-3</v>
      </c>
      <c r="R70" s="110"/>
      <c r="S70" s="110">
        <f>SUM(S68:S69)</f>
        <v>29542</v>
      </c>
      <c r="T70" s="110">
        <f>SUM(T68:T69)</f>
        <v>742047</v>
      </c>
      <c r="U70" s="111"/>
      <c r="V70" s="559"/>
      <c r="W70" s="560"/>
      <c r="X70" s="561"/>
      <c r="Y70" s="562"/>
      <c r="Z70" s="563"/>
      <c r="AA70" s="562"/>
      <c r="AG70" s="565"/>
      <c r="AH70" s="565"/>
      <c r="AI70" s="565"/>
      <c r="AJ70" s="565"/>
      <c r="AK70" s="565"/>
    </row>
    <row r="71" spans="1:37" s="39" customFormat="1" ht="13.5" thickTop="1" x14ac:dyDescent="0.2">
      <c r="D71" s="615"/>
      <c r="J71" s="52"/>
      <c r="K71" s="52"/>
      <c r="L71" s="42"/>
      <c r="M71" s="42"/>
      <c r="N71" s="1319" t="s">
        <v>460</v>
      </c>
      <c r="O71" s="1320">
        <f>H3</f>
        <v>10000000</v>
      </c>
      <c r="P71" s="624"/>
      <c r="Q71" s="621"/>
      <c r="R71" s="93"/>
      <c r="S71" s="93"/>
      <c r="U71" s="52"/>
      <c r="V71" s="52"/>
      <c r="Y71" s="82"/>
      <c r="Z71" s="82"/>
      <c r="AA71" s="82"/>
      <c r="AB71" s="82"/>
      <c r="AC71" s="82"/>
    </row>
    <row r="72" spans="1:37" s="39" customFormat="1" ht="13.5" thickBot="1" x14ac:dyDescent="0.25">
      <c r="D72" s="615"/>
      <c r="J72" s="52"/>
      <c r="K72" s="52"/>
      <c r="L72" s="42"/>
      <c r="M72" s="42"/>
      <c r="N72" s="620"/>
      <c r="O72" s="623"/>
      <c r="P72" s="624"/>
      <c r="Q72" s="621"/>
      <c r="R72" s="93"/>
      <c r="S72" s="93"/>
      <c r="U72" s="52"/>
      <c r="V72" s="52"/>
      <c r="Y72" s="82"/>
      <c r="Z72" s="82"/>
      <c r="AA72" s="82"/>
      <c r="AB72" s="82"/>
      <c r="AC72" s="82"/>
    </row>
    <row r="73" spans="1:37" s="39" customFormat="1" ht="14.25" thickTop="1" thickBot="1" x14ac:dyDescent="0.25">
      <c r="C73" s="407" t="s">
        <v>524</v>
      </c>
      <c r="D73" s="109"/>
      <c r="E73" s="109"/>
      <c r="F73" s="109"/>
      <c r="G73" s="109"/>
      <c r="H73" s="110"/>
      <c r="I73" s="110"/>
      <c r="J73" s="659"/>
      <c r="K73" s="659"/>
      <c r="L73" s="659"/>
      <c r="M73" s="659"/>
      <c r="N73" s="110"/>
      <c r="O73" s="110"/>
      <c r="P73" s="661"/>
      <c r="Q73" s="661"/>
      <c r="R73" s="661"/>
      <c r="S73" s="110"/>
      <c r="T73" s="1100"/>
      <c r="U73" s="111"/>
      <c r="V73" s="52"/>
      <c r="Y73" s="82"/>
      <c r="Z73" s="82"/>
      <c r="AA73" s="82"/>
      <c r="AB73" s="82"/>
      <c r="AC73" s="82"/>
    </row>
    <row r="74" spans="1:37" s="1176" customFormat="1" ht="13.5" thickTop="1" x14ac:dyDescent="0.2">
      <c r="A74" s="634"/>
      <c r="B74" s="634"/>
      <c r="C74" s="1221" t="s">
        <v>525</v>
      </c>
      <c r="D74" s="1222" t="s">
        <v>14</v>
      </c>
      <c r="E74" s="1222" t="s">
        <v>132</v>
      </c>
      <c r="F74" s="1222" t="s">
        <v>564</v>
      </c>
      <c r="G74" s="1222" t="s">
        <v>8</v>
      </c>
      <c r="H74" s="1223">
        <v>323698</v>
      </c>
      <c r="I74" s="1223">
        <v>294273</v>
      </c>
      <c r="J74" s="1223"/>
      <c r="K74" s="1223"/>
      <c r="L74" s="1224"/>
      <c r="M74" s="1224"/>
      <c r="N74" s="1224" t="s">
        <v>45</v>
      </c>
      <c r="O74" s="1225">
        <f>O69</f>
        <v>9929467</v>
      </c>
      <c r="P74" s="1226"/>
      <c r="Q74" s="1226"/>
      <c r="R74" s="1226" t="s">
        <v>520</v>
      </c>
      <c r="S74" s="1225"/>
      <c r="T74" s="1225"/>
      <c r="U74" s="1227" t="s">
        <v>58</v>
      </c>
      <c r="V74" s="1177"/>
      <c r="Y74" s="1174"/>
      <c r="Z74" s="1174"/>
      <c r="AA74" s="1174"/>
      <c r="AB74" s="1174"/>
      <c r="AC74" s="1174"/>
    </row>
    <row r="75" spans="1:37" s="1196" customFormat="1" ht="13.5" thickBot="1" x14ac:dyDescent="0.25">
      <c r="A75" s="1198" t="s">
        <v>529</v>
      </c>
      <c r="B75" s="1198"/>
      <c r="C75" s="1200" t="s">
        <v>526</v>
      </c>
      <c r="D75" s="1201" t="s">
        <v>7</v>
      </c>
      <c r="E75" s="1201" t="s">
        <v>44</v>
      </c>
      <c r="F75" s="1201"/>
      <c r="G75" s="1201" t="s">
        <v>8</v>
      </c>
      <c r="H75" s="1202"/>
      <c r="I75" s="1202"/>
      <c r="J75" s="1202">
        <v>206737</v>
      </c>
      <c r="K75" s="1202">
        <v>179172</v>
      </c>
      <c r="L75" s="1204"/>
      <c r="M75" s="1204"/>
      <c r="N75" s="1220" t="s">
        <v>527</v>
      </c>
      <c r="O75" s="1202">
        <f>O74-J75</f>
        <v>9722730</v>
      </c>
      <c r="P75" s="1205">
        <f>J75/H3</f>
        <v>2.06737E-2</v>
      </c>
      <c r="Q75" s="1205"/>
      <c r="R75" s="1205" t="s">
        <v>523</v>
      </c>
      <c r="S75" s="1202">
        <v>126260</v>
      </c>
      <c r="T75" s="1202">
        <v>153825</v>
      </c>
      <c r="U75" s="1207" t="s">
        <v>390</v>
      </c>
      <c r="V75" s="1197"/>
      <c r="Y75" s="1194"/>
      <c r="Z75" s="1194"/>
      <c r="AA75" s="1194"/>
      <c r="AB75" s="1194"/>
      <c r="AC75" s="1194"/>
    </row>
    <row r="76" spans="1:37" s="564" customFormat="1" ht="14.25" thickTop="1" thickBot="1" x14ac:dyDescent="0.25">
      <c r="A76" s="39"/>
      <c r="B76" s="39"/>
      <c r="C76" s="407" t="s">
        <v>38</v>
      </c>
      <c r="D76" s="411"/>
      <c r="E76" s="411"/>
      <c r="F76" s="109"/>
      <c r="G76" s="109"/>
      <c r="H76" s="110"/>
      <c r="I76" s="110"/>
      <c r="J76" s="110">
        <f>SUM(J74:J75)</f>
        <v>206737</v>
      </c>
      <c r="K76" s="110">
        <f>SUM(K74:K75)</f>
        <v>179172</v>
      </c>
      <c r="L76" s="110"/>
      <c r="M76" s="110"/>
      <c r="N76" s="1857">
        <v>2008</v>
      </c>
      <c r="O76" s="1575">
        <f>H3-J68-J75</f>
        <v>9722730</v>
      </c>
      <c r="P76" s="110"/>
      <c r="Q76" s="917">
        <f>J75/H3</f>
        <v>2.06737E-2</v>
      </c>
      <c r="R76" s="110"/>
      <c r="S76" s="110">
        <f>SUM(S74:S75)</f>
        <v>126260</v>
      </c>
      <c r="T76" s="110">
        <f>SUM(T74:T75)</f>
        <v>153825</v>
      </c>
      <c r="U76" s="111"/>
      <c r="V76" s="565"/>
      <c r="Y76" s="562"/>
      <c r="Z76" s="562"/>
      <c r="AA76" s="562"/>
      <c r="AB76" s="562"/>
      <c r="AC76" s="562"/>
    </row>
    <row r="77" spans="1:37" s="39" customFormat="1" ht="13.5" thickTop="1" x14ac:dyDescent="0.2">
      <c r="C77" s="611"/>
      <c r="D77" s="408"/>
      <c r="E77" s="408"/>
      <c r="F77" s="26"/>
      <c r="G77" s="26"/>
      <c r="H77" s="27"/>
      <c r="I77" s="27"/>
      <c r="J77" s="27"/>
      <c r="K77" s="27"/>
      <c r="L77" s="27"/>
      <c r="M77" s="27"/>
      <c r="N77" s="1317" t="s">
        <v>460</v>
      </c>
      <c r="O77" s="1318">
        <f>O71</f>
        <v>10000000</v>
      </c>
      <c r="P77" s="27"/>
      <c r="Q77" s="613"/>
      <c r="R77" s="27"/>
      <c r="S77" s="27"/>
      <c r="T77" s="27"/>
      <c r="U77" s="28"/>
      <c r="V77" s="52"/>
      <c r="Y77" s="82"/>
      <c r="Z77" s="82"/>
      <c r="AA77" s="82"/>
      <c r="AB77" s="82"/>
      <c r="AC77" s="82"/>
    </row>
    <row r="78" spans="1:37" s="39" customFormat="1" ht="13.5" thickBot="1" x14ac:dyDescent="0.25">
      <c r="C78" s="611"/>
      <c r="D78" s="408"/>
      <c r="E78" s="408"/>
      <c r="F78" s="26"/>
      <c r="G78" s="26"/>
      <c r="H78" s="27"/>
      <c r="I78" s="27"/>
      <c r="J78" s="27"/>
      <c r="K78" s="27"/>
      <c r="L78" s="27"/>
      <c r="M78" s="27"/>
      <c r="N78" s="612"/>
      <c r="O78" s="27"/>
      <c r="P78" s="27"/>
      <c r="Q78" s="613"/>
      <c r="R78" s="27"/>
      <c r="S78" s="27"/>
      <c r="T78" s="27"/>
      <c r="U78" s="28"/>
      <c r="V78" s="52"/>
      <c r="Y78" s="82"/>
      <c r="Z78" s="82"/>
      <c r="AA78" s="82"/>
      <c r="AB78" s="82"/>
      <c r="AC78" s="82"/>
    </row>
    <row r="79" spans="1:37" s="39" customFormat="1" ht="14.25" thickTop="1" thickBot="1" x14ac:dyDescent="0.25">
      <c r="C79" s="407" t="s">
        <v>559</v>
      </c>
      <c r="D79" s="109"/>
      <c r="E79" s="109"/>
      <c r="F79" s="109"/>
      <c r="G79" s="109"/>
      <c r="H79" s="110"/>
      <c r="I79" s="110"/>
      <c r="J79" s="659"/>
      <c r="K79" s="659"/>
      <c r="L79" s="659"/>
      <c r="M79" s="659"/>
      <c r="N79" s="110"/>
      <c r="O79" s="110"/>
      <c r="P79" s="661"/>
      <c r="Q79" s="661"/>
      <c r="R79" s="661"/>
      <c r="S79" s="110"/>
      <c r="T79" s="1100"/>
      <c r="U79" s="111"/>
      <c r="V79" s="52"/>
      <c r="Y79" s="82"/>
      <c r="Z79" s="82"/>
      <c r="AA79" s="82"/>
      <c r="AB79" s="82"/>
      <c r="AC79" s="82"/>
    </row>
    <row r="80" spans="1:37" s="1176" customFormat="1" ht="13.5" thickTop="1" x14ac:dyDescent="0.2">
      <c r="A80" s="1163" t="s">
        <v>528</v>
      </c>
      <c r="B80" s="1163"/>
      <c r="C80" s="1221" t="s">
        <v>525</v>
      </c>
      <c r="D80" s="1222" t="s">
        <v>7</v>
      </c>
      <c r="E80" s="1222" t="s">
        <v>132</v>
      </c>
      <c r="F80" s="1222" t="s">
        <v>848</v>
      </c>
      <c r="G80" s="1222" t="s">
        <v>8</v>
      </c>
      <c r="H80" s="1222"/>
      <c r="I80" s="1222"/>
      <c r="J80" s="1223">
        <v>568330</v>
      </c>
      <c r="K80" s="1223">
        <v>520969</v>
      </c>
      <c r="L80" s="1224">
        <f>J80-H74</f>
        <v>244632</v>
      </c>
      <c r="M80" s="1224">
        <f>K80-I74</f>
        <v>226696</v>
      </c>
      <c r="N80" s="1224" t="s">
        <v>45</v>
      </c>
      <c r="O80" s="1225">
        <f>O76</f>
        <v>9722730</v>
      </c>
      <c r="P80" s="1226"/>
      <c r="Q80" s="1226"/>
      <c r="R80" s="1226" t="s">
        <v>520</v>
      </c>
      <c r="S80" s="1225"/>
      <c r="T80" s="1225"/>
      <c r="U80" s="1227" t="s">
        <v>58</v>
      </c>
      <c r="V80" s="1177"/>
      <c r="Y80" s="1174"/>
      <c r="Z80" s="1174"/>
      <c r="AA80" s="1174"/>
      <c r="AB80" s="1174"/>
      <c r="AC80" s="1174"/>
    </row>
    <row r="81" spans="1:37" s="1245" customFormat="1" x14ac:dyDescent="0.2">
      <c r="A81" s="634"/>
      <c r="B81" s="634"/>
      <c r="C81" s="1253" t="s">
        <v>563</v>
      </c>
      <c r="D81" s="1254" t="s">
        <v>14</v>
      </c>
      <c r="E81" s="1254" t="s">
        <v>132</v>
      </c>
      <c r="F81" s="1254" t="s">
        <v>887</v>
      </c>
      <c r="G81" s="1254" t="s">
        <v>8</v>
      </c>
      <c r="H81" s="1255">
        <v>1159923</v>
      </c>
      <c r="I81" s="1255">
        <v>1089346</v>
      </c>
      <c r="J81" s="1255"/>
      <c r="K81" s="1255"/>
      <c r="L81" s="1256"/>
      <c r="M81" s="1256"/>
      <c r="N81" s="1256" t="s">
        <v>45</v>
      </c>
      <c r="O81" s="1257">
        <f>O77</f>
        <v>10000000</v>
      </c>
      <c r="P81" s="1258"/>
      <c r="Q81" s="1258"/>
      <c r="R81" s="1258"/>
      <c r="S81" s="1257"/>
      <c r="T81" s="1257"/>
      <c r="U81" s="1259" t="s">
        <v>67</v>
      </c>
      <c r="V81" s="1246"/>
      <c r="Y81" s="1243"/>
      <c r="Z81" s="1243"/>
      <c r="AA81" s="1243"/>
      <c r="AB81" s="1243"/>
      <c r="AC81" s="1243"/>
    </row>
    <row r="82" spans="1:37" s="1176" customFormat="1" x14ac:dyDescent="0.2">
      <c r="A82" s="1163" t="s">
        <v>561</v>
      </c>
      <c r="B82" s="1163"/>
      <c r="C82" s="1228" t="s">
        <v>590</v>
      </c>
      <c r="D82" s="1218" t="s">
        <v>14</v>
      </c>
      <c r="E82" s="1218" t="s">
        <v>132</v>
      </c>
      <c r="F82" s="1218" t="s">
        <v>591</v>
      </c>
      <c r="G82" s="1218" t="s">
        <v>592</v>
      </c>
      <c r="H82" s="1229"/>
      <c r="I82" s="1229"/>
      <c r="J82" s="1229"/>
      <c r="K82" s="1229"/>
      <c r="L82" s="1230"/>
      <c r="M82" s="1230"/>
      <c r="N82" s="1230"/>
      <c r="O82" s="1219">
        <f>O80</f>
        <v>9722730</v>
      </c>
      <c r="P82" s="1231"/>
      <c r="Q82" s="1231"/>
      <c r="R82" s="1231"/>
      <c r="S82" s="1219"/>
      <c r="T82" s="1219"/>
      <c r="U82" s="1232"/>
      <c r="V82" s="1177"/>
      <c r="Y82" s="1174"/>
      <c r="Z82" s="1174"/>
      <c r="AA82" s="1174"/>
      <c r="AB82" s="1174"/>
      <c r="AC82" s="1174"/>
    </row>
    <row r="83" spans="1:37" s="1176" customFormat="1" ht="13.5" thickBot="1" x14ac:dyDescent="0.25">
      <c r="A83" s="634"/>
      <c r="B83" s="634"/>
      <c r="C83" s="1217" t="s">
        <v>566</v>
      </c>
      <c r="D83" s="1218" t="s">
        <v>14</v>
      </c>
      <c r="E83" s="1218" t="s">
        <v>132</v>
      </c>
      <c r="F83" s="1218" t="s">
        <v>630</v>
      </c>
      <c r="G83" s="1218" t="s">
        <v>8</v>
      </c>
      <c r="H83" s="1219">
        <v>140004</v>
      </c>
      <c r="I83" s="1219">
        <v>125345</v>
      </c>
      <c r="J83" s="1219"/>
      <c r="K83" s="1219"/>
      <c r="L83" s="1230"/>
      <c r="M83" s="1230"/>
      <c r="N83" s="1247" t="s">
        <v>567</v>
      </c>
      <c r="O83" s="1219">
        <f>O82</f>
        <v>9722730</v>
      </c>
      <c r="P83" s="1231"/>
      <c r="Q83" s="1231"/>
      <c r="R83" s="1231" t="s">
        <v>554</v>
      </c>
      <c r="S83" s="1219"/>
      <c r="T83" s="1219"/>
      <c r="U83" s="1232" t="s">
        <v>67</v>
      </c>
      <c r="V83" s="1177"/>
      <c r="Y83" s="1174"/>
      <c r="Z83" s="1174"/>
      <c r="AA83" s="1174"/>
      <c r="AB83" s="1174"/>
      <c r="AC83" s="1174"/>
    </row>
    <row r="84" spans="1:37" s="564" customFormat="1" ht="14.25" thickTop="1" thickBot="1" x14ac:dyDescent="0.25">
      <c r="A84" s="39"/>
      <c r="B84" s="39"/>
      <c r="C84" s="407" t="s">
        <v>38</v>
      </c>
      <c r="D84" s="411"/>
      <c r="E84" s="411"/>
      <c r="F84" s="109"/>
      <c r="G84" s="109"/>
      <c r="H84" s="110">
        <f>SUM(H81)</f>
        <v>1159923</v>
      </c>
      <c r="I84" s="110">
        <f>SUM(I81)</f>
        <v>1089346</v>
      </c>
      <c r="J84" s="110">
        <f>SUM(J80:J83)</f>
        <v>568330</v>
      </c>
      <c r="K84" s="110">
        <f>SUM(K80:K83)</f>
        <v>520969</v>
      </c>
      <c r="L84" s="110"/>
      <c r="M84" s="110"/>
      <c r="N84" s="1857">
        <v>2008</v>
      </c>
      <c r="O84" s="1575">
        <f>H3-J68-J75</f>
        <v>9722730</v>
      </c>
      <c r="P84" s="110"/>
      <c r="Q84" s="917"/>
      <c r="R84" s="110"/>
      <c r="S84" s="110">
        <f>SUM(S80:S83)</f>
        <v>0</v>
      </c>
      <c r="T84" s="110">
        <f>SUM(T80:T83)</f>
        <v>0</v>
      </c>
      <c r="U84" s="111"/>
      <c r="V84" s="565"/>
      <c r="Y84" s="562"/>
      <c r="Z84" s="562"/>
      <c r="AA84" s="562"/>
      <c r="AB84" s="562"/>
      <c r="AC84" s="562"/>
    </row>
    <row r="85" spans="1:37" s="39" customFormat="1" ht="13.5" thickTop="1" x14ac:dyDescent="0.2">
      <c r="C85" s="611"/>
      <c r="D85" s="408"/>
      <c r="E85" s="408"/>
      <c r="F85" s="26"/>
      <c r="G85" s="26"/>
      <c r="H85" s="27"/>
      <c r="I85" s="27"/>
      <c r="J85" s="27"/>
      <c r="K85" s="27"/>
      <c r="L85" s="27"/>
      <c r="M85" s="27"/>
      <c r="N85" s="1317" t="s">
        <v>460</v>
      </c>
      <c r="O85" s="1318">
        <f>O77</f>
        <v>10000000</v>
      </c>
      <c r="P85" s="27"/>
      <c r="Q85" s="613"/>
      <c r="R85" s="27"/>
      <c r="S85" s="27"/>
      <c r="T85" s="27"/>
      <c r="U85" s="28"/>
      <c r="V85" s="52"/>
      <c r="Y85" s="82"/>
      <c r="Z85" s="82"/>
      <c r="AA85" s="82"/>
      <c r="AB85" s="82"/>
      <c r="AC85" s="82"/>
    </row>
    <row r="86" spans="1:37" s="39" customFormat="1" ht="13.5" thickBot="1" x14ac:dyDescent="0.25">
      <c r="C86" s="611"/>
      <c r="D86" s="408"/>
      <c r="E86" s="408"/>
      <c r="F86" s="26"/>
      <c r="G86" s="26"/>
      <c r="H86" s="27"/>
      <c r="I86" s="27"/>
      <c r="J86" s="27"/>
      <c r="K86" s="27"/>
      <c r="L86" s="27"/>
      <c r="M86" s="27"/>
      <c r="N86" s="612"/>
      <c r="O86" s="27"/>
      <c r="P86" s="27"/>
      <c r="Q86" s="613"/>
      <c r="R86" s="27"/>
      <c r="S86" s="27"/>
      <c r="T86" s="27"/>
      <c r="U86" s="28"/>
      <c r="V86" s="52"/>
      <c r="Y86" s="82"/>
      <c r="Z86" s="82"/>
      <c r="AA86" s="82"/>
      <c r="AB86" s="82"/>
      <c r="AC86" s="82"/>
    </row>
    <row r="87" spans="1:37" s="39" customFormat="1" ht="14.25" thickTop="1" thickBot="1" x14ac:dyDescent="0.25">
      <c r="A87" s="615"/>
      <c r="B87" s="615"/>
      <c r="C87" s="407" t="s">
        <v>595</v>
      </c>
      <c r="D87" s="109"/>
      <c r="E87" s="109"/>
      <c r="F87" s="109"/>
      <c r="G87" s="109"/>
      <c r="H87" s="110"/>
      <c r="I87" s="110"/>
      <c r="J87" s="659"/>
      <c r="K87" s="659"/>
      <c r="L87" s="659"/>
      <c r="M87" s="659"/>
      <c r="N87" s="110"/>
      <c r="O87" s="110"/>
      <c r="P87" s="661"/>
      <c r="Q87" s="661"/>
      <c r="R87" s="661"/>
      <c r="S87" s="110"/>
      <c r="T87" s="1100"/>
      <c r="U87" s="111"/>
      <c r="V87" s="28"/>
      <c r="W87" s="94"/>
      <c r="X87" s="81"/>
      <c r="Y87" s="82"/>
      <c r="Z87" s="95"/>
      <c r="AA87" s="82"/>
      <c r="AG87" s="52"/>
      <c r="AH87" s="52"/>
      <c r="AI87" s="52"/>
      <c r="AJ87" s="52"/>
      <c r="AK87" s="52"/>
    </row>
    <row r="88" spans="1:37" s="1176" customFormat="1" ht="14.25" thickTop="1" thickBot="1" x14ac:dyDescent="0.25">
      <c r="A88" s="634"/>
      <c r="B88" s="634"/>
      <c r="C88" s="1236" t="s">
        <v>597</v>
      </c>
      <c r="D88" s="1165" t="s">
        <v>14</v>
      </c>
      <c r="E88" s="1165" t="s">
        <v>132</v>
      </c>
      <c r="F88" s="1165" t="s">
        <v>675</v>
      </c>
      <c r="G88" s="1165" t="s">
        <v>8</v>
      </c>
      <c r="H88" s="1168">
        <v>1969735</v>
      </c>
      <c r="I88" s="1168">
        <v>1608617</v>
      </c>
      <c r="J88" s="1237"/>
      <c r="K88" s="1237"/>
      <c r="L88" s="1238"/>
      <c r="M88" s="1238"/>
      <c r="N88" s="1166" t="s">
        <v>598</v>
      </c>
      <c r="O88" s="1166">
        <f>O84</f>
        <v>9722730</v>
      </c>
      <c r="P88" s="1169"/>
      <c r="Q88" s="1169"/>
      <c r="R88" s="1169" t="s">
        <v>520</v>
      </c>
      <c r="S88" s="1166"/>
      <c r="T88" s="1239"/>
      <c r="U88" s="1170" t="s">
        <v>390</v>
      </c>
      <c r="V88" s="1171"/>
      <c r="W88" s="1172"/>
      <c r="X88" s="1173"/>
      <c r="Y88" s="1174"/>
      <c r="Z88" s="1175"/>
      <c r="AA88" s="1174"/>
      <c r="AG88" s="1177"/>
      <c r="AH88" s="1177"/>
      <c r="AI88" s="1177"/>
      <c r="AJ88" s="1177"/>
      <c r="AK88" s="1177"/>
    </row>
    <row r="89" spans="1:37" s="409" customFormat="1" ht="13.5" thickTop="1" x14ac:dyDescent="0.2">
      <c r="A89" s="634"/>
      <c r="B89" s="634"/>
      <c r="C89" s="73"/>
      <c r="D89" s="73"/>
      <c r="E89" s="73"/>
      <c r="F89" s="73"/>
      <c r="G89" s="73"/>
      <c r="H89" s="635"/>
      <c r="I89" s="635"/>
      <c r="J89" s="636"/>
      <c r="K89" s="636"/>
      <c r="L89" s="637"/>
      <c r="M89" s="637"/>
      <c r="N89" s="1858">
        <v>2008</v>
      </c>
      <c r="O89" s="1735">
        <f>H3-J68-J75-J80</f>
        <v>9154400</v>
      </c>
      <c r="P89" s="92"/>
      <c r="Q89" s="92"/>
      <c r="R89" s="92"/>
      <c r="S89" s="74"/>
      <c r="T89" s="74"/>
      <c r="U89" s="92"/>
      <c r="V89" s="638"/>
      <c r="W89" s="639"/>
      <c r="X89" s="640"/>
      <c r="Y89" s="73"/>
      <c r="Z89" s="641"/>
      <c r="AA89" s="73"/>
      <c r="AG89" s="642"/>
      <c r="AH89" s="642"/>
      <c r="AI89" s="642"/>
      <c r="AJ89" s="642"/>
      <c r="AK89" s="642"/>
    </row>
    <row r="90" spans="1:37" s="409" customFormat="1" x14ac:dyDescent="0.2">
      <c r="A90" s="634"/>
      <c r="B90" s="634"/>
      <c r="C90" s="73"/>
      <c r="D90" s="73"/>
      <c r="E90" s="73"/>
      <c r="F90" s="73"/>
      <c r="G90" s="73"/>
      <c r="H90" s="635"/>
      <c r="I90" s="635"/>
      <c r="J90" s="636"/>
      <c r="K90" s="636"/>
      <c r="L90" s="637"/>
      <c r="M90" s="637"/>
      <c r="N90" s="1321">
        <v>2009</v>
      </c>
      <c r="O90" s="1318">
        <f>O85</f>
        <v>10000000</v>
      </c>
      <c r="P90" s="92"/>
      <c r="Q90" s="92"/>
      <c r="R90" s="92"/>
      <c r="S90" s="74"/>
      <c r="T90" s="74"/>
      <c r="U90" s="92"/>
      <c r="V90" s="638"/>
      <c r="W90" s="639"/>
      <c r="X90" s="640"/>
      <c r="Y90" s="73"/>
      <c r="Z90" s="641"/>
      <c r="AA90" s="73"/>
      <c r="AG90" s="642"/>
      <c r="AH90" s="642"/>
      <c r="AI90" s="642"/>
      <c r="AJ90" s="642"/>
      <c r="AK90" s="642"/>
    </row>
    <row r="91" spans="1:37" s="431" customFormat="1" ht="13.5" thickBot="1" x14ac:dyDescent="0.25">
      <c r="A91" s="625"/>
      <c r="B91" s="625"/>
      <c r="C91" s="408"/>
      <c r="D91" s="408"/>
      <c r="E91" s="408"/>
      <c r="F91" s="408"/>
      <c r="G91" s="408"/>
      <c r="H91" s="626"/>
      <c r="I91" s="626"/>
      <c r="J91" s="248"/>
      <c r="K91" s="248"/>
      <c r="L91" s="203"/>
      <c r="M91" s="203"/>
      <c r="N91" s="627"/>
      <c r="O91" s="627"/>
      <c r="P91" s="628"/>
      <c r="Q91" s="628"/>
      <c r="R91" s="628"/>
      <c r="S91" s="627"/>
      <c r="T91" s="627"/>
      <c r="U91" s="628"/>
      <c r="V91" s="28"/>
      <c r="W91" s="629"/>
      <c r="X91" s="630"/>
      <c r="Y91" s="408"/>
      <c r="Z91" s="631"/>
      <c r="AA91" s="408"/>
      <c r="AG91" s="632"/>
      <c r="AH91" s="632"/>
      <c r="AI91" s="632"/>
      <c r="AJ91" s="632"/>
      <c r="AK91" s="632"/>
    </row>
    <row r="92" spans="1:37" s="39" customFormat="1" ht="14.25" thickTop="1" thickBot="1" x14ac:dyDescent="0.25">
      <c r="C92" s="407" t="s">
        <v>610</v>
      </c>
      <c r="D92" s="109"/>
      <c r="E92" s="109"/>
      <c r="F92" s="109"/>
      <c r="G92" s="109"/>
      <c r="H92" s="110"/>
      <c r="I92" s="110"/>
      <c r="J92" s="659"/>
      <c r="K92" s="659"/>
      <c r="L92" s="659"/>
      <c r="M92" s="659"/>
      <c r="N92" s="110"/>
      <c r="O92" s="110"/>
      <c r="P92" s="661"/>
      <c r="Q92" s="661"/>
      <c r="R92" s="661"/>
      <c r="S92" s="110"/>
      <c r="T92" s="1100"/>
      <c r="U92" s="111"/>
      <c r="V92" s="52"/>
      <c r="Y92" s="82"/>
      <c r="Z92" s="82"/>
      <c r="AA92" s="82"/>
      <c r="AB92" s="82"/>
      <c r="AC92" s="82"/>
    </row>
    <row r="93" spans="1:37" s="1176" customFormat="1" ht="13.5" thickTop="1" x14ac:dyDescent="0.2">
      <c r="A93" s="1163" t="s">
        <v>603</v>
      </c>
      <c r="B93" s="1163"/>
      <c r="C93" s="1221" t="s">
        <v>605</v>
      </c>
      <c r="D93" s="1222" t="s">
        <v>7</v>
      </c>
      <c r="E93" s="1222" t="s">
        <v>132</v>
      </c>
      <c r="F93" s="1222" t="s">
        <v>849</v>
      </c>
      <c r="G93" s="1222" t="s">
        <v>8</v>
      </c>
      <c r="H93" s="1223"/>
      <c r="I93" s="1223"/>
      <c r="J93" s="1223">
        <v>488000</v>
      </c>
      <c r="K93" s="1223">
        <v>415791</v>
      </c>
      <c r="L93" s="1224"/>
      <c r="M93" s="1224"/>
      <c r="N93" s="1224" t="s">
        <v>45</v>
      </c>
      <c r="O93" s="1225">
        <f>O88</f>
        <v>9722730</v>
      </c>
      <c r="P93" s="1226"/>
      <c r="Q93" s="1226"/>
      <c r="R93" s="1226" t="s">
        <v>601</v>
      </c>
      <c r="S93" s="1225"/>
      <c r="T93" s="1225"/>
      <c r="U93" s="1227" t="s">
        <v>58</v>
      </c>
      <c r="V93" s="1177"/>
      <c r="Y93" s="1174"/>
      <c r="Z93" s="1174"/>
      <c r="AA93" s="1174"/>
      <c r="AB93" s="1174"/>
      <c r="AC93" s="1174"/>
    </row>
    <row r="94" spans="1:37" s="1234" customFormat="1" ht="13.5" thickBot="1" x14ac:dyDescent="0.25">
      <c r="A94" s="1198" t="s">
        <v>604</v>
      </c>
      <c r="B94" s="1198"/>
      <c r="C94" s="1200" t="s">
        <v>634</v>
      </c>
      <c r="D94" s="1201" t="s">
        <v>7</v>
      </c>
      <c r="E94" s="1201" t="s">
        <v>44</v>
      </c>
      <c r="F94" s="1201"/>
      <c r="G94" s="1201" t="s">
        <v>8</v>
      </c>
      <c r="H94" s="1202"/>
      <c r="I94" s="1202"/>
      <c r="J94" s="1202">
        <v>241236</v>
      </c>
      <c r="K94" s="1202">
        <v>209071</v>
      </c>
      <c r="L94" s="1204"/>
      <c r="M94" s="1204"/>
      <c r="N94" s="1220" t="s">
        <v>565</v>
      </c>
      <c r="O94" s="1202">
        <f>O93-J94</f>
        <v>9481494</v>
      </c>
      <c r="P94" s="1205">
        <f>J94/H18</f>
        <v>0.19563805224832592</v>
      </c>
      <c r="Q94" s="1205"/>
      <c r="R94" s="1205" t="s">
        <v>602</v>
      </c>
      <c r="S94" s="1202">
        <v>350926</v>
      </c>
      <c r="T94" s="1202">
        <v>379873</v>
      </c>
      <c r="U94" s="1207" t="s">
        <v>390</v>
      </c>
      <c r="V94" s="1233"/>
      <c r="Y94" s="1235"/>
      <c r="Z94" s="1235"/>
      <c r="AA94" s="1235"/>
      <c r="AB94" s="1235"/>
      <c r="AC94" s="1235"/>
    </row>
    <row r="95" spans="1:37" s="564" customFormat="1" ht="14.25" thickTop="1" thickBot="1" x14ac:dyDescent="0.25">
      <c r="A95" s="39"/>
      <c r="B95" s="39"/>
      <c r="C95" s="407" t="s">
        <v>38</v>
      </c>
      <c r="D95" s="411"/>
      <c r="E95" s="411"/>
      <c r="F95" s="109"/>
      <c r="G95" s="109"/>
      <c r="H95" s="110">
        <f>SUM(H93:H94)</f>
        <v>0</v>
      </c>
      <c r="I95" s="110">
        <f>SUM(I93:I94)</f>
        <v>0</v>
      </c>
      <c r="J95" s="110">
        <f>SUM(J93:J94)</f>
        <v>729236</v>
      </c>
      <c r="K95" s="110">
        <f>SUM(K93:K94)</f>
        <v>624862</v>
      </c>
      <c r="L95" s="110"/>
      <c r="M95" s="110"/>
      <c r="N95" s="1857">
        <v>2008</v>
      </c>
      <c r="O95" s="1575">
        <f>H3-J68-J75-J94</f>
        <v>9481494</v>
      </c>
      <c r="P95" s="110"/>
      <c r="Q95" s="917">
        <f>J94/H18</f>
        <v>0.19563805224832592</v>
      </c>
      <c r="R95" s="110"/>
      <c r="S95" s="110">
        <f>SUM(S93:S94)</f>
        <v>350926</v>
      </c>
      <c r="T95" s="110">
        <f>SUM(T93:T94)</f>
        <v>379873</v>
      </c>
      <c r="U95" s="111"/>
      <c r="V95" s="565"/>
      <c r="Y95" s="562"/>
      <c r="Z95" s="562"/>
      <c r="AA95" s="562"/>
      <c r="AB95" s="562"/>
      <c r="AC95" s="562"/>
    </row>
    <row r="96" spans="1:37" s="564" customFormat="1" ht="13.5" thickTop="1" x14ac:dyDescent="0.2">
      <c r="A96" s="39"/>
      <c r="B96" s="39"/>
      <c r="C96" s="611"/>
      <c r="D96" s="408"/>
      <c r="E96" s="408"/>
      <c r="F96" s="26"/>
      <c r="G96" s="26"/>
      <c r="H96" s="27"/>
      <c r="I96" s="27"/>
      <c r="J96" s="27"/>
      <c r="K96" s="27"/>
      <c r="L96" s="27"/>
      <c r="M96" s="27"/>
      <c r="N96" s="1317" t="s">
        <v>460</v>
      </c>
      <c r="O96" s="1318">
        <f>O90</f>
        <v>10000000</v>
      </c>
      <c r="P96" s="27"/>
      <c r="Q96" s="613"/>
      <c r="R96" s="27"/>
      <c r="S96" s="27"/>
      <c r="T96" s="27"/>
      <c r="U96" s="28"/>
      <c r="V96" s="565"/>
      <c r="Y96" s="562"/>
      <c r="Z96" s="562"/>
      <c r="AA96" s="562"/>
      <c r="AB96" s="562"/>
      <c r="AC96" s="562"/>
    </row>
    <row r="97" spans="1:29" s="39" customFormat="1" ht="13.5" thickBot="1" x14ac:dyDescent="0.25">
      <c r="C97" s="611"/>
      <c r="D97" s="408"/>
      <c r="E97" s="408"/>
      <c r="F97" s="26"/>
      <c r="G97" s="26"/>
      <c r="H97" s="27"/>
      <c r="I97" s="27"/>
      <c r="J97" s="27"/>
      <c r="K97" s="27"/>
      <c r="L97" s="27"/>
      <c r="M97" s="27"/>
      <c r="N97" s="612"/>
      <c r="O97" s="27"/>
      <c r="P97" s="27"/>
      <c r="Q97" s="613"/>
      <c r="R97" s="27"/>
      <c r="S97" s="27"/>
      <c r="T97" s="27"/>
      <c r="U97" s="28"/>
      <c r="V97" s="52"/>
      <c r="Y97" s="82"/>
      <c r="Z97" s="82"/>
      <c r="AA97" s="82"/>
      <c r="AB97" s="82"/>
      <c r="AC97" s="82"/>
    </row>
    <row r="98" spans="1:29" s="39" customFormat="1" ht="14.25" thickTop="1" thickBot="1" x14ac:dyDescent="0.25">
      <c r="C98" s="407" t="s">
        <v>631</v>
      </c>
      <c r="D98" s="109"/>
      <c r="E98" s="109"/>
      <c r="F98" s="109"/>
      <c r="G98" s="109"/>
      <c r="H98" s="110"/>
      <c r="I98" s="110"/>
      <c r="J98" s="659"/>
      <c r="K98" s="659"/>
      <c r="L98" s="659"/>
      <c r="M98" s="659"/>
      <c r="N98" s="110"/>
      <c r="O98" s="110"/>
      <c r="P98" s="661"/>
      <c r="Q98" s="661"/>
      <c r="R98" s="661"/>
      <c r="S98" s="110"/>
      <c r="T98" s="1100"/>
      <c r="U98" s="111"/>
      <c r="V98" s="52"/>
      <c r="Y98" s="82"/>
      <c r="Z98" s="82"/>
      <c r="AA98" s="82"/>
      <c r="AB98" s="82"/>
      <c r="AC98" s="82"/>
    </row>
    <row r="99" spans="1:29" s="1234" customFormat="1" ht="13.5" thickTop="1" x14ac:dyDescent="0.2">
      <c r="A99" s="1198" t="s">
        <v>562</v>
      </c>
      <c r="B99" s="1198"/>
      <c r="C99" s="1208" t="s">
        <v>632</v>
      </c>
      <c r="D99" s="1209" t="s">
        <v>7</v>
      </c>
      <c r="E99" s="1209" t="s">
        <v>44</v>
      </c>
      <c r="F99" s="1209" t="s">
        <v>633</v>
      </c>
      <c r="G99" s="1209" t="s">
        <v>8</v>
      </c>
      <c r="H99" s="1212"/>
      <c r="I99" s="1212"/>
      <c r="J99" s="1212">
        <v>377371</v>
      </c>
      <c r="K99" s="1212">
        <v>336544</v>
      </c>
      <c r="L99" s="1213">
        <f>J99-H83</f>
        <v>237367</v>
      </c>
      <c r="M99" s="1213">
        <f>K99-I83</f>
        <v>211199</v>
      </c>
      <c r="N99" s="1213" t="s">
        <v>567</v>
      </c>
      <c r="O99" s="1214">
        <f>O95-J99</f>
        <v>9104123</v>
      </c>
      <c r="P99" s="1215">
        <f>J99/H3</f>
        <v>3.7737100000000003E-2</v>
      </c>
      <c r="Q99" s="1215"/>
      <c r="R99" s="1215" t="s">
        <v>554</v>
      </c>
      <c r="S99" s="1214">
        <v>185973</v>
      </c>
      <c r="T99" s="1214">
        <v>226076</v>
      </c>
      <c r="U99" s="1216" t="s">
        <v>67</v>
      </c>
      <c r="V99" s="1233"/>
      <c r="Y99" s="1235"/>
      <c r="Z99" s="1235"/>
      <c r="AA99" s="1235"/>
      <c r="AB99" s="1235"/>
      <c r="AC99" s="1235"/>
    </row>
    <row r="100" spans="1:29" s="1245" customFormat="1" ht="13.5" thickBot="1" x14ac:dyDescent="0.25">
      <c r="A100" s="634"/>
      <c r="B100" s="634"/>
      <c r="C100" s="1260" t="s">
        <v>635</v>
      </c>
      <c r="D100" s="1254" t="s">
        <v>14</v>
      </c>
      <c r="E100" s="1254" t="s">
        <v>132</v>
      </c>
      <c r="F100" s="1254" t="s">
        <v>747</v>
      </c>
      <c r="G100" s="1254" t="s">
        <v>8</v>
      </c>
      <c r="H100" s="1257">
        <v>103995</v>
      </c>
      <c r="I100" s="1257">
        <v>100529</v>
      </c>
      <c r="J100" s="1257"/>
      <c r="K100" s="1257"/>
      <c r="L100" s="1256"/>
      <c r="M100" s="1256"/>
      <c r="N100" s="1261" t="s">
        <v>45</v>
      </c>
      <c r="O100" s="1257">
        <f>O96</f>
        <v>10000000</v>
      </c>
      <c r="P100" s="1258"/>
      <c r="Q100" s="1258"/>
      <c r="R100" s="1258" t="s">
        <v>628</v>
      </c>
      <c r="S100" s="1257"/>
      <c r="T100" s="1257"/>
      <c r="U100" s="1259" t="s">
        <v>67</v>
      </c>
      <c r="V100" s="1246"/>
      <c r="Y100" s="1243"/>
      <c r="Z100" s="1243"/>
      <c r="AA100" s="1243"/>
      <c r="AB100" s="1243"/>
      <c r="AC100" s="1243"/>
    </row>
    <row r="101" spans="1:29" ht="14.25" thickTop="1" thickBot="1" x14ac:dyDescent="0.25">
      <c r="A101"/>
      <c r="B101"/>
      <c r="C101" s="407" t="s">
        <v>38</v>
      </c>
      <c r="D101" s="411"/>
      <c r="E101" s="411"/>
      <c r="F101" s="109"/>
      <c r="G101" s="109"/>
      <c r="H101" s="110">
        <f>SUM(H99:H100)</f>
        <v>103995</v>
      </c>
      <c r="I101" s="110">
        <f>SUM(I99:I100)</f>
        <v>100529</v>
      </c>
      <c r="J101" s="110">
        <f>SUM(J99:J100)</f>
        <v>377371</v>
      </c>
      <c r="K101" s="110">
        <f>SUM(K99:K100)</f>
        <v>336544</v>
      </c>
      <c r="L101" s="110"/>
      <c r="M101" s="110"/>
      <c r="N101" s="1857">
        <v>2008</v>
      </c>
      <c r="O101" s="1575">
        <f>H3-J68-J75-J94-J99</f>
        <v>9104123</v>
      </c>
      <c r="P101" s="110"/>
      <c r="Q101" s="917">
        <f>J99/H3</f>
        <v>3.7737100000000003E-2</v>
      </c>
      <c r="R101" s="110"/>
      <c r="S101" s="110">
        <f>SUM(S99:S100)</f>
        <v>185973</v>
      </c>
      <c r="T101" s="110">
        <f>SUM(T99:T100)</f>
        <v>226076</v>
      </c>
      <c r="U101" s="111"/>
      <c r="V101" s="1"/>
      <c r="X101" s="39"/>
      <c r="Y101" s="82"/>
      <c r="Z101" s="82"/>
      <c r="AA101" s="82"/>
      <c r="AB101" s="82"/>
      <c r="AC101" s="82"/>
    </row>
    <row r="102" spans="1:29" ht="13.5" thickTop="1" x14ac:dyDescent="0.2">
      <c r="A102"/>
      <c r="B102"/>
      <c r="C102" s="611"/>
      <c r="D102" s="408"/>
      <c r="E102" s="408"/>
      <c r="F102" s="26"/>
      <c r="G102" s="26"/>
      <c r="H102" s="27"/>
      <c r="I102" s="27"/>
      <c r="J102" s="27"/>
      <c r="K102" s="27"/>
      <c r="L102" s="27"/>
      <c r="M102" s="27"/>
      <c r="N102" s="1317" t="s">
        <v>460</v>
      </c>
      <c r="O102" s="1318">
        <f>O96</f>
        <v>10000000</v>
      </c>
      <c r="P102" s="27"/>
      <c r="Q102" s="613"/>
      <c r="R102" s="27"/>
      <c r="S102" s="27"/>
      <c r="T102" s="27"/>
      <c r="U102" s="28"/>
      <c r="V102" s="1"/>
      <c r="X102" s="39"/>
      <c r="Y102" s="82"/>
      <c r="Z102" s="82"/>
      <c r="AA102" s="82"/>
      <c r="AB102" s="82"/>
      <c r="AC102" s="82"/>
    </row>
    <row r="103" spans="1:29" ht="12.75" customHeight="1" thickBot="1" x14ac:dyDescent="0.25">
      <c r="A103"/>
      <c r="B103"/>
      <c r="C103" s="611"/>
      <c r="D103" s="408"/>
      <c r="E103" s="408"/>
      <c r="F103" s="26"/>
      <c r="G103" s="26"/>
      <c r="H103" s="27"/>
      <c r="I103" s="27"/>
      <c r="J103" s="27"/>
      <c r="K103" s="27"/>
      <c r="L103" s="27"/>
      <c r="M103" s="27"/>
      <c r="N103" s="612"/>
      <c r="O103" s="27"/>
      <c r="P103" s="27"/>
      <c r="Q103" s="613"/>
      <c r="R103" s="27"/>
      <c r="S103" s="27"/>
      <c r="T103" s="27"/>
      <c r="U103" s="28"/>
      <c r="V103" s="1"/>
      <c r="X103" s="39"/>
      <c r="Y103" s="82"/>
      <c r="Z103" s="82"/>
      <c r="AA103" s="82"/>
      <c r="AB103" s="82"/>
      <c r="AC103" s="82"/>
    </row>
    <row r="104" spans="1:29" s="39" customFormat="1" ht="14.25" thickTop="1" thickBot="1" x14ac:dyDescent="0.25">
      <c r="C104" s="933" t="s">
        <v>677</v>
      </c>
      <c r="D104" s="934"/>
      <c r="E104" s="934"/>
      <c r="F104" s="934"/>
      <c r="G104" s="934"/>
      <c r="H104" s="1102"/>
      <c r="I104" s="1102"/>
      <c r="J104" s="1103"/>
      <c r="K104" s="1103"/>
      <c r="L104" s="1103"/>
      <c r="M104" s="1103"/>
      <c r="N104" s="1103"/>
      <c r="O104" s="1102"/>
      <c r="P104" s="1104"/>
      <c r="Q104" s="1104"/>
      <c r="R104" s="1104"/>
      <c r="S104" s="1102"/>
      <c r="T104" s="1105"/>
      <c r="U104" s="1106"/>
      <c r="V104" s="52"/>
      <c r="Y104" s="82"/>
      <c r="Z104" s="82"/>
      <c r="AA104" s="82"/>
      <c r="AB104" s="82"/>
      <c r="AC104" s="82"/>
    </row>
    <row r="105" spans="1:29" s="1176" customFormat="1" x14ac:dyDescent="0.2">
      <c r="A105" s="1163" t="s">
        <v>596</v>
      </c>
      <c r="B105" s="1163"/>
      <c r="C105" s="1217" t="s">
        <v>683</v>
      </c>
      <c r="D105" s="1218" t="s">
        <v>7</v>
      </c>
      <c r="E105" s="1218" t="s">
        <v>46</v>
      </c>
      <c r="F105" s="1218" t="s">
        <v>684</v>
      </c>
      <c r="G105" s="1218" t="s">
        <v>8</v>
      </c>
      <c r="H105" s="1219"/>
      <c r="I105" s="1219"/>
      <c r="J105" s="1229">
        <v>293967</v>
      </c>
      <c r="K105" s="1229">
        <v>240073</v>
      </c>
      <c r="L105" s="1230">
        <f>J105-H88</f>
        <v>-1675768</v>
      </c>
      <c r="M105" s="1230">
        <f>K105-I88</f>
        <v>-1368544</v>
      </c>
      <c r="N105" s="1230" t="s">
        <v>45</v>
      </c>
      <c r="O105" s="1219">
        <f>O99</f>
        <v>9104123</v>
      </c>
      <c r="P105" s="1231"/>
      <c r="Q105" s="1231"/>
      <c r="R105" s="1231" t="s">
        <v>520</v>
      </c>
      <c r="S105" s="1219"/>
      <c r="T105" s="1248"/>
      <c r="U105" s="1232" t="s">
        <v>390</v>
      </c>
      <c r="V105" s="1177"/>
      <c r="Y105" s="1174"/>
      <c r="Z105" s="1174"/>
      <c r="AA105" s="1174"/>
      <c r="AB105" s="1174"/>
      <c r="AC105" s="1174"/>
    </row>
    <row r="106" spans="1:29" s="1196" customFormat="1" x14ac:dyDescent="0.2">
      <c r="A106" s="1198" t="s">
        <v>415</v>
      </c>
      <c r="B106" s="1199"/>
      <c r="C106" s="1200" t="s">
        <v>412</v>
      </c>
      <c r="D106" s="1201" t="s">
        <v>7</v>
      </c>
      <c r="E106" s="1201" t="s">
        <v>44</v>
      </c>
      <c r="F106" s="1201" t="s">
        <v>680</v>
      </c>
      <c r="G106" s="1201" t="s">
        <v>8</v>
      </c>
      <c r="H106" s="1202"/>
      <c r="I106" s="1202"/>
      <c r="J106" s="1203">
        <v>231531</v>
      </c>
      <c r="K106" s="1203">
        <v>221401</v>
      </c>
      <c r="L106" s="1204">
        <f>J106-H59</f>
        <v>36429</v>
      </c>
      <c r="M106" s="1204">
        <f>K106-I59</f>
        <v>36314</v>
      </c>
      <c r="N106" s="1204" t="s">
        <v>681</v>
      </c>
      <c r="O106" s="1202">
        <f>O105-J106</f>
        <v>8872592</v>
      </c>
      <c r="P106" s="1205">
        <f>J106/H3</f>
        <v>2.3153099999999999E-2</v>
      </c>
      <c r="Q106" s="1205"/>
      <c r="R106" s="1205" t="s">
        <v>386</v>
      </c>
      <c r="S106" s="1202">
        <v>96498</v>
      </c>
      <c r="T106" s="1206">
        <v>106096</v>
      </c>
      <c r="U106" s="1207" t="s">
        <v>390</v>
      </c>
      <c r="V106" s="1197"/>
      <c r="Y106" s="1194"/>
      <c r="Z106" s="1194"/>
      <c r="AA106" s="1194"/>
      <c r="AB106" s="1194"/>
      <c r="AC106" s="1194"/>
    </row>
    <row r="107" spans="1:29" s="1245" customFormat="1" x14ac:dyDescent="0.2">
      <c r="A107" s="634"/>
      <c r="B107" s="634"/>
      <c r="C107" s="1253" t="s">
        <v>679</v>
      </c>
      <c r="D107" s="1254" t="s">
        <v>14</v>
      </c>
      <c r="E107" s="1254" t="s">
        <v>132</v>
      </c>
      <c r="F107" s="1254" t="s">
        <v>807</v>
      </c>
      <c r="G107" s="1254" t="s">
        <v>8</v>
      </c>
      <c r="H107" s="1255">
        <v>795139</v>
      </c>
      <c r="I107" s="1255">
        <v>728877</v>
      </c>
      <c r="J107" s="1255"/>
      <c r="K107" s="1255"/>
      <c r="L107" s="1256"/>
      <c r="M107" s="1256"/>
      <c r="N107" s="1256" t="s">
        <v>45</v>
      </c>
      <c r="O107" s="1257">
        <f>O102</f>
        <v>10000000</v>
      </c>
      <c r="P107" s="1258"/>
      <c r="Q107" s="1258"/>
      <c r="R107" s="1258" t="s">
        <v>668</v>
      </c>
      <c r="S107" s="1257"/>
      <c r="T107" s="1257"/>
      <c r="U107" s="1259" t="s">
        <v>669</v>
      </c>
      <c r="V107" s="1246"/>
      <c r="Y107" s="1243"/>
      <c r="Z107" s="1243"/>
      <c r="AA107" s="1243"/>
      <c r="AB107" s="1243"/>
      <c r="AC107" s="1243"/>
    </row>
    <row r="108" spans="1:29" s="1245" customFormat="1" x14ac:dyDescent="0.2">
      <c r="A108" s="634"/>
      <c r="B108" s="634"/>
      <c r="C108" s="1253" t="s">
        <v>685</v>
      </c>
      <c r="D108" s="1254" t="s">
        <v>14</v>
      </c>
      <c r="E108" s="1254" t="s">
        <v>132</v>
      </c>
      <c r="F108" s="1254" t="s">
        <v>807</v>
      </c>
      <c r="G108" s="1254" t="s">
        <v>8</v>
      </c>
      <c r="H108" s="1255">
        <v>246051</v>
      </c>
      <c r="I108" s="1255">
        <v>233584</v>
      </c>
      <c r="J108" s="1255"/>
      <c r="K108" s="1255"/>
      <c r="L108" s="1256"/>
      <c r="M108" s="1256"/>
      <c r="N108" s="1256" t="s">
        <v>45</v>
      </c>
      <c r="O108" s="1257">
        <f>O107</f>
        <v>10000000</v>
      </c>
      <c r="P108" s="1258"/>
      <c r="Q108" s="1258"/>
      <c r="R108" s="1258" t="s">
        <v>670</v>
      </c>
      <c r="S108" s="1257"/>
      <c r="T108" s="1257"/>
      <c r="U108" s="1259" t="s">
        <v>67</v>
      </c>
      <c r="V108" s="1246"/>
      <c r="Y108" s="1243"/>
      <c r="Z108" s="1243"/>
      <c r="AA108" s="1243"/>
      <c r="AB108" s="1243"/>
      <c r="AC108" s="1243"/>
    </row>
    <row r="109" spans="1:29" s="1271" customFormat="1" ht="13.5" thickBot="1" x14ac:dyDescent="0.25">
      <c r="A109" s="1262" t="s">
        <v>687</v>
      </c>
      <c r="B109" s="1262"/>
      <c r="C109" s="1263" t="s">
        <v>671</v>
      </c>
      <c r="D109" s="1264" t="s">
        <v>7</v>
      </c>
      <c r="E109" s="1264" t="s">
        <v>44</v>
      </c>
      <c r="F109" s="1264"/>
      <c r="G109" s="1264" t="s">
        <v>8</v>
      </c>
      <c r="H109" s="1265"/>
      <c r="I109" s="1265"/>
      <c r="J109" s="1265">
        <v>692854</v>
      </c>
      <c r="K109" s="1265">
        <v>635116</v>
      </c>
      <c r="L109" s="1266"/>
      <c r="M109" s="1266"/>
      <c r="N109" s="1267" t="s">
        <v>636</v>
      </c>
      <c r="O109" s="1265">
        <f>O108-J109</f>
        <v>9307146</v>
      </c>
      <c r="P109" s="1268">
        <f>J109/H3</f>
        <v>6.9285399999999997E-2</v>
      </c>
      <c r="Q109" s="1268"/>
      <c r="R109" s="1268" t="s">
        <v>673</v>
      </c>
      <c r="S109" s="1265">
        <v>1059543</v>
      </c>
      <c r="T109" s="1265">
        <v>1114758</v>
      </c>
      <c r="U109" s="1269" t="s">
        <v>58</v>
      </c>
      <c r="V109" s="1270"/>
      <c r="Y109" s="1272"/>
      <c r="Z109" s="1272"/>
      <c r="AA109" s="1272"/>
      <c r="AB109" s="1272"/>
      <c r="AC109" s="1272"/>
    </row>
    <row r="110" spans="1:29" ht="14.25" thickTop="1" thickBot="1" x14ac:dyDescent="0.25">
      <c r="A110"/>
      <c r="B110"/>
      <c r="C110" s="407" t="s">
        <v>38</v>
      </c>
      <c r="D110" s="411"/>
      <c r="E110" s="411"/>
      <c r="F110" s="109"/>
      <c r="G110" s="109"/>
      <c r="H110" s="110">
        <f>SUM(H105:H109)</f>
        <v>1041190</v>
      </c>
      <c r="I110" s="110">
        <f>SUM(I105:I109)</f>
        <v>962461</v>
      </c>
      <c r="J110" s="110">
        <f>SUM(J106:J109)</f>
        <v>924385</v>
      </c>
      <c r="K110" s="110">
        <f>SUM(K106:K109)</f>
        <v>856517</v>
      </c>
      <c r="L110" s="110"/>
      <c r="M110" s="110"/>
      <c r="N110" s="1857">
        <v>2008</v>
      </c>
      <c r="O110" s="1575">
        <f>H3-J68-J75-J94-J99-J106</f>
        <v>8872592</v>
      </c>
      <c r="P110" s="110"/>
      <c r="Q110" s="412"/>
      <c r="R110" s="110"/>
      <c r="S110" s="110">
        <f>SUM(S105:S109)</f>
        <v>1156041</v>
      </c>
      <c r="T110" s="110">
        <f>SUM(T105:T109)</f>
        <v>1220854</v>
      </c>
      <c r="U110" s="111"/>
      <c r="V110" s="1"/>
      <c r="X110" s="39"/>
      <c r="Y110" s="82"/>
      <c r="Z110" s="82"/>
      <c r="AA110" s="82"/>
      <c r="AB110" s="82"/>
      <c r="AC110" s="82"/>
    </row>
    <row r="111" spans="1:29" ht="13.5" thickTop="1" x14ac:dyDescent="0.2">
      <c r="A111"/>
      <c r="B111"/>
      <c r="C111" s="611"/>
      <c r="D111" s="408"/>
      <c r="E111" s="408"/>
      <c r="F111" s="26"/>
      <c r="G111" s="26"/>
      <c r="H111" s="27"/>
      <c r="I111" s="27"/>
      <c r="J111" s="27"/>
      <c r="K111" s="27"/>
      <c r="L111" s="27"/>
      <c r="M111" s="27"/>
      <c r="N111" s="1317" t="s">
        <v>460</v>
      </c>
      <c r="O111" s="1318">
        <f>O102-J109</f>
        <v>9307146</v>
      </c>
      <c r="P111" s="27"/>
      <c r="Q111" s="613"/>
      <c r="R111" s="27"/>
      <c r="S111" s="27"/>
      <c r="T111" s="27"/>
      <c r="U111" s="28"/>
      <c r="V111" s="1"/>
      <c r="X111" s="39"/>
      <c r="Y111" s="82"/>
      <c r="Z111" s="82"/>
      <c r="AA111" s="82"/>
      <c r="AB111" s="82"/>
      <c r="AC111" s="82"/>
    </row>
    <row r="112" spans="1:29" ht="13.5" thickBot="1" x14ac:dyDescent="0.25">
      <c r="A112"/>
      <c r="B112"/>
      <c r="C112" s="611"/>
      <c r="D112" s="408"/>
      <c r="E112" s="408"/>
      <c r="F112" s="26"/>
      <c r="G112" s="26"/>
      <c r="H112" s="27"/>
      <c r="I112" s="27"/>
      <c r="J112" s="27"/>
      <c r="K112" s="27"/>
      <c r="L112" s="27"/>
      <c r="M112" s="27"/>
      <c r="N112" s="612"/>
      <c r="O112" s="27"/>
      <c r="P112" s="27"/>
      <c r="Q112" s="613"/>
      <c r="R112" s="27"/>
      <c r="S112" s="27"/>
      <c r="T112" s="27"/>
      <c r="U112" s="28"/>
      <c r="V112" s="1"/>
      <c r="X112" s="39"/>
      <c r="Y112" s="82"/>
      <c r="Z112" s="82"/>
      <c r="AA112" s="82"/>
      <c r="AB112" s="82"/>
      <c r="AC112" s="82"/>
    </row>
    <row r="113" spans="1:29" s="39" customFormat="1" ht="14.25" thickTop="1" thickBot="1" x14ac:dyDescent="0.25">
      <c r="C113" s="933" t="s">
        <v>744</v>
      </c>
      <c r="D113" s="934"/>
      <c r="E113" s="934"/>
      <c r="F113" s="934"/>
      <c r="G113" s="934"/>
      <c r="H113" s="1102"/>
      <c r="I113" s="1102"/>
      <c r="J113" s="1103"/>
      <c r="K113" s="1103"/>
      <c r="L113" s="1103"/>
      <c r="M113" s="1103"/>
      <c r="N113" s="1103"/>
      <c r="O113" s="1102"/>
      <c r="P113" s="1104"/>
      <c r="Q113" s="1104"/>
      <c r="R113" s="1104"/>
      <c r="S113" s="1102"/>
      <c r="T113" s="1105"/>
      <c r="U113" s="1106"/>
      <c r="V113" s="52"/>
      <c r="Y113" s="82"/>
      <c r="Z113" s="82"/>
      <c r="AA113" s="82"/>
      <c r="AB113" s="82"/>
      <c r="AC113" s="82"/>
    </row>
    <row r="114" spans="1:29" s="1271" customFormat="1" x14ac:dyDescent="0.2">
      <c r="A114" s="1262" t="s">
        <v>676</v>
      </c>
      <c r="B114" s="1262" t="s">
        <v>409</v>
      </c>
      <c r="C114" s="1263" t="s">
        <v>383</v>
      </c>
      <c r="D114" s="1264" t="s">
        <v>7</v>
      </c>
      <c r="E114" s="1264" t="s">
        <v>44</v>
      </c>
      <c r="F114" s="1264" t="s">
        <v>745</v>
      </c>
      <c r="G114" s="1264" t="s">
        <v>8</v>
      </c>
      <c r="H114" s="1265"/>
      <c r="I114" s="1265"/>
      <c r="J114" s="1266">
        <v>630859</v>
      </c>
      <c r="K114" s="1266">
        <v>554993</v>
      </c>
      <c r="L114" s="1266">
        <f>J114-H57</f>
        <v>-417188</v>
      </c>
      <c r="M114" s="1266">
        <f>K114-I57</f>
        <v>-405716</v>
      </c>
      <c r="N114" s="1266" t="s">
        <v>746</v>
      </c>
      <c r="O114" s="1265">
        <f>O109-J114</f>
        <v>8676287</v>
      </c>
      <c r="P114" s="1268">
        <f>J114/H3</f>
        <v>6.30859E-2</v>
      </c>
      <c r="Q114" s="1268"/>
      <c r="R114" s="1268" t="s">
        <v>41</v>
      </c>
      <c r="S114" s="1265">
        <v>345716</v>
      </c>
      <c r="T114" s="1273">
        <v>420891</v>
      </c>
      <c r="U114" s="1269" t="s">
        <v>67</v>
      </c>
      <c r="V114" s="1270"/>
      <c r="Y114" s="1272"/>
      <c r="Z114" s="1272"/>
      <c r="AA114" s="1272"/>
      <c r="AB114" s="1272"/>
      <c r="AC114" s="1272"/>
    </row>
    <row r="115" spans="1:29" s="1276" customFormat="1" x14ac:dyDescent="0.2">
      <c r="A115" s="1262" t="s">
        <v>666</v>
      </c>
      <c r="B115" s="1274"/>
      <c r="C115" s="1263" t="s">
        <v>748</v>
      </c>
      <c r="D115" s="1264" t="s">
        <v>7</v>
      </c>
      <c r="E115" s="1264" t="s">
        <v>44</v>
      </c>
      <c r="F115" s="1264" t="s">
        <v>749</v>
      </c>
      <c r="G115" s="1264" t="s">
        <v>8</v>
      </c>
      <c r="H115" s="1265"/>
      <c r="I115" s="1265"/>
      <c r="J115" s="1266">
        <v>103300</v>
      </c>
      <c r="K115" s="1266">
        <v>99857</v>
      </c>
      <c r="L115" s="1266">
        <f>H100-J115</f>
        <v>695</v>
      </c>
      <c r="M115" s="1266">
        <f>I100-K115</f>
        <v>672</v>
      </c>
      <c r="N115" s="1266" t="s">
        <v>746</v>
      </c>
      <c r="O115" s="1265">
        <f>O114-J115</f>
        <v>8572987</v>
      </c>
      <c r="P115" s="1268">
        <f>J115/H3</f>
        <v>1.0330000000000001E-2</v>
      </c>
      <c r="Q115" s="1268"/>
      <c r="R115" s="1268" t="s">
        <v>37</v>
      </c>
      <c r="S115" s="1265">
        <v>52239</v>
      </c>
      <c r="T115" s="1273">
        <v>55651</v>
      </c>
      <c r="U115" s="1269" t="s">
        <v>67</v>
      </c>
      <c r="V115" s="1275"/>
      <c r="Y115" s="1277"/>
      <c r="Z115" s="1277"/>
      <c r="AA115" s="1277"/>
      <c r="AB115" s="1277"/>
      <c r="AC115" s="1277"/>
    </row>
    <row r="116" spans="1:29" s="1245" customFormat="1" ht="13.5" thickBot="1" x14ac:dyDescent="0.25">
      <c r="A116" s="634"/>
      <c r="B116" s="634"/>
      <c r="C116" s="1253" t="s">
        <v>751</v>
      </c>
      <c r="D116" s="1254" t="s">
        <v>14</v>
      </c>
      <c r="E116" s="1254" t="s">
        <v>132</v>
      </c>
      <c r="F116" s="1254" t="s">
        <v>851</v>
      </c>
      <c r="G116" s="1254" t="s">
        <v>8</v>
      </c>
      <c r="H116" s="1255">
        <v>205290</v>
      </c>
      <c r="I116" s="1255">
        <v>190470</v>
      </c>
      <c r="J116" s="1255"/>
      <c r="K116" s="1255"/>
      <c r="L116" s="1256"/>
      <c r="M116" s="1256"/>
      <c r="N116" s="1256" t="s">
        <v>45</v>
      </c>
      <c r="O116" s="1257">
        <f>O115</f>
        <v>8572987</v>
      </c>
      <c r="P116" s="1258"/>
      <c r="Q116" s="1258"/>
      <c r="R116" s="1258" t="s">
        <v>628</v>
      </c>
      <c r="S116" s="1257"/>
      <c r="T116" s="1257"/>
      <c r="U116" s="1259" t="s">
        <v>67</v>
      </c>
      <c r="V116" s="1246"/>
      <c r="Y116" s="1243"/>
      <c r="Z116" s="1243"/>
      <c r="AA116" s="1243"/>
      <c r="AB116" s="1243"/>
      <c r="AC116" s="1243"/>
    </row>
    <row r="117" spans="1:29" ht="14.25" thickTop="1" thickBot="1" x14ac:dyDescent="0.25">
      <c r="A117"/>
      <c r="B117"/>
      <c r="C117" s="407" t="s">
        <v>38</v>
      </c>
      <c r="D117" s="411"/>
      <c r="E117" s="411"/>
      <c r="F117" s="109"/>
      <c r="G117" s="109"/>
      <c r="H117" s="110">
        <f>SUM(H114:H116)</f>
        <v>205290</v>
      </c>
      <c r="I117" s="110">
        <f>SUM(I114:I116)</f>
        <v>190470</v>
      </c>
      <c r="J117" s="110">
        <f>SUM(J114:J116)</f>
        <v>734159</v>
      </c>
      <c r="K117" s="110">
        <f>SUM(K114:K116)</f>
        <v>654850</v>
      </c>
      <c r="L117" s="110"/>
      <c r="M117" s="110"/>
      <c r="N117" s="1857">
        <v>2008</v>
      </c>
      <c r="O117" s="1575">
        <f>H3-J68-J75-J94-J99-J106</f>
        <v>8872592</v>
      </c>
      <c r="P117" s="110"/>
      <c r="Q117" s="919">
        <f>(J114+J115+H116)/H3</f>
        <v>9.3944899999999998E-2</v>
      </c>
      <c r="R117" s="110"/>
      <c r="S117" s="110">
        <f>SUM(S114:S116)</f>
        <v>397955</v>
      </c>
      <c r="T117" s="110">
        <f>SUM(T114:T116)</f>
        <v>476542</v>
      </c>
      <c r="U117" s="111"/>
      <c r="V117" s="1"/>
      <c r="X117" s="39"/>
      <c r="Y117" s="82"/>
      <c r="Z117" s="82"/>
      <c r="AA117" s="82"/>
      <c r="AB117" s="82"/>
      <c r="AC117" s="82"/>
    </row>
    <row r="118" spans="1:29" ht="13.5" thickTop="1" x14ac:dyDescent="0.2">
      <c r="A118"/>
      <c r="B118"/>
      <c r="C118" s="611"/>
      <c r="D118" s="408"/>
      <c r="E118" s="408"/>
      <c r="F118" s="26"/>
      <c r="G118" s="26"/>
      <c r="H118" s="27"/>
      <c r="I118" s="27"/>
      <c r="J118" s="27"/>
      <c r="K118" s="27"/>
      <c r="L118" s="27"/>
      <c r="M118" s="27"/>
      <c r="N118" s="1317" t="s">
        <v>460</v>
      </c>
      <c r="O118" s="1318">
        <f>H3-J109-J114-J115</f>
        <v>8572987</v>
      </c>
      <c r="P118" s="27"/>
      <c r="Q118" s="932"/>
      <c r="R118" s="27"/>
      <c r="S118" s="27"/>
      <c r="T118" s="27"/>
      <c r="U118" s="28"/>
      <c r="V118" s="1"/>
      <c r="X118" s="39"/>
      <c r="Y118" s="82"/>
      <c r="Z118" s="82"/>
      <c r="AA118" s="82"/>
      <c r="AB118" s="82"/>
      <c r="AC118" s="82"/>
    </row>
    <row r="119" spans="1:29" ht="13.5" thickBot="1" x14ac:dyDescent="0.25">
      <c r="A119"/>
      <c r="B119"/>
      <c r="C119" s="611"/>
      <c r="D119" s="408"/>
      <c r="E119" s="408"/>
      <c r="F119" s="26"/>
      <c r="G119" s="26"/>
      <c r="H119" s="27"/>
      <c r="I119" s="27"/>
      <c r="J119" s="27"/>
      <c r="K119" s="27"/>
      <c r="L119" s="27"/>
      <c r="M119" s="27"/>
      <c r="N119" s="612"/>
      <c r="O119" s="27"/>
      <c r="P119" s="27"/>
      <c r="Q119" s="932"/>
      <c r="R119" s="27"/>
      <c r="S119" s="27"/>
      <c r="T119" s="27"/>
      <c r="U119" s="28"/>
      <c r="V119" s="1"/>
      <c r="X119" s="39"/>
      <c r="Y119" s="82"/>
      <c r="Z119" s="82"/>
      <c r="AA119" s="82"/>
      <c r="AB119" s="82"/>
      <c r="AC119" s="82"/>
    </row>
    <row r="120" spans="1:29" s="39" customFormat="1" ht="14.25" thickTop="1" thickBot="1" x14ac:dyDescent="0.25">
      <c r="C120" s="933" t="s">
        <v>754</v>
      </c>
      <c r="D120" s="934"/>
      <c r="E120" s="934"/>
      <c r="F120" s="934"/>
      <c r="G120" s="934"/>
      <c r="H120" s="1102"/>
      <c r="I120" s="1102"/>
      <c r="J120" s="1103"/>
      <c r="K120" s="1103"/>
      <c r="L120" s="1103"/>
      <c r="M120" s="1103"/>
      <c r="N120" s="1103"/>
      <c r="O120" s="1102"/>
      <c r="P120" s="1104"/>
      <c r="Q120" s="1104"/>
      <c r="R120" s="1104"/>
      <c r="S120" s="1102"/>
      <c r="T120" s="1105"/>
      <c r="U120" s="1106"/>
      <c r="V120" s="52"/>
      <c r="Y120" s="82"/>
      <c r="Z120" s="82"/>
      <c r="AA120" s="82"/>
      <c r="AB120" s="82"/>
      <c r="AC120" s="82"/>
    </row>
    <row r="121" spans="1:29" s="1245" customFormat="1" ht="13.5" thickBot="1" x14ac:dyDescent="0.25">
      <c r="A121" s="634"/>
      <c r="B121" s="1898"/>
      <c r="C121" s="1260" t="s">
        <v>756</v>
      </c>
      <c r="D121" s="1254" t="s">
        <v>14</v>
      </c>
      <c r="E121" s="1254" t="s">
        <v>132</v>
      </c>
      <c r="F121" s="1254"/>
      <c r="G121" s="1254" t="s">
        <v>8</v>
      </c>
      <c r="H121" s="1257">
        <v>148212</v>
      </c>
      <c r="I121" s="1257">
        <v>128451</v>
      </c>
      <c r="J121" s="1256"/>
      <c r="K121" s="1256"/>
      <c r="L121" s="1256"/>
      <c r="M121" s="1256"/>
      <c r="N121" s="1256" t="s">
        <v>757</v>
      </c>
      <c r="O121" s="1257">
        <f>O116</f>
        <v>8572987</v>
      </c>
      <c r="P121" s="1258">
        <f>H121/H3</f>
        <v>1.48212E-2</v>
      </c>
      <c r="Q121" s="1258"/>
      <c r="R121" s="1258" t="s">
        <v>758</v>
      </c>
      <c r="S121" s="1257">
        <v>56731</v>
      </c>
      <c r="T121" s="1313">
        <v>76134</v>
      </c>
      <c r="U121" s="1259" t="s">
        <v>390</v>
      </c>
      <c r="V121" s="1246"/>
      <c r="Y121" s="1243"/>
      <c r="Z121" s="1243"/>
      <c r="AA121" s="1243"/>
      <c r="AB121" s="1243"/>
      <c r="AC121" s="1243"/>
    </row>
    <row r="122" spans="1:29" s="431" customFormat="1" ht="13.5" thickTop="1" x14ac:dyDescent="0.2">
      <c r="A122" s="625"/>
      <c r="B122" s="625"/>
      <c r="C122" s="1027"/>
      <c r="D122" s="961"/>
      <c r="E122" s="961"/>
      <c r="F122" s="961"/>
      <c r="G122" s="961"/>
      <c r="H122" s="1028"/>
      <c r="I122" s="1028"/>
      <c r="J122" s="1029"/>
      <c r="K122" s="1029"/>
      <c r="L122" s="1029"/>
      <c r="M122" s="1029"/>
      <c r="N122" s="1859">
        <v>2008</v>
      </c>
      <c r="O122" s="1860">
        <f>O117</f>
        <v>8872592</v>
      </c>
      <c r="P122" s="1030"/>
      <c r="Q122" s="1030"/>
      <c r="R122" s="1030"/>
      <c r="S122" s="1028"/>
      <c r="T122" s="1028"/>
      <c r="U122" s="1030"/>
      <c r="V122" s="632"/>
      <c r="Y122" s="408"/>
      <c r="Z122" s="408"/>
      <c r="AA122" s="408"/>
      <c r="AB122" s="408"/>
      <c r="AC122" s="408"/>
    </row>
    <row r="123" spans="1:29" ht="13.5" thickBot="1" x14ac:dyDescent="0.25">
      <c r="A123"/>
      <c r="B123"/>
      <c r="C123" s="5"/>
      <c r="D123" s="1024"/>
      <c r="E123" s="5"/>
      <c r="F123" s="5"/>
      <c r="G123" s="5"/>
      <c r="H123" s="5"/>
      <c r="I123" s="5"/>
      <c r="J123" s="6"/>
      <c r="K123" s="6"/>
      <c r="L123" s="207"/>
      <c r="M123" s="207"/>
      <c r="N123" s="1322" t="s">
        <v>460</v>
      </c>
      <c r="O123" s="1323">
        <f>H3-J109-J114-J115</f>
        <v>8572987</v>
      </c>
      <c r="P123" s="1025"/>
      <c r="Q123" s="1026"/>
      <c r="R123" s="7"/>
      <c r="S123" s="7"/>
      <c r="T123" s="5"/>
      <c r="U123" s="6"/>
      <c r="V123" s="1"/>
      <c r="X123" s="39"/>
      <c r="Y123" s="82"/>
      <c r="Z123" s="82"/>
      <c r="AA123" s="82"/>
      <c r="AB123" s="82"/>
      <c r="AC123" s="82"/>
    </row>
    <row r="124" spans="1:29" s="39" customFormat="1" ht="14.25" thickTop="1" thickBot="1" x14ac:dyDescent="0.25">
      <c r="C124" s="933" t="s">
        <v>814</v>
      </c>
      <c r="D124" s="934"/>
      <c r="E124" s="934"/>
      <c r="F124" s="934"/>
      <c r="G124" s="934"/>
      <c r="H124" s="1102"/>
      <c r="I124" s="1102"/>
      <c r="J124" s="1103"/>
      <c r="K124" s="1103"/>
      <c r="L124" s="1103"/>
      <c r="M124" s="1103"/>
      <c r="N124" s="1103"/>
      <c r="O124" s="1102"/>
      <c r="P124" s="1104"/>
      <c r="Q124" s="1104"/>
      <c r="R124" s="1104"/>
      <c r="S124" s="1102"/>
      <c r="T124" s="1105"/>
      <c r="U124" s="1106"/>
      <c r="V124" s="52"/>
      <c r="Y124" s="82"/>
      <c r="Z124" s="82"/>
      <c r="AA124" s="82"/>
      <c r="AB124" s="82"/>
      <c r="AC124" s="82"/>
    </row>
    <row r="125" spans="1:29" s="1276" customFormat="1" x14ac:dyDescent="0.2">
      <c r="A125" s="1284" t="s">
        <v>678</v>
      </c>
      <c r="C125" s="1263" t="s">
        <v>808</v>
      </c>
      <c r="D125" s="1264" t="s">
        <v>7</v>
      </c>
      <c r="E125" s="1264" t="s">
        <v>44</v>
      </c>
      <c r="F125" s="1264" t="s">
        <v>809</v>
      </c>
      <c r="G125" s="1264" t="s">
        <v>8</v>
      </c>
      <c r="H125" s="1265"/>
      <c r="I125" s="1265"/>
      <c r="J125" s="1266">
        <v>553722</v>
      </c>
      <c r="K125" s="1266">
        <v>452207</v>
      </c>
      <c r="L125" s="1266">
        <f>H107-J125</f>
        <v>241417</v>
      </c>
      <c r="M125" s="1266">
        <f>I107-K125</f>
        <v>276670</v>
      </c>
      <c r="N125" s="1266" t="s">
        <v>636</v>
      </c>
      <c r="O125" s="1265">
        <f>O123-J125</f>
        <v>8019265</v>
      </c>
      <c r="P125" s="1268">
        <f>J125/H3</f>
        <v>5.5372200000000003E-2</v>
      </c>
      <c r="Q125" s="1268"/>
      <c r="R125" s="1268" t="s">
        <v>668</v>
      </c>
      <c r="S125" s="1265">
        <v>263998</v>
      </c>
      <c r="T125" s="1273">
        <v>356558</v>
      </c>
      <c r="U125" s="1269" t="s">
        <v>669</v>
      </c>
      <c r="V125" s="1275"/>
      <c r="Y125" s="1277"/>
      <c r="Z125" s="1277"/>
      <c r="AA125" s="1277"/>
      <c r="AB125" s="1277"/>
      <c r="AC125" s="1277"/>
    </row>
    <row r="126" spans="1:29" s="1276" customFormat="1" x14ac:dyDescent="0.2">
      <c r="A126" s="1284" t="s">
        <v>686</v>
      </c>
      <c r="C126" s="1263" t="s">
        <v>810</v>
      </c>
      <c r="D126" s="1264" t="s">
        <v>7</v>
      </c>
      <c r="E126" s="1264" t="s">
        <v>44</v>
      </c>
      <c r="F126" s="1264" t="s">
        <v>809</v>
      </c>
      <c r="G126" s="1264" t="s">
        <v>8</v>
      </c>
      <c r="H126" s="1265"/>
      <c r="I126" s="1265"/>
      <c r="J126" s="1266">
        <v>267569</v>
      </c>
      <c r="K126" s="1266">
        <v>253667</v>
      </c>
      <c r="L126" s="1266">
        <f>H108-J126</f>
        <v>-21518</v>
      </c>
      <c r="M126" s="1266">
        <f>I108-K126</f>
        <v>-20083</v>
      </c>
      <c r="N126" s="1266" t="s">
        <v>636</v>
      </c>
      <c r="O126" s="1265">
        <f>O125-J126</f>
        <v>7751696</v>
      </c>
      <c r="P126" s="1268">
        <f>J126/H3</f>
        <v>2.67569E-2</v>
      </c>
      <c r="Q126" s="1268"/>
      <c r="R126" s="1268" t="s">
        <v>189</v>
      </c>
      <c r="S126" s="1265">
        <v>55910</v>
      </c>
      <c r="T126" s="1273">
        <v>69583</v>
      </c>
      <c r="U126" s="1269" t="s">
        <v>67</v>
      </c>
      <c r="V126" s="1275"/>
      <c r="Y126" s="1277"/>
      <c r="Z126" s="1277"/>
      <c r="AA126" s="1277"/>
      <c r="AB126" s="1277"/>
      <c r="AC126" s="1277"/>
    </row>
    <row r="127" spans="1:29" s="1245" customFormat="1" ht="13.5" thickBot="1" x14ac:dyDescent="0.25">
      <c r="A127" s="634"/>
      <c r="B127" s="634"/>
      <c r="C127" s="1260" t="s">
        <v>811</v>
      </c>
      <c r="D127" s="1254" t="s">
        <v>14</v>
      </c>
      <c r="E127" s="1254" t="s">
        <v>132</v>
      </c>
      <c r="F127" s="1254" t="s">
        <v>857</v>
      </c>
      <c r="G127" s="1254" t="s">
        <v>8</v>
      </c>
      <c r="H127" s="1257">
        <v>245796</v>
      </c>
      <c r="I127" s="1257">
        <v>225313</v>
      </c>
      <c r="J127" s="1256"/>
      <c r="K127" s="1256"/>
      <c r="L127" s="1256"/>
      <c r="M127" s="1256"/>
      <c r="N127" s="1256" t="s">
        <v>45</v>
      </c>
      <c r="O127" s="1257">
        <f>O126</f>
        <v>7751696</v>
      </c>
      <c r="P127" s="1258"/>
      <c r="Q127" s="1258"/>
      <c r="R127" s="1258" t="s">
        <v>33</v>
      </c>
      <c r="S127" s="1257"/>
      <c r="T127" s="1313"/>
      <c r="U127" s="1259" t="s">
        <v>440</v>
      </c>
      <c r="V127" s="1246"/>
      <c r="Y127" s="1243"/>
      <c r="Z127" s="1243"/>
      <c r="AA127" s="1243"/>
      <c r="AB127" s="1243"/>
      <c r="AC127" s="1243"/>
    </row>
    <row r="128" spans="1:29" ht="14.25" thickTop="1" thickBot="1" x14ac:dyDescent="0.25">
      <c r="A128"/>
      <c r="B128" s="5"/>
      <c r="C128" s="407" t="s">
        <v>38</v>
      </c>
      <c r="D128" s="411"/>
      <c r="E128" s="411"/>
      <c r="F128" s="109"/>
      <c r="G128" s="109"/>
      <c r="H128" s="110">
        <f>SUM(H125:H127)</f>
        <v>245796</v>
      </c>
      <c r="I128" s="110">
        <f>SUM(I125:I127)</f>
        <v>225313</v>
      </c>
      <c r="J128" s="110">
        <f>SUM(J125:J127)</f>
        <v>821291</v>
      </c>
      <c r="K128" s="110">
        <f>SUM(K125:K127)</f>
        <v>705874</v>
      </c>
      <c r="L128" s="110"/>
      <c r="M128" s="110"/>
      <c r="N128" s="1857">
        <v>2008</v>
      </c>
      <c r="O128" s="1575">
        <f>H3-J68-J75-J94-J99-J106</f>
        <v>8872592</v>
      </c>
      <c r="P128" s="110"/>
      <c r="Q128" s="919">
        <f>SUM(P125:P126)</f>
        <v>8.212910000000001E-2</v>
      </c>
      <c r="R128" s="110"/>
      <c r="S128" s="110">
        <f>SUM(S125:S127)</f>
        <v>319908</v>
      </c>
      <c r="T128" s="110">
        <f>SUM(T125:T127)</f>
        <v>426141</v>
      </c>
      <c r="U128" s="111"/>
      <c r="V128" s="1"/>
      <c r="X128" s="39"/>
      <c r="Y128" s="82"/>
      <c r="Z128" s="82"/>
      <c r="AA128" s="82"/>
      <c r="AB128" s="82"/>
      <c r="AC128" s="82"/>
    </row>
    <row r="129" spans="1:29" ht="14.25" thickTop="1" thickBot="1" x14ac:dyDescent="0.25">
      <c r="A129"/>
      <c r="B129" s="5"/>
      <c r="C129" s="611"/>
      <c r="D129" s="408"/>
      <c r="E129" s="408"/>
      <c r="F129" s="26"/>
      <c r="G129" s="26"/>
      <c r="H129" s="27"/>
      <c r="I129" s="27"/>
      <c r="J129" s="27"/>
      <c r="K129" s="27"/>
      <c r="L129" s="27"/>
      <c r="M129" s="27"/>
      <c r="N129" s="1324" t="s">
        <v>460</v>
      </c>
      <c r="O129" s="1325">
        <f>H3-J109-J114-J115-J125-J126</f>
        <v>7751696</v>
      </c>
      <c r="P129" s="27"/>
      <c r="Q129" s="932"/>
      <c r="R129" s="27"/>
      <c r="S129" s="27"/>
      <c r="T129" s="27"/>
      <c r="U129" s="28"/>
      <c r="V129" s="1"/>
      <c r="X129" s="39"/>
      <c r="Y129" s="82"/>
      <c r="Z129" s="82"/>
      <c r="AA129" s="82"/>
      <c r="AB129" s="82"/>
      <c r="AC129" s="82"/>
    </row>
    <row r="130" spans="1:29" ht="14.25" thickTop="1" thickBot="1" x14ac:dyDescent="0.25">
      <c r="A130"/>
      <c r="B130" s="5"/>
      <c r="C130" s="611"/>
      <c r="D130" s="408"/>
      <c r="E130" s="408"/>
      <c r="F130" s="26"/>
      <c r="G130" s="26"/>
      <c r="H130" s="27"/>
      <c r="I130" s="27"/>
      <c r="J130" s="27"/>
      <c r="K130" s="27"/>
      <c r="L130" s="27"/>
      <c r="M130" s="27"/>
      <c r="N130" s="665">
        <v>2007</v>
      </c>
      <c r="O130" s="666">
        <f>O53</f>
        <v>4751464</v>
      </c>
      <c r="P130" s="27"/>
      <c r="Q130" s="932"/>
      <c r="R130" s="27"/>
      <c r="S130" s="27"/>
      <c r="T130" s="27"/>
      <c r="U130" s="28"/>
      <c r="V130" s="1"/>
      <c r="X130" s="39"/>
      <c r="Y130" s="82"/>
      <c r="Z130" s="82"/>
      <c r="AA130" s="82"/>
      <c r="AB130" s="82"/>
      <c r="AC130" s="82"/>
    </row>
    <row r="131" spans="1:29" ht="14.25" thickTop="1" thickBot="1" x14ac:dyDescent="0.25">
      <c r="A131"/>
      <c r="B131" s="5"/>
      <c r="C131" s="611"/>
      <c r="D131" s="408"/>
      <c r="E131" s="408"/>
      <c r="F131" s="26"/>
      <c r="G131" s="26"/>
      <c r="H131" s="27"/>
      <c r="I131" s="27"/>
      <c r="J131" s="27"/>
      <c r="K131" s="27"/>
      <c r="L131" s="27"/>
      <c r="M131" s="27"/>
      <c r="N131" s="1084"/>
      <c r="O131" s="114"/>
      <c r="P131" s="27"/>
      <c r="Q131" s="932"/>
      <c r="R131" s="27"/>
      <c r="S131" s="27"/>
      <c r="T131" s="27"/>
      <c r="U131" s="28"/>
      <c r="V131" s="1"/>
      <c r="X131" s="39"/>
      <c r="Y131" s="82"/>
      <c r="Z131" s="82"/>
      <c r="AA131" s="82"/>
      <c r="AB131" s="82"/>
      <c r="AC131" s="82"/>
    </row>
    <row r="132" spans="1:29" s="39" customFormat="1" ht="14.25" thickTop="1" thickBot="1" x14ac:dyDescent="0.25">
      <c r="C132" s="933" t="s">
        <v>850</v>
      </c>
      <c r="D132" s="934"/>
      <c r="E132" s="934"/>
      <c r="F132" s="934"/>
      <c r="G132" s="934"/>
      <c r="H132" s="1102"/>
      <c r="I132" s="1102"/>
      <c r="J132" s="1103"/>
      <c r="K132" s="1103"/>
      <c r="L132" s="1103"/>
      <c r="M132" s="1103"/>
      <c r="N132" s="1103"/>
      <c r="O132" s="1102"/>
      <c r="P132" s="1104"/>
      <c r="Q132" s="1104"/>
      <c r="R132" s="1104"/>
      <c r="S132" s="1102"/>
      <c r="T132" s="1105"/>
      <c r="U132" s="1106"/>
      <c r="V132" s="52"/>
      <c r="Y132" s="82"/>
      <c r="Z132" s="82"/>
      <c r="AA132" s="82"/>
      <c r="AB132" s="82"/>
      <c r="AC132" s="82"/>
    </row>
    <row r="133" spans="1:29" s="1271" customFormat="1" ht="13.5" thickBot="1" x14ac:dyDescent="0.25">
      <c r="A133" s="1262" t="s">
        <v>750</v>
      </c>
      <c r="B133" s="1262"/>
      <c r="C133" s="1285" t="s">
        <v>751</v>
      </c>
      <c r="D133" s="1286" t="s">
        <v>7</v>
      </c>
      <c r="E133" s="1286" t="s">
        <v>44</v>
      </c>
      <c r="F133" s="1286" t="s">
        <v>852</v>
      </c>
      <c r="G133" s="1286" t="s">
        <v>8</v>
      </c>
      <c r="H133" s="1287"/>
      <c r="I133" s="1287"/>
      <c r="J133" s="1288">
        <v>230414</v>
      </c>
      <c r="K133" s="1288">
        <v>213781</v>
      </c>
      <c r="L133" s="1288">
        <f>J133-H116</f>
        <v>25124</v>
      </c>
      <c r="M133" s="1288">
        <f>K133-I116</f>
        <v>23311</v>
      </c>
      <c r="N133" s="1288" t="s">
        <v>853</v>
      </c>
      <c r="O133" s="1287">
        <f>O129-J133</f>
        <v>7521282</v>
      </c>
      <c r="P133" s="1289">
        <f>J133/H3</f>
        <v>2.30414E-2</v>
      </c>
      <c r="Q133" s="1289">
        <f>J133/H3</f>
        <v>2.30414E-2</v>
      </c>
      <c r="R133" s="1289" t="s">
        <v>845</v>
      </c>
      <c r="S133" s="1287">
        <v>112162</v>
      </c>
      <c r="T133" s="1290">
        <v>128556</v>
      </c>
      <c r="U133" s="1291" t="s">
        <v>67</v>
      </c>
      <c r="V133" s="1270"/>
      <c r="Y133" s="1272"/>
      <c r="Z133" s="1272"/>
      <c r="AA133" s="1272"/>
      <c r="AB133" s="1272"/>
      <c r="AC133" s="1272"/>
    </row>
    <row r="134" spans="1:29" ht="13.5" thickTop="1" x14ac:dyDescent="0.2">
      <c r="A134"/>
      <c r="B134" s="5"/>
      <c r="C134" s="611"/>
      <c r="D134" s="408"/>
      <c r="E134" s="408"/>
      <c r="F134" s="26"/>
      <c r="G134" s="26"/>
      <c r="H134" s="27"/>
      <c r="I134" s="27"/>
      <c r="J134" s="27"/>
      <c r="K134" s="27"/>
      <c r="L134" s="27"/>
      <c r="M134" s="27"/>
      <c r="N134" s="1317" t="s">
        <v>460</v>
      </c>
      <c r="O134" s="1318">
        <f>H3-J109-J114-J115-J125-J126-J133</f>
        <v>7521282</v>
      </c>
      <c r="P134" s="27"/>
      <c r="Q134" s="932"/>
      <c r="R134" s="27"/>
      <c r="S134" s="27"/>
      <c r="T134" s="27"/>
      <c r="U134" s="28"/>
      <c r="V134" s="1"/>
      <c r="X134" s="39"/>
      <c r="Y134" s="82"/>
      <c r="Z134" s="82"/>
      <c r="AA134" s="82"/>
      <c r="AB134" s="82"/>
      <c r="AC134" s="82"/>
    </row>
    <row r="135" spans="1:29" x14ac:dyDescent="0.2">
      <c r="A135"/>
      <c r="B135" s="5"/>
      <c r="C135" s="611"/>
      <c r="D135" s="408"/>
      <c r="E135" s="408"/>
      <c r="F135" s="26"/>
      <c r="G135" s="26"/>
      <c r="H135" s="27"/>
      <c r="I135" s="27"/>
      <c r="J135" s="27"/>
      <c r="K135" s="27"/>
      <c r="L135" s="27"/>
      <c r="M135" s="27"/>
      <c r="N135" s="1856" t="s">
        <v>459</v>
      </c>
      <c r="O135" s="1735">
        <f>O128</f>
        <v>8872592</v>
      </c>
      <c r="P135" s="27"/>
      <c r="Q135" s="932"/>
      <c r="R135" s="27"/>
      <c r="S135" s="27"/>
      <c r="T135" s="27"/>
      <c r="U135" s="28"/>
      <c r="V135" s="1"/>
      <c r="X135" s="39"/>
      <c r="Y135" s="82"/>
      <c r="Z135" s="82"/>
      <c r="AA135" s="82"/>
      <c r="AB135" s="82"/>
      <c r="AC135" s="82"/>
    </row>
    <row r="136" spans="1:29" ht="13.5" thickBot="1" x14ac:dyDescent="0.25">
      <c r="A136"/>
      <c r="B136" s="5"/>
      <c r="C136" s="611"/>
      <c r="D136" s="408"/>
      <c r="E136" s="408"/>
      <c r="F136" s="26"/>
      <c r="G136" s="26"/>
      <c r="H136" s="27"/>
      <c r="I136" s="27"/>
      <c r="J136" s="27"/>
      <c r="K136" s="27"/>
      <c r="L136" s="27"/>
      <c r="M136" s="27"/>
      <c r="N136" s="1087" t="s">
        <v>414</v>
      </c>
      <c r="O136" s="525">
        <f>O130</f>
        <v>4751464</v>
      </c>
      <c r="P136" s="27"/>
      <c r="Q136" s="932"/>
      <c r="R136" s="27"/>
      <c r="S136" s="27"/>
      <c r="T136" s="27"/>
      <c r="U136" s="28"/>
      <c r="V136" s="1"/>
      <c r="X136" s="39"/>
      <c r="Y136" s="82"/>
      <c r="Z136" s="82"/>
      <c r="AA136" s="82"/>
      <c r="AB136" s="82"/>
      <c r="AC136" s="82"/>
    </row>
    <row r="137" spans="1:29" s="39" customFormat="1" ht="14.25" thickTop="1" thickBot="1" x14ac:dyDescent="0.25">
      <c r="C137" s="407" t="s">
        <v>854</v>
      </c>
      <c r="D137" s="109"/>
      <c r="E137" s="109"/>
      <c r="F137" s="109"/>
      <c r="G137" s="109"/>
      <c r="H137" s="110"/>
      <c r="I137" s="110"/>
      <c r="J137" s="659"/>
      <c r="K137" s="659"/>
      <c r="L137" s="659"/>
      <c r="M137" s="659"/>
      <c r="N137" s="110"/>
      <c r="O137" s="110"/>
      <c r="P137" s="661"/>
      <c r="Q137" s="661"/>
      <c r="R137" s="661"/>
      <c r="S137" s="110"/>
      <c r="T137" s="1100"/>
      <c r="U137" s="111"/>
      <c r="V137" s="52"/>
      <c r="Y137" s="82"/>
      <c r="Z137" s="82"/>
      <c r="AA137" s="82"/>
      <c r="AB137" s="82"/>
      <c r="AC137" s="82"/>
    </row>
    <row r="138" spans="1:29" s="1271" customFormat="1" ht="13.5" thickTop="1" x14ac:dyDescent="0.2">
      <c r="A138" s="1262" t="s">
        <v>812</v>
      </c>
      <c r="B138" s="1262"/>
      <c r="C138" s="1292" t="s">
        <v>811</v>
      </c>
      <c r="D138" s="1293" t="s">
        <v>7</v>
      </c>
      <c r="E138" s="1293" t="s">
        <v>44</v>
      </c>
      <c r="F138" s="1293" t="s">
        <v>855</v>
      </c>
      <c r="G138" s="1293" t="s">
        <v>8</v>
      </c>
      <c r="H138" s="1294"/>
      <c r="I138" s="1294"/>
      <c r="J138" s="1294">
        <v>245795</v>
      </c>
      <c r="K138" s="1294">
        <v>225312</v>
      </c>
      <c r="L138" s="1295">
        <f>H127-J138</f>
        <v>1</v>
      </c>
      <c r="M138" s="1295">
        <f>I127-K138</f>
        <v>1</v>
      </c>
      <c r="N138" s="1295" t="s">
        <v>856</v>
      </c>
      <c r="O138" s="1296">
        <f>O134-J138</f>
        <v>7275487</v>
      </c>
      <c r="P138" s="1297">
        <f>J138/H3</f>
        <v>2.4579500000000001E-2</v>
      </c>
      <c r="Q138" s="1297"/>
      <c r="R138" s="1297" t="s">
        <v>33</v>
      </c>
      <c r="S138" s="1296">
        <v>125920</v>
      </c>
      <c r="T138" s="1296">
        <v>144132</v>
      </c>
      <c r="U138" s="1298" t="s">
        <v>58</v>
      </c>
      <c r="V138" s="1270"/>
      <c r="Y138" s="1272"/>
      <c r="Z138" s="1272"/>
      <c r="AA138" s="1272"/>
      <c r="AB138" s="1272"/>
      <c r="AC138" s="1272"/>
    </row>
    <row r="139" spans="1:29" s="1245" customFormat="1" ht="13.5" thickBot="1" x14ac:dyDescent="0.25">
      <c r="A139" s="634"/>
      <c r="B139" s="1898"/>
      <c r="C139" s="1260" t="s">
        <v>859</v>
      </c>
      <c r="D139" s="1254" t="s">
        <v>14</v>
      </c>
      <c r="E139" s="1254" t="s">
        <v>132</v>
      </c>
      <c r="F139" s="1254" t="s">
        <v>972</v>
      </c>
      <c r="G139" s="1254" t="s">
        <v>8</v>
      </c>
      <c r="H139" s="1257">
        <v>163215</v>
      </c>
      <c r="I139" s="1257">
        <v>154030</v>
      </c>
      <c r="J139" s="1257"/>
      <c r="K139" s="1257"/>
      <c r="L139" s="1256"/>
      <c r="M139" s="1256"/>
      <c r="N139" s="1261" t="s">
        <v>45</v>
      </c>
      <c r="O139" s="1257">
        <f>O138</f>
        <v>7275487</v>
      </c>
      <c r="P139" s="1258">
        <f>H139/H3</f>
        <v>1.6321499999999999E-2</v>
      </c>
      <c r="Q139" s="1258"/>
      <c r="R139" s="1258" t="s">
        <v>861</v>
      </c>
      <c r="S139" s="1257"/>
      <c r="T139" s="1257"/>
      <c r="U139" s="1259" t="s">
        <v>67</v>
      </c>
      <c r="V139" s="1246"/>
      <c r="Y139" s="1243"/>
      <c r="Z139" s="1243"/>
      <c r="AA139" s="1243"/>
      <c r="AB139" s="1243"/>
      <c r="AC139" s="1243"/>
    </row>
    <row r="140" spans="1:29" ht="14.25" thickTop="1" thickBot="1" x14ac:dyDescent="0.25">
      <c r="A140"/>
      <c r="B140"/>
      <c r="C140" s="407" t="s">
        <v>38</v>
      </c>
      <c r="D140" s="411"/>
      <c r="E140" s="411"/>
      <c r="F140" s="109"/>
      <c r="G140" s="109"/>
      <c r="H140" s="110">
        <f>SUM(H138:H139)</f>
        <v>163215</v>
      </c>
      <c r="I140" s="110">
        <f>SUM(I138:I139)</f>
        <v>154030</v>
      </c>
      <c r="J140" s="110">
        <f>SUM(J138:J139)</f>
        <v>245795</v>
      </c>
      <c r="K140" s="110">
        <f>SUM(K138:K139)</f>
        <v>225312</v>
      </c>
      <c r="L140" s="110"/>
      <c r="M140" s="110"/>
      <c r="N140" s="1326" t="s">
        <v>460</v>
      </c>
      <c r="O140" s="1327">
        <f>H3-J109-J114-J115-J125-J126-J133-J138</f>
        <v>7275487</v>
      </c>
      <c r="P140" s="110"/>
      <c r="Q140" s="917">
        <f>SUM(P138:P139)</f>
        <v>4.0901E-2</v>
      </c>
      <c r="R140" s="110"/>
      <c r="S140" s="110">
        <f>SUM(S138:S139)</f>
        <v>125920</v>
      </c>
      <c r="T140" s="110">
        <f>SUM(T138:T139)</f>
        <v>144132</v>
      </c>
      <c r="U140" s="111"/>
      <c r="V140" s="1"/>
      <c r="X140" s="39"/>
      <c r="Y140" s="82"/>
      <c r="Z140" s="82"/>
      <c r="AA140" s="82"/>
      <c r="AB140" s="82"/>
      <c r="AC140" s="82"/>
    </row>
    <row r="141" spans="1:29" ht="13.5" thickTop="1" x14ac:dyDescent="0.2">
      <c r="A141"/>
      <c r="B141" s="5"/>
      <c r="C141" s="611"/>
      <c r="D141" s="408"/>
      <c r="E141" s="408"/>
      <c r="F141" s="26"/>
      <c r="G141" s="26"/>
      <c r="H141" s="27"/>
      <c r="I141" s="27"/>
      <c r="J141" s="27"/>
      <c r="K141" s="27"/>
      <c r="L141" s="27"/>
      <c r="M141" s="27"/>
      <c r="N141" s="2103" t="s">
        <v>459</v>
      </c>
      <c r="O141" s="2104">
        <f>O135</f>
        <v>8872592</v>
      </c>
      <c r="P141" s="27"/>
      <c r="Q141" s="932"/>
      <c r="R141" s="27"/>
      <c r="S141" s="27"/>
      <c r="T141" s="27"/>
      <c r="U141" s="28"/>
      <c r="V141" s="1"/>
      <c r="X141" s="39"/>
      <c r="Y141" s="82"/>
      <c r="Z141" s="82"/>
      <c r="AA141" s="82"/>
      <c r="AB141" s="82"/>
      <c r="AC141" s="82"/>
    </row>
    <row r="142" spans="1:29" x14ac:dyDescent="0.2">
      <c r="A142"/>
      <c r="B142" s="5"/>
      <c r="C142" s="611"/>
      <c r="D142" s="408"/>
      <c r="E142" s="408"/>
      <c r="F142" s="26"/>
      <c r="G142" s="26"/>
      <c r="H142" s="27"/>
      <c r="I142" s="27"/>
      <c r="J142" s="27"/>
      <c r="K142" s="27"/>
      <c r="L142" s="27"/>
      <c r="M142" s="27"/>
      <c r="N142" s="1085" t="s">
        <v>414</v>
      </c>
      <c r="O142" s="1086">
        <f>O136</f>
        <v>4751464</v>
      </c>
      <c r="P142" s="27"/>
      <c r="Q142" s="932"/>
      <c r="R142" s="27"/>
      <c r="S142" s="27"/>
      <c r="T142" s="27"/>
      <c r="U142" s="28"/>
      <c r="V142" s="1"/>
      <c r="X142" s="39"/>
      <c r="Y142" s="82"/>
      <c r="Z142" s="82"/>
      <c r="AA142" s="82"/>
      <c r="AB142" s="82"/>
      <c r="AC142" s="82"/>
    </row>
    <row r="143" spans="1:29" x14ac:dyDescent="0.2">
      <c r="A143"/>
      <c r="B143" s="5"/>
      <c r="C143" s="611"/>
      <c r="D143" s="408"/>
      <c r="E143" s="408"/>
      <c r="F143" s="26"/>
      <c r="G143" s="26"/>
      <c r="H143" s="27"/>
      <c r="I143" s="27"/>
      <c r="J143" s="27"/>
      <c r="K143" s="27"/>
      <c r="L143" s="27"/>
      <c r="M143" s="27"/>
      <c r="N143" s="612"/>
      <c r="O143" s="27"/>
      <c r="P143" s="27"/>
      <c r="Q143" s="932"/>
      <c r="R143" s="27"/>
      <c r="S143" s="27"/>
      <c r="T143" s="27"/>
      <c r="U143" s="28"/>
      <c r="V143" s="1"/>
      <c r="X143" s="39"/>
      <c r="Y143" s="82"/>
      <c r="Z143" s="82"/>
      <c r="AA143" s="82"/>
      <c r="AB143" s="82"/>
      <c r="AC143" s="82"/>
    </row>
    <row r="144" spans="1:29" ht="13.5" thickBot="1" x14ac:dyDescent="0.25">
      <c r="A144"/>
      <c r="B144" s="5"/>
      <c r="C144" s="611"/>
      <c r="D144" s="408"/>
      <c r="E144" s="408"/>
      <c r="F144" s="26"/>
      <c r="G144" s="26"/>
      <c r="H144" s="27"/>
      <c r="I144" s="27"/>
      <c r="J144" s="27"/>
      <c r="K144" s="27"/>
      <c r="L144" s="27"/>
      <c r="M144" s="27"/>
      <c r="N144" s="612"/>
      <c r="O144" s="27"/>
      <c r="P144" s="27"/>
      <c r="Q144" s="932"/>
      <c r="R144" s="27"/>
      <c r="S144" s="27"/>
      <c r="T144" s="27"/>
      <c r="U144" s="28"/>
      <c r="V144" s="1"/>
      <c r="X144" s="39"/>
      <c r="Y144" s="82"/>
      <c r="Z144" s="82"/>
      <c r="AA144" s="82"/>
      <c r="AB144" s="82"/>
      <c r="AC144" s="82"/>
    </row>
    <row r="145" spans="1:29" s="39" customFormat="1" ht="14.25" thickTop="1" thickBot="1" x14ac:dyDescent="0.25">
      <c r="C145" s="407" t="s">
        <v>886</v>
      </c>
      <c r="D145" s="109"/>
      <c r="E145" s="109"/>
      <c r="F145" s="109"/>
      <c r="G145" s="109"/>
      <c r="H145" s="110"/>
      <c r="I145" s="110"/>
      <c r="J145" s="659"/>
      <c r="K145" s="659"/>
      <c r="L145" s="659"/>
      <c r="M145" s="659"/>
      <c r="N145" s="110"/>
      <c r="O145" s="110"/>
      <c r="P145" s="661"/>
      <c r="Q145" s="661"/>
      <c r="R145" s="661"/>
      <c r="S145" s="110"/>
      <c r="T145" s="1100"/>
      <c r="U145" s="111"/>
      <c r="V145" s="52"/>
      <c r="Y145" s="82"/>
      <c r="Z145" s="82"/>
      <c r="AA145" s="82"/>
      <c r="AB145" s="82"/>
      <c r="AC145" s="82"/>
    </row>
    <row r="146" spans="1:29" s="1271" customFormat="1" ht="13.5" thickTop="1" x14ac:dyDescent="0.2">
      <c r="A146" s="1262" t="s">
        <v>674</v>
      </c>
      <c r="B146" s="1262" t="s">
        <v>560</v>
      </c>
      <c r="C146" s="1292" t="s">
        <v>888</v>
      </c>
      <c r="D146" s="1293" t="s">
        <v>7</v>
      </c>
      <c r="E146" s="1293" t="s">
        <v>44</v>
      </c>
      <c r="F146" s="1293" t="s">
        <v>633</v>
      </c>
      <c r="G146" s="1293" t="s">
        <v>8</v>
      </c>
      <c r="H146" s="1294"/>
      <c r="I146" s="1294"/>
      <c r="J146" s="1294">
        <v>1201154</v>
      </c>
      <c r="K146" s="1294">
        <v>1096507</v>
      </c>
      <c r="L146" s="1295">
        <f>H81-J146</f>
        <v>-41231</v>
      </c>
      <c r="M146" s="1295">
        <f>I81-K146</f>
        <v>-7161</v>
      </c>
      <c r="N146" s="1295" t="s">
        <v>889</v>
      </c>
      <c r="O146" s="1296">
        <f>O139-J146</f>
        <v>6074333</v>
      </c>
      <c r="P146" s="1297">
        <f>J146/H3</f>
        <v>0.1201154</v>
      </c>
      <c r="Q146" s="1297"/>
      <c r="R146" s="1297" t="s">
        <v>871</v>
      </c>
      <c r="S146" s="1296">
        <v>614505</v>
      </c>
      <c r="T146" s="1296">
        <v>713136</v>
      </c>
      <c r="U146" s="1298" t="s">
        <v>669</v>
      </c>
      <c r="V146" s="1270"/>
      <c r="Y146" s="1272"/>
      <c r="Z146" s="1272"/>
      <c r="AA146" s="1272"/>
      <c r="AB146" s="1272"/>
      <c r="AC146" s="1272"/>
    </row>
    <row r="147" spans="1:29" s="2034" customFormat="1" x14ac:dyDescent="0.2">
      <c r="A147" s="634"/>
      <c r="B147" s="2027"/>
      <c r="C147" s="2028" t="s">
        <v>891</v>
      </c>
      <c r="D147" s="2018" t="s">
        <v>14</v>
      </c>
      <c r="E147" s="2018" t="s">
        <v>132</v>
      </c>
      <c r="F147" s="2018" t="s">
        <v>1024</v>
      </c>
      <c r="G147" s="2018" t="s">
        <v>8</v>
      </c>
      <c r="H147" s="2023">
        <v>3001998</v>
      </c>
      <c r="I147" s="2023">
        <v>2901932</v>
      </c>
      <c r="J147" s="2023"/>
      <c r="K147" s="2023"/>
      <c r="L147" s="2029"/>
      <c r="M147" s="2029"/>
      <c r="N147" s="2030" t="s">
        <v>892</v>
      </c>
      <c r="O147" s="2023">
        <f>H3</f>
        <v>10000000</v>
      </c>
      <c r="P147" s="2031">
        <f>H147/H3</f>
        <v>0.30019980000000002</v>
      </c>
      <c r="Q147" s="2031"/>
      <c r="R147" s="2031" t="s">
        <v>874</v>
      </c>
      <c r="S147" s="2023">
        <v>811728</v>
      </c>
      <c r="T147" s="2023">
        <v>903937</v>
      </c>
      <c r="U147" s="2032" t="s">
        <v>58</v>
      </c>
      <c r="V147" s="2033"/>
      <c r="Y147" s="2035"/>
      <c r="Z147" s="2035"/>
      <c r="AA147" s="2035"/>
      <c r="AB147" s="2035"/>
      <c r="AC147" s="2035"/>
    </row>
    <row r="148" spans="1:29" s="1245" customFormat="1" ht="13.5" thickBot="1" x14ac:dyDescent="0.25">
      <c r="A148" s="634"/>
      <c r="B148" s="1898"/>
      <c r="C148" s="1260" t="s">
        <v>894</v>
      </c>
      <c r="D148" s="1254" t="s">
        <v>14</v>
      </c>
      <c r="E148" s="1254" t="s">
        <v>44</v>
      </c>
      <c r="F148" s="1254" t="s">
        <v>1024</v>
      </c>
      <c r="G148" s="1254" t="s">
        <v>8</v>
      </c>
      <c r="H148" s="1257">
        <v>186162</v>
      </c>
      <c r="I148" s="1257">
        <v>154314</v>
      </c>
      <c r="J148" s="1257"/>
      <c r="K148" s="1257"/>
      <c r="L148" s="1256"/>
      <c r="M148" s="1256"/>
      <c r="N148" s="1261" t="s">
        <v>45</v>
      </c>
      <c r="O148" s="1257">
        <f>O146</f>
        <v>6074333</v>
      </c>
      <c r="P148" s="1258">
        <f>H148/H3</f>
        <v>1.8616199999999999E-2</v>
      </c>
      <c r="Q148" s="1258"/>
      <c r="R148" s="1258" t="s">
        <v>902</v>
      </c>
      <c r="S148" s="1257">
        <v>83805</v>
      </c>
      <c r="T148" s="1257">
        <v>115628</v>
      </c>
      <c r="U148" s="1259" t="s">
        <v>669</v>
      </c>
      <c r="V148" s="1246"/>
      <c r="Y148" s="1243"/>
      <c r="Z148" s="1243"/>
      <c r="AA148" s="1243"/>
      <c r="AB148" s="1243"/>
      <c r="AC148" s="1243"/>
    </row>
    <row r="149" spans="1:29" ht="14.25" thickTop="1" thickBot="1" x14ac:dyDescent="0.25">
      <c r="A149"/>
      <c r="B149"/>
      <c r="C149" s="407" t="s">
        <v>38</v>
      </c>
      <c r="D149" s="411"/>
      <c r="E149" s="411"/>
      <c r="F149" s="109"/>
      <c r="G149" s="109"/>
      <c r="H149" s="110">
        <f>SUM(H146:H147)</f>
        <v>3001998</v>
      </c>
      <c r="I149" s="110">
        <f>SUM(I146:I147)</f>
        <v>2901932</v>
      </c>
      <c r="J149" s="110">
        <f>SUM(J146:J147)</f>
        <v>1201154</v>
      </c>
      <c r="K149" s="110">
        <f>SUM(K146:K147)</f>
        <v>1096507</v>
      </c>
      <c r="L149" s="110"/>
      <c r="M149" s="110"/>
      <c r="N149" s="1326" t="s">
        <v>460</v>
      </c>
      <c r="O149" s="1327">
        <f>H3-J109-J114-J115-J125-J126-J133-J138-J146</f>
        <v>6074333</v>
      </c>
      <c r="P149" s="110"/>
      <c r="Q149" s="917">
        <f>SUM(P146:P147)</f>
        <v>0.4203152</v>
      </c>
      <c r="R149" s="110"/>
      <c r="S149" s="110">
        <f>SUM(S146:S147)</f>
        <v>1426233</v>
      </c>
      <c r="T149" s="110">
        <f>SUM(T146:T147)</f>
        <v>1617073</v>
      </c>
      <c r="U149" s="111"/>
      <c r="V149" s="1"/>
      <c r="X149" s="39"/>
      <c r="Y149" s="82"/>
      <c r="Z149" s="82"/>
      <c r="AA149" s="82"/>
      <c r="AB149" s="82"/>
      <c r="AC149" s="82"/>
    </row>
    <row r="150" spans="1:29" ht="13.5" thickTop="1" x14ac:dyDescent="0.2">
      <c r="A150"/>
      <c r="B150" s="5"/>
      <c r="C150" s="611"/>
      <c r="D150" s="408"/>
      <c r="E150" s="408"/>
      <c r="F150" s="26"/>
      <c r="G150" s="26"/>
      <c r="H150" s="27"/>
      <c r="I150" s="27"/>
      <c r="J150" s="27"/>
      <c r="K150" s="27"/>
      <c r="L150" s="27"/>
      <c r="M150" s="27"/>
      <c r="N150" s="1856" t="s">
        <v>459</v>
      </c>
      <c r="O150" s="1735">
        <f>O141</f>
        <v>8872592</v>
      </c>
      <c r="P150" s="27"/>
      <c r="Q150" s="932"/>
      <c r="R150" s="27"/>
      <c r="S150" s="27"/>
      <c r="T150" s="27"/>
      <c r="U150" s="28"/>
      <c r="V150" s="1"/>
      <c r="X150" s="39"/>
      <c r="Y150" s="82"/>
      <c r="Z150" s="82"/>
      <c r="AA150" s="82"/>
      <c r="AB150" s="82"/>
      <c r="AC150" s="82"/>
    </row>
    <row r="151" spans="1:29" x14ac:dyDescent="0.2">
      <c r="A151"/>
      <c r="B151" s="5"/>
      <c r="C151" s="611"/>
      <c r="D151" s="408"/>
      <c r="E151" s="408"/>
      <c r="F151" s="26"/>
      <c r="G151" s="26"/>
      <c r="H151" s="27"/>
      <c r="I151" s="27"/>
      <c r="J151" s="27"/>
      <c r="K151" s="27"/>
      <c r="L151" s="27"/>
      <c r="M151" s="27"/>
      <c r="N151" s="1085" t="s">
        <v>414</v>
      </c>
      <c r="O151" s="1086">
        <f>O142</f>
        <v>4751464</v>
      </c>
      <c r="P151" s="27"/>
      <c r="Q151" s="932"/>
      <c r="R151" s="27"/>
      <c r="S151" s="27"/>
      <c r="T151" s="27"/>
      <c r="U151" s="28"/>
      <c r="V151" s="1"/>
      <c r="X151" s="39"/>
      <c r="Y151" s="82"/>
      <c r="Z151" s="82"/>
      <c r="AA151" s="82"/>
      <c r="AB151" s="82"/>
      <c r="AC151" s="82"/>
    </row>
    <row r="152" spans="1:29" x14ac:dyDescent="0.2">
      <c r="A152"/>
      <c r="B152" s="5"/>
      <c r="C152" s="611"/>
      <c r="D152" s="408"/>
      <c r="E152" s="408"/>
      <c r="F152" s="26"/>
      <c r="G152" s="26"/>
      <c r="H152" s="27"/>
      <c r="I152" s="27"/>
      <c r="J152" s="27"/>
      <c r="K152" s="27"/>
      <c r="L152" s="27"/>
      <c r="M152" s="27"/>
      <c r="N152" s="1314" t="s">
        <v>461</v>
      </c>
      <c r="O152" s="1315">
        <f>H3</f>
        <v>10000000</v>
      </c>
      <c r="P152" s="27"/>
      <c r="Q152" s="932"/>
      <c r="R152" s="27"/>
      <c r="S152" s="27"/>
      <c r="T152" s="27"/>
      <c r="U152" s="28"/>
      <c r="V152" s="1"/>
      <c r="X152" s="39"/>
      <c r="Y152" s="82"/>
      <c r="Z152" s="82"/>
      <c r="AA152" s="82"/>
      <c r="AB152" s="82"/>
      <c r="AC152" s="82"/>
    </row>
    <row r="153" spans="1:29" ht="13.5" thickBot="1" x14ac:dyDescent="0.25">
      <c r="A153"/>
      <c r="B153" s="5"/>
      <c r="C153" s="611"/>
      <c r="D153" s="408"/>
      <c r="E153" s="408"/>
      <c r="F153" s="26"/>
      <c r="G153" s="26"/>
      <c r="H153" s="27"/>
      <c r="I153" s="27"/>
      <c r="J153" s="27"/>
      <c r="K153" s="27"/>
      <c r="L153" s="27"/>
      <c r="M153" s="27"/>
      <c r="N153" s="612"/>
      <c r="O153" s="27"/>
      <c r="P153" s="27"/>
      <c r="Q153" s="932"/>
      <c r="R153" s="27"/>
      <c r="S153" s="27"/>
      <c r="T153" s="27"/>
      <c r="U153" s="28"/>
      <c r="V153" s="1"/>
      <c r="X153" s="39"/>
      <c r="Y153" s="82"/>
      <c r="Z153" s="82"/>
      <c r="AA153" s="82"/>
      <c r="AB153" s="82"/>
      <c r="AC153" s="82"/>
    </row>
    <row r="154" spans="1:29" s="39" customFormat="1" ht="14.25" thickTop="1" thickBot="1" x14ac:dyDescent="0.25">
      <c r="C154" s="407" t="s">
        <v>895</v>
      </c>
      <c r="D154" s="109"/>
      <c r="E154" s="109"/>
      <c r="F154" s="109"/>
      <c r="G154" s="109"/>
      <c r="H154" s="110"/>
      <c r="I154" s="110"/>
      <c r="J154" s="659"/>
      <c r="K154" s="659"/>
      <c r="L154" s="659"/>
      <c r="M154" s="659"/>
      <c r="N154" s="110"/>
      <c r="O154" s="110"/>
      <c r="P154" s="661"/>
      <c r="Q154" s="661"/>
      <c r="R154" s="661"/>
      <c r="S154" s="110"/>
      <c r="T154" s="1100"/>
      <c r="U154" s="111"/>
      <c r="V154" s="52"/>
      <c r="Y154" s="82"/>
      <c r="Z154" s="82"/>
      <c r="AA154" s="82"/>
      <c r="AB154" s="82"/>
      <c r="AC154" s="82"/>
    </row>
    <row r="155" spans="1:29" s="1245" customFormat="1" ht="13.5" thickTop="1" x14ac:dyDescent="0.2">
      <c r="A155" s="634"/>
      <c r="B155" s="1898"/>
      <c r="C155" s="2006" t="s">
        <v>897</v>
      </c>
      <c r="D155" s="1394" t="s">
        <v>14</v>
      </c>
      <c r="E155" s="1394" t="s">
        <v>132</v>
      </c>
      <c r="F155" s="1394" t="s">
        <v>1033</v>
      </c>
      <c r="G155" s="1394" t="s">
        <v>8</v>
      </c>
      <c r="H155" s="2007">
        <v>826014</v>
      </c>
      <c r="I155" s="2007">
        <v>740650</v>
      </c>
      <c r="J155" s="2007"/>
      <c r="K155" s="2007"/>
      <c r="L155" s="2008"/>
      <c r="M155" s="2008"/>
      <c r="N155" s="2008" t="s">
        <v>45</v>
      </c>
      <c r="O155" s="2009">
        <f>O148</f>
        <v>6074333</v>
      </c>
      <c r="P155" s="2010">
        <f>H155/H3</f>
        <v>8.2601400000000005E-2</v>
      </c>
      <c r="Q155" s="2010"/>
      <c r="R155" s="2010" t="s">
        <v>874</v>
      </c>
      <c r="S155" s="2009">
        <v>243188</v>
      </c>
      <c r="T155" s="2009">
        <v>323107</v>
      </c>
      <c r="U155" s="2011" t="s">
        <v>58</v>
      </c>
      <c r="V155" s="1246"/>
      <c r="Y155" s="1243"/>
      <c r="Z155" s="1243"/>
      <c r="AA155" s="1243"/>
      <c r="AB155" s="1243"/>
      <c r="AC155" s="1243"/>
    </row>
    <row r="156" spans="1:29" s="1245" customFormat="1" ht="13.5" thickBot="1" x14ac:dyDescent="0.25">
      <c r="A156" s="634"/>
      <c r="B156" s="1898"/>
      <c r="C156" s="1260" t="s">
        <v>898</v>
      </c>
      <c r="D156" s="1254" t="s">
        <v>14</v>
      </c>
      <c r="E156" s="1254" t="s">
        <v>132</v>
      </c>
      <c r="F156" s="1254" t="s">
        <v>1024</v>
      </c>
      <c r="G156" s="1254" t="s">
        <v>8</v>
      </c>
      <c r="H156" s="1257">
        <v>297403</v>
      </c>
      <c r="I156" s="1257">
        <v>276441</v>
      </c>
      <c r="J156" s="1257"/>
      <c r="K156" s="1257"/>
      <c r="L156" s="1256"/>
      <c r="M156" s="1256"/>
      <c r="N156" s="1261" t="s">
        <v>45</v>
      </c>
      <c r="O156" s="1257">
        <f>O155</f>
        <v>6074333</v>
      </c>
      <c r="P156" s="1258">
        <f>H156/H3</f>
        <v>2.9740300000000001E-2</v>
      </c>
      <c r="Q156" s="1258"/>
      <c r="R156" s="1258" t="s">
        <v>905</v>
      </c>
      <c r="S156" s="1257">
        <v>1766887</v>
      </c>
      <c r="T156" s="1257">
        <v>1786581</v>
      </c>
      <c r="U156" s="1259" t="s">
        <v>58</v>
      </c>
      <c r="V156" s="1246"/>
      <c r="Y156" s="1243"/>
      <c r="Z156" s="1243"/>
      <c r="AA156" s="1243"/>
      <c r="AB156" s="1243"/>
      <c r="AC156" s="1243"/>
    </row>
    <row r="157" spans="1:29" ht="14.25" thickTop="1" thickBot="1" x14ac:dyDescent="0.25">
      <c r="A157"/>
      <c r="B157"/>
      <c r="C157" s="407" t="s">
        <v>38</v>
      </c>
      <c r="D157" s="411"/>
      <c r="E157" s="411"/>
      <c r="F157" s="109"/>
      <c r="G157" s="109"/>
      <c r="H157" s="110">
        <f>SUM(H155:H156)</f>
        <v>1123417</v>
      </c>
      <c r="I157" s="110">
        <f>SUM(I155:I156)</f>
        <v>1017091</v>
      </c>
      <c r="J157" s="110">
        <f>SUM(J155:J156)</f>
        <v>0</v>
      </c>
      <c r="K157" s="110">
        <f>SUM(K155:K156)</f>
        <v>0</v>
      </c>
      <c r="L157" s="110"/>
      <c r="M157" s="110"/>
      <c r="N157" s="1326" t="s">
        <v>460</v>
      </c>
      <c r="O157" s="1327">
        <f>H3-J109-J114-J115-J125-J126-J133-J138-J146</f>
        <v>6074333</v>
      </c>
      <c r="P157" s="110"/>
      <c r="Q157" s="917">
        <f>SUM(P155:P156)</f>
        <v>0.1123417</v>
      </c>
      <c r="R157" s="110"/>
      <c r="S157" s="110">
        <f>SUM(S155:S156)</f>
        <v>2010075</v>
      </c>
      <c r="T157" s="110">
        <f>SUM(T155:T156)</f>
        <v>2109688</v>
      </c>
      <c r="U157" s="111"/>
      <c r="V157" s="1"/>
      <c r="X157" s="39"/>
      <c r="Y157" s="82"/>
      <c r="Z157" s="82"/>
      <c r="AA157" s="82"/>
      <c r="AB157" s="82"/>
      <c r="AC157" s="82"/>
    </row>
    <row r="158" spans="1:29" ht="13.5" thickTop="1" x14ac:dyDescent="0.2">
      <c r="A158"/>
      <c r="B158" s="5"/>
      <c r="C158" s="611"/>
      <c r="D158" s="408"/>
      <c r="E158" s="408"/>
      <c r="F158" s="26"/>
      <c r="G158" s="26"/>
      <c r="H158" s="27"/>
      <c r="I158" s="27"/>
      <c r="J158" s="27"/>
      <c r="K158" s="27"/>
      <c r="L158" s="27"/>
      <c r="M158" s="27"/>
      <c r="N158" s="1856" t="s">
        <v>459</v>
      </c>
      <c r="O158" s="1735">
        <f>O150</f>
        <v>8872592</v>
      </c>
      <c r="P158" s="27"/>
      <c r="Q158" s="932"/>
      <c r="R158" s="27"/>
      <c r="S158" s="27"/>
      <c r="T158" s="27"/>
      <c r="U158" s="28"/>
      <c r="V158" s="1"/>
      <c r="X158" s="39"/>
      <c r="Y158" s="82"/>
      <c r="Z158" s="82"/>
      <c r="AA158" s="82"/>
      <c r="AB158" s="82"/>
      <c r="AC158" s="82"/>
    </row>
    <row r="159" spans="1:29" x14ac:dyDescent="0.2">
      <c r="A159"/>
      <c r="B159" s="5"/>
      <c r="C159" s="611"/>
      <c r="D159" s="408"/>
      <c r="E159" s="408"/>
      <c r="F159" s="26"/>
      <c r="G159" s="26"/>
      <c r="H159" s="27"/>
      <c r="I159" s="27"/>
      <c r="J159" s="27"/>
      <c r="K159" s="27"/>
      <c r="L159" s="27"/>
      <c r="M159" s="27"/>
      <c r="N159" s="1085" t="s">
        <v>414</v>
      </c>
      <c r="O159" s="1086">
        <f>O151</f>
        <v>4751464</v>
      </c>
      <c r="P159" s="27"/>
      <c r="Q159" s="932"/>
      <c r="R159" s="27"/>
      <c r="S159" s="27"/>
      <c r="T159" s="27"/>
      <c r="U159" s="28"/>
      <c r="V159" s="1"/>
      <c r="X159" s="39"/>
      <c r="Y159" s="82"/>
      <c r="Z159" s="82"/>
      <c r="AA159" s="82"/>
      <c r="AB159" s="82"/>
      <c r="AC159" s="82"/>
    </row>
    <row r="160" spans="1:29" x14ac:dyDescent="0.2">
      <c r="A160"/>
      <c r="B160"/>
      <c r="C160" s="5"/>
      <c r="D160" s="1024"/>
      <c r="E160" s="5"/>
      <c r="F160" s="5"/>
      <c r="G160" s="5"/>
      <c r="H160" s="5"/>
      <c r="I160" s="5"/>
      <c r="J160" s="6"/>
      <c r="K160" s="6"/>
      <c r="L160" s="207"/>
      <c r="M160" s="207"/>
      <c r="N160" s="1316">
        <v>2010</v>
      </c>
      <c r="O160" s="1329">
        <f>O152</f>
        <v>10000000</v>
      </c>
      <c r="P160" s="1025"/>
      <c r="Q160" s="1026"/>
      <c r="R160" s="7"/>
      <c r="S160" s="7"/>
      <c r="T160" s="5"/>
      <c r="U160" s="6"/>
      <c r="V160" s="1"/>
      <c r="X160" s="39"/>
      <c r="Y160" s="82"/>
      <c r="Z160" s="82"/>
      <c r="AA160" s="82"/>
      <c r="AB160" s="82"/>
      <c r="AC160" s="82"/>
    </row>
    <row r="161" spans="1:29" ht="13.5" thickBot="1" x14ac:dyDescent="0.25">
      <c r="A161"/>
      <c r="B161"/>
      <c r="C161" s="5"/>
      <c r="D161" s="1024"/>
      <c r="E161" s="5"/>
      <c r="F161" s="5"/>
      <c r="G161" s="5"/>
      <c r="H161" s="5"/>
      <c r="I161" s="5"/>
      <c r="J161" s="6"/>
      <c r="K161" s="6"/>
      <c r="L161" s="207"/>
      <c r="M161" s="207"/>
      <c r="N161" s="1861"/>
      <c r="O161" s="52"/>
      <c r="P161" s="1025"/>
      <c r="Q161" s="1026"/>
      <c r="R161" s="7"/>
      <c r="S161" s="7"/>
      <c r="T161" s="5"/>
      <c r="U161" s="6"/>
      <c r="V161" s="1"/>
      <c r="X161" s="39"/>
      <c r="Y161" s="82"/>
      <c r="Z161" s="82"/>
      <c r="AA161" s="82"/>
      <c r="AB161" s="82"/>
      <c r="AC161" s="82"/>
    </row>
    <row r="162" spans="1:29" s="39" customFormat="1" ht="14.25" thickTop="1" thickBot="1" x14ac:dyDescent="0.25">
      <c r="C162" s="933" t="s">
        <v>955</v>
      </c>
      <c r="D162" s="934"/>
      <c r="E162" s="934"/>
      <c r="F162" s="934"/>
      <c r="G162" s="934"/>
      <c r="H162" s="1102"/>
      <c r="I162" s="1102"/>
      <c r="J162" s="1103"/>
      <c r="K162" s="1103"/>
      <c r="L162" s="1103"/>
      <c r="M162" s="1103"/>
      <c r="N162" s="1103"/>
      <c r="O162" s="1102"/>
      <c r="P162" s="1104"/>
      <c r="Q162" s="1104"/>
      <c r="R162" s="1104"/>
      <c r="S162" s="1102"/>
      <c r="T162" s="1105"/>
      <c r="U162" s="1106"/>
      <c r="V162" s="52"/>
      <c r="Y162" s="82"/>
      <c r="Z162" s="82"/>
      <c r="AA162" s="82"/>
      <c r="AB162" s="82"/>
      <c r="AC162" s="82"/>
    </row>
    <row r="163" spans="1:29" s="2034" customFormat="1" ht="13.5" thickBot="1" x14ac:dyDescent="0.25">
      <c r="A163" s="634"/>
      <c r="B163" s="2027"/>
      <c r="C163" s="2036" t="s">
        <v>954</v>
      </c>
      <c r="D163" s="2037" t="s">
        <v>14</v>
      </c>
      <c r="E163" s="2037" t="s">
        <v>132</v>
      </c>
      <c r="F163" s="2037" t="s">
        <v>1024</v>
      </c>
      <c r="G163" s="2037" t="s">
        <v>8</v>
      </c>
      <c r="H163" s="2038">
        <v>478327</v>
      </c>
      <c r="I163" s="2038">
        <v>443440</v>
      </c>
      <c r="J163" s="2039"/>
      <c r="K163" s="2039"/>
      <c r="L163" s="2039"/>
      <c r="M163" s="2039"/>
      <c r="N163" s="2039" t="s">
        <v>892</v>
      </c>
      <c r="O163" s="2038">
        <f>O147</f>
        <v>10000000</v>
      </c>
      <c r="P163" s="2040">
        <f>H163/H3</f>
        <v>4.7832699999999999E-2</v>
      </c>
      <c r="Q163" s="2040">
        <f>SUM(P163)</f>
        <v>4.7832699999999999E-2</v>
      </c>
      <c r="R163" s="2040" t="s">
        <v>34</v>
      </c>
      <c r="S163" s="2038">
        <v>137030</v>
      </c>
      <c r="T163" s="2041">
        <v>168231</v>
      </c>
      <c r="U163" s="2042" t="s">
        <v>58</v>
      </c>
      <c r="V163" s="2033"/>
      <c r="Y163" s="2035"/>
      <c r="Z163" s="2035"/>
      <c r="AA163" s="2035"/>
      <c r="AB163" s="2035"/>
      <c r="AC163" s="2035"/>
    </row>
    <row r="164" spans="1:29" ht="13.5" thickTop="1" x14ac:dyDescent="0.2">
      <c r="A164"/>
      <c r="B164"/>
      <c r="C164" s="5"/>
      <c r="D164" s="1024"/>
      <c r="E164" s="5"/>
      <c r="F164" s="5"/>
      <c r="G164" s="5"/>
      <c r="H164" s="5"/>
      <c r="I164" s="5"/>
      <c r="J164" s="6"/>
      <c r="K164" s="6"/>
      <c r="L164" s="207"/>
      <c r="M164" s="207"/>
      <c r="N164" s="1864" t="s">
        <v>461</v>
      </c>
      <c r="O164" s="1250">
        <f>O160</f>
        <v>10000000</v>
      </c>
      <c r="P164" s="1025"/>
      <c r="Q164" s="1026"/>
      <c r="R164" s="7"/>
      <c r="S164" s="7"/>
      <c r="T164" s="5"/>
      <c r="U164" s="6"/>
      <c r="V164" s="1"/>
      <c r="X164" s="39"/>
      <c r="Y164" s="82"/>
      <c r="Z164" s="82"/>
      <c r="AA164" s="82"/>
      <c r="AB164" s="82"/>
      <c r="AC164" s="82"/>
    </row>
    <row r="165" spans="1:29" x14ac:dyDescent="0.2">
      <c r="A165"/>
      <c r="B165"/>
      <c r="C165" s="5"/>
      <c r="D165" s="1024"/>
      <c r="E165" s="5"/>
      <c r="F165" s="5"/>
      <c r="G165" s="5"/>
      <c r="H165" s="5"/>
      <c r="I165" s="5"/>
      <c r="J165" s="6"/>
      <c r="K165" s="6"/>
      <c r="L165" s="207"/>
      <c r="M165" s="207"/>
      <c r="N165" s="1865" t="s">
        <v>460</v>
      </c>
      <c r="O165" s="1275">
        <f>O157</f>
        <v>6074333</v>
      </c>
      <c r="P165" s="1025"/>
      <c r="Q165" s="1026"/>
      <c r="R165" s="7"/>
      <c r="S165" s="7"/>
      <c r="T165" s="5"/>
      <c r="U165" s="6"/>
      <c r="V165" s="1"/>
      <c r="X165" s="39"/>
      <c r="Y165" s="82"/>
      <c r="Z165" s="82"/>
      <c r="AA165" s="82"/>
      <c r="AB165" s="82"/>
      <c r="AC165" s="82"/>
    </row>
    <row r="166" spans="1:29" x14ac:dyDescent="0.2">
      <c r="A166"/>
      <c r="B166"/>
      <c r="C166" s="5"/>
      <c r="D166" s="1024"/>
      <c r="E166" s="5"/>
      <c r="F166" s="5"/>
      <c r="G166" s="5"/>
      <c r="H166" s="5"/>
      <c r="I166" s="5"/>
      <c r="J166" s="6"/>
      <c r="K166" s="6"/>
      <c r="L166" s="207"/>
      <c r="M166" s="207"/>
      <c r="N166" s="1866" t="s">
        <v>459</v>
      </c>
      <c r="O166" s="1197">
        <f>O158</f>
        <v>8872592</v>
      </c>
      <c r="P166" s="1025"/>
      <c r="Q166" s="1026"/>
      <c r="R166" s="7"/>
      <c r="S166" s="7"/>
      <c r="T166" s="5"/>
      <c r="U166" s="6"/>
      <c r="V166" s="1"/>
      <c r="X166" s="39"/>
      <c r="Y166" s="82"/>
      <c r="Z166" s="82"/>
      <c r="AA166" s="82"/>
      <c r="AB166" s="82"/>
      <c r="AC166" s="82"/>
    </row>
    <row r="167" spans="1:29" ht="13.5" thickBot="1" x14ac:dyDescent="0.25">
      <c r="A167"/>
      <c r="B167"/>
      <c r="C167" s="5"/>
      <c r="D167" s="1024"/>
      <c r="E167" s="5"/>
      <c r="F167" s="5"/>
      <c r="G167" s="5"/>
      <c r="H167" s="5"/>
      <c r="I167" s="5"/>
      <c r="J167" s="6"/>
      <c r="K167" s="6"/>
      <c r="L167" s="207"/>
      <c r="M167" s="207"/>
      <c r="N167" s="1867" t="s">
        <v>414</v>
      </c>
      <c r="O167" s="505">
        <f>O159</f>
        <v>4751464</v>
      </c>
      <c r="P167" s="1025"/>
      <c r="Q167" s="1026"/>
      <c r="R167" s="7"/>
      <c r="S167" s="7"/>
      <c r="T167" s="5"/>
      <c r="U167" s="6"/>
      <c r="V167" s="1"/>
      <c r="X167" s="39"/>
      <c r="Y167" s="82"/>
      <c r="Z167" s="82"/>
      <c r="AA167" s="82"/>
      <c r="AB167" s="82"/>
      <c r="AC167" s="82"/>
    </row>
    <row r="168" spans="1:29" s="39" customFormat="1" ht="14.25" thickTop="1" thickBot="1" x14ac:dyDescent="0.25">
      <c r="C168" s="407" t="s">
        <v>973</v>
      </c>
      <c r="D168" s="109"/>
      <c r="E168" s="109"/>
      <c r="F168" s="109"/>
      <c r="G168" s="109"/>
      <c r="H168" s="110"/>
      <c r="I168" s="110"/>
      <c r="J168" s="659"/>
      <c r="K168" s="659"/>
      <c r="L168" s="659"/>
      <c r="M168" s="659"/>
      <c r="N168" s="110"/>
      <c r="O168" s="110"/>
      <c r="P168" s="661"/>
      <c r="Q168" s="661"/>
      <c r="R168" s="661"/>
      <c r="S168" s="110"/>
      <c r="T168" s="1100"/>
      <c r="U168" s="111"/>
      <c r="V168" s="52"/>
      <c r="Y168" s="82"/>
      <c r="Z168" s="82"/>
      <c r="AA168" s="82"/>
      <c r="AB168" s="82"/>
      <c r="AC168" s="82"/>
    </row>
    <row r="169" spans="1:29" s="1271" customFormat="1" ht="14.25" thickTop="1" thickBot="1" x14ac:dyDescent="0.25">
      <c r="A169" s="1262" t="s">
        <v>858</v>
      </c>
      <c r="B169" s="1262"/>
      <c r="C169" s="1263" t="s">
        <v>859</v>
      </c>
      <c r="D169" s="1264" t="s">
        <v>7</v>
      </c>
      <c r="E169" s="1264" t="s">
        <v>44</v>
      </c>
      <c r="F169" s="1264" t="s">
        <v>974</v>
      </c>
      <c r="G169" s="1264" t="s">
        <v>8</v>
      </c>
      <c r="H169" s="1265"/>
      <c r="I169" s="1265"/>
      <c r="J169" s="1265">
        <v>243280</v>
      </c>
      <c r="K169" s="1265">
        <v>219330</v>
      </c>
      <c r="L169" s="1266">
        <f>J169-H139</f>
        <v>80065</v>
      </c>
      <c r="M169" s="1266">
        <f>K169-I139</f>
        <v>65300</v>
      </c>
      <c r="N169" s="1267" t="s">
        <v>860</v>
      </c>
      <c r="O169" s="1265">
        <f>O156-J169</f>
        <v>5831053</v>
      </c>
      <c r="P169" s="1268">
        <f>J169/H3</f>
        <v>2.4327999999999999E-2</v>
      </c>
      <c r="Q169" s="1268"/>
      <c r="R169" s="1268" t="s">
        <v>861</v>
      </c>
      <c r="S169" s="1265">
        <v>116725</v>
      </c>
      <c r="T169" s="1265">
        <v>139822</v>
      </c>
      <c r="U169" s="1269" t="s">
        <v>67</v>
      </c>
      <c r="V169" s="1270"/>
      <c r="Y169" s="1272"/>
      <c r="Z169" s="1272"/>
      <c r="AA169" s="1272"/>
      <c r="AB169" s="1272"/>
      <c r="AC169" s="1272"/>
    </row>
    <row r="170" spans="1:29" ht="14.25" thickTop="1" thickBot="1" x14ac:dyDescent="0.25">
      <c r="A170"/>
      <c r="B170"/>
      <c r="C170" s="407" t="s">
        <v>38</v>
      </c>
      <c r="D170" s="411"/>
      <c r="E170" s="411"/>
      <c r="F170" s="109"/>
      <c r="G170" s="109"/>
      <c r="H170" s="110">
        <f>SUM(H169:H169)</f>
        <v>0</v>
      </c>
      <c r="I170" s="110">
        <f>SUM(I169:I169)</f>
        <v>0</v>
      </c>
      <c r="J170" s="110">
        <f>SUM(J169:J169)</f>
        <v>243280</v>
      </c>
      <c r="K170" s="110">
        <f>SUM(K169:K169)</f>
        <v>219330</v>
      </c>
      <c r="L170" s="110"/>
      <c r="M170" s="110"/>
      <c r="N170" s="1326" t="s">
        <v>460</v>
      </c>
      <c r="O170" s="1327">
        <f>H3-J109-J114-J115-J125-J126-J133-J138-J146-J169</f>
        <v>5831053</v>
      </c>
      <c r="P170" s="110"/>
      <c r="Q170" s="917">
        <f>SUM(P169:P169)</f>
        <v>2.4327999999999999E-2</v>
      </c>
      <c r="R170" s="110"/>
      <c r="S170" s="110">
        <f>SUM(S169:S169)</f>
        <v>116725</v>
      </c>
      <c r="T170" s="110">
        <f>SUM(T169:T169)</f>
        <v>139822</v>
      </c>
      <c r="U170" s="111"/>
      <c r="V170" s="1"/>
      <c r="X170" s="39"/>
      <c r="Y170" s="82"/>
      <c r="Z170" s="82"/>
      <c r="AA170" s="82"/>
      <c r="AB170" s="82"/>
      <c r="AC170" s="82"/>
    </row>
    <row r="171" spans="1:29" ht="13.5" thickTop="1" x14ac:dyDescent="0.2">
      <c r="A171"/>
      <c r="B171" s="5"/>
      <c r="C171" s="611"/>
      <c r="D171" s="408"/>
      <c r="E171" s="408"/>
      <c r="F171" s="26"/>
      <c r="G171" s="26"/>
      <c r="H171" s="27"/>
      <c r="I171" s="27"/>
      <c r="J171" s="27"/>
      <c r="K171" s="27"/>
      <c r="L171" s="27"/>
      <c r="M171" s="27"/>
      <c r="N171" s="1856" t="s">
        <v>459</v>
      </c>
      <c r="O171" s="1735">
        <f>O166</f>
        <v>8872592</v>
      </c>
      <c r="P171" s="27"/>
      <c r="Q171" s="932"/>
      <c r="R171" s="27"/>
      <c r="S171" s="27"/>
      <c r="T171" s="27"/>
      <c r="U171" s="28"/>
      <c r="V171" s="1"/>
      <c r="X171" s="39"/>
      <c r="Y171" s="82"/>
      <c r="Z171" s="82"/>
      <c r="AA171" s="82"/>
      <c r="AB171" s="82"/>
      <c r="AC171" s="82"/>
    </row>
    <row r="172" spans="1:29" x14ac:dyDescent="0.2">
      <c r="A172"/>
      <c r="B172" s="5"/>
      <c r="C172" s="611"/>
      <c r="D172" s="408"/>
      <c r="E172" s="408"/>
      <c r="F172" s="26"/>
      <c r="G172" s="26"/>
      <c r="H172" s="27"/>
      <c r="I172" s="27"/>
      <c r="J172" s="27"/>
      <c r="K172" s="27"/>
      <c r="L172" s="27"/>
      <c r="M172" s="27"/>
      <c r="N172" s="1085" t="s">
        <v>414</v>
      </c>
      <c r="O172" s="1086">
        <f>O167</f>
        <v>4751464</v>
      </c>
      <c r="P172" s="27"/>
      <c r="Q172" s="932"/>
      <c r="R172" s="27"/>
      <c r="S172" s="27"/>
      <c r="T172" s="27"/>
      <c r="U172" s="28"/>
      <c r="V172" s="1"/>
      <c r="X172" s="39"/>
      <c r="Y172" s="82"/>
      <c r="Z172" s="82"/>
      <c r="AA172" s="82"/>
      <c r="AB172" s="82"/>
      <c r="AC172" s="82"/>
    </row>
    <row r="173" spans="1:29" x14ac:dyDescent="0.2">
      <c r="A173"/>
      <c r="B173"/>
      <c r="C173" s="5"/>
      <c r="D173" s="1024"/>
      <c r="E173" s="5"/>
      <c r="F173" s="5"/>
      <c r="G173" s="5"/>
      <c r="H173" s="5"/>
      <c r="I173" s="5"/>
      <c r="J173" s="6"/>
      <c r="K173" s="6"/>
      <c r="L173" s="207"/>
      <c r="M173" s="207"/>
      <c r="N173" s="1316">
        <v>2010</v>
      </c>
      <c r="O173" s="1329">
        <f>O164</f>
        <v>10000000</v>
      </c>
      <c r="P173" s="1025"/>
      <c r="Q173" s="1026"/>
      <c r="R173" s="7"/>
      <c r="S173" s="7"/>
      <c r="T173" s="5"/>
      <c r="U173" s="6"/>
      <c r="V173" s="1"/>
      <c r="X173" s="39"/>
      <c r="Y173" s="82"/>
      <c r="Z173" s="82"/>
      <c r="AA173" s="82"/>
      <c r="AB173" s="82"/>
      <c r="AC173" s="82"/>
    </row>
    <row r="174" spans="1:29" ht="13.5" thickBot="1" x14ac:dyDescent="0.25">
      <c r="A174"/>
      <c r="B174"/>
      <c r="C174" s="5"/>
      <c r="D174" s="1024"/>
      <c r="E174" s="5"/>
      <c r="F174" s="5"/>
      <c r="G174" s="5"/>
      <c r="H174" s="5"/>
      <c r="I174" s="5"/>
      <c r="J174" s="6"/>
      <c r="K174" s="6"/>
      <c r="L174" s="207"/>
      <c r="M174" s="207"/>
      <c r="N174" s="1861"/>
      <c r="O174" s="52"/>
      <c r="P174" s="1025"/>
      <c r="Q174" s="1026"/>
      <c r="R174" s="7"/>
      <c r="S174" s="7"/>
      <c r="T174" s="5"/>
      <c r="U174" s="6"/>
      <c r="V174" s="1"/>
      <c r="X174" s="39"/>
      <c r="Y174" s="82"/>
      <c r="Z174" s="82"/>
      <c r="AA174" s="82"/>
      <c r="AB174" s="82"/>
      <c r="AC174" s="82"/>
    </row>
    <row r="175" spans="1:29" s="39" customFormat="1" ht="14.25" thickTop="1" thickBot="1" x14ac:dyDescent="0.25">
      <c r="C175" s="407" t="s">
        <v>987</v>
      </c>
      <c r="D175" s="109"/>
      <c r="E175" s="109"/>
      <c r="F175" s="109"/>
      <c r="G175" s="109"/>
      <c r="H175" s="110"/>
      <c r="I175" s="110"/>
      <c r="J175" s="659"/>
      <c r="K175" s="659"/>
      <c r="L175" s="659"/>
      <c r="M175" s="659"/>
      <c r="N175" s="110"/>
      <c r="O175" s="110"/>
      <c r="P175" s="661"/>
      <c r="Q175" s="661"/>
      <c r="R175" s="661"/>
      <c r="S175" s="110"/>
      <c r="T175" s="1100"/>
      <c r="U175" s="111"/>
      <c r="V175" s="52"/>
      <c r="Y175" s="82"/>
      <c r="Z175" s="82"/>
      <c r="AA175" s="82"/>
      <c r="AB175" s="82"/>
      <c r="AC175" s="82"/>
    </row>
    <row r="176" spans="1:29" s="1932" customFormat="1" ht="14.25" thickTop="1" thickBot="1" x14ac:dyDescent="0.25">
      <c r="A176" s="1933" t="s">
        <v>986</v>
      </c>
      <c r="B176" s="1933"/>
      <c r="C176" s="1934" t="s">
        <v>988</v>
      </c>
      <c r="D176" s="1926" t="s">
        <v>7</v>
      </c>
      <c r="E176" s="1926" t="s">
        <v>44</v>
      </c>
      <c r="F176" s="1926"/>
      <c r="G176" s="1926" t="s">
        <v>989</v>
      </c>
      <c r="H176" s="1935"/>
      <c r="I176" s="1935"/>
      <c r="J176" s="1935">
        <v>453475</v>
      </c>
      <c r="K176" s="1935">
        <v>415686</v>
      </c>
      <c r="L176" s="1936"/>
      <c r="M176" s="1936"/>
      <c r="N176" s="1937" t="s">
        <v>860</v>
      </c>
      <c r="O176" s="1935">
        <f>O163-J176</f>
        <v>9546525</v>
      </c>
      <c r="P176" s="1938">
        <f>J176/H3</f>
        <v>4.5347499999999999E-2</v>
      </c>
      <c r="Q176" s="1938"/>
      <c r="R176" s="1938" t="s">
        <v>41</v>
      </c>
      <c r="S176" s="1935">
        <v>286567</v>
      </c>
      <c r="T176" s="1935">
        <v>321556</v>
      </c>
      <c r="U176" s="1939" t="s">
        <v>58</v>
      </c>
      <c r="V176" s="1769"/>
      <c r="Y176" s="1940"/>
      <c r="Z176" s="1940"/>
      <c r="AA176" s="1940"/>
      <c r="AB176" s="1940"/>
      <c r="AC176" s="1940"/>
    </row>
    <row r="177" spans="1:29" ht="14.25" thickTop="1" thickBot="1" x14ac:dyDescent="0.25">
      <c r="A177"/>
      <c r="B177"/>
      <c r="C177" s="407" t="s">
        <v>38</v>
      </c>
      <c r="D177" s="411"/>
      <c r="E177" s="411"/>
      <c r="F177" s="109"/>
      <c r="G177" s="109"/>
      <c r="H177" s="110">
        <f>SUM(H176:H176)</f>
        <v>0</v>
      </c>
      <c r="I177" s="110">
        <f>SUM(I176:I176)</f>
        <v>0</v>
      </c>
      <c r="J177" s="110">
        <f>SUM(J176:J176)</f>
        <v>453475</v>
      </c>
      <c r="K177" s="110">
        <f>SUM(K176:K176)</f>
        <v>415686</v>
      </c>
      <c r="L177" s="110"/>
      <c r="M177" s="110"/>
      <c r="N177" s="1941" t="s">
        <v>461</v>
      </c>
      <c r="O177" s="1942">
        <f>O173-J176</f>
        <v>9546525</v>
      </c>
      <c r="P177" s="110"/>
      <c r="Q177" s="917">
        <f>SUM(P176:P176)</f>
        <v>4.5347499999999999E-2</v>
      </c>
      <c r="R177" s="110"/>
      <c r="S177" s="110">
        <f>SUM(S176:S176)</f>
        <v>286567</v>
      </c>
      <c r="T177" s="110">
        <f>SUM(T176:T176)</f>
        <v>321556</v>
      </c>
      <c r="U177" s="111"/>
      <c r="V177" s="1"/>
      <c r="X177" s="39"/>
      <c r="Y177" s="82"/>
      <c r="Z177" s="82"/>
      <c r="AA177" s="82"/>
      <c r="AB177" s="82"/>
      <c r="AC177" s="82"/>
    </row>
    <row r="178" spans="1:29" ht="13.5" thickTop="1" x14ac:dyDescent="0.2">
      <c r="A178"/>
      <c r="B178" s="5"/>
      <c r="C178" s="611"/>
      <c r="D178" s="408"/>
      <c r="E178" s="408"/>
      <c r="F178" s="26"/>
      <c r="G178" s="26"/>
      <c r="H178" s="27"/>
      <c r="I178" s="27"/>
      <c r="J178" s="27"/>
      <c r="K178" s="27"/>
      <c r="L178" s="27"/>
      <c r="M178" s="27"/>
      <c r="N178" s="1865" t="s">
        <v>460</v>
      </c>
      <c r="O178" s="1275">
        <f>O170</f>
        <v>5831053</v>
      </c>
      <c r="P178" s="27"/>
      <c r="Q178" s="932"/>
      <c r="R178" s="27"/>
      <c r="S178" s="27"/>
      <c r="T178" s="27"/>
      <c r="U178" s="28"/>
      <c r="V178" s="1"/>
      <c r="X178" s="39"/>
      <c r="Y178" s="82"/>
      <c r="Z178" s="82"/>
      <c r="AA178" s="82"/>
      <c r="AB178" s="82"/>
      <c r="AC178" s="82"/>
    </row>
    <row r="179" spans="1:29" x14ac:dyDescent="0.2">
      <c r="A179"/>
      <c r="B179" s="5"/>
      <c r="C179" s="611"/>
      <c r="D179" s="408"/>
      <c r="E179" s="408"/>
      <c r="F179" s="26"/>
      <c r="G179" s="26"/>
      <c r="H179" s="27"/>
      <c r="I179" s="27"/>
      <c r="J179" s="27"/>
      <c r="K179" s="27"/>
      <c r="L179" s="27"/>
      <c r="M179" s="27"/>
      <c r="N179" s="1856" t="s">
        <v>459</v>
      </c>
      <c r="O179" s="1735">
        <f>O171</f>
        <v>8872592</v>
      </c>
      <c r="P179" s="27"/>
      <c r="Q179" s="932"/>
      <c r="R179" s="27"/>
      <c r="S179" s="27"/>
      <c r="T179" s="27"/>
      <c r="U179" s="28"/>
      <c r="V179" s="1"/>
      <c r="X179" s="39"/>
      <c r="Y179" s="82"/>
      <c r="Z179" s="82"/>
      <c r="AA179" s="82"/>
      <c r="AB179" s="82"/>
      <c r="AC179" s="82"/>
    </row>
    <row r="180" spans="1:29" x14ac:dyDescent="0.2">
      <c r="A180"/>
      <c r="B180" s="5"/>
      <c r="C180" s="611"/>
      <c r="D180" s="408"/>
      <c r="E180" s="408"/>
      <c r="F180" s="26"/>
      <c r="G180" s="26"/>
      <c r="H180" s="27"/>
      <c r="I180" s="27"/>
      <c r="J180" s="27"/>
      <c r="K180" s="27"/>
      <c r="L180" s="27"/>
      <c r="M180" s="27"/>
      <c r="N180" s="1085" t="s">
        <v>414</v>
      </c>
      <c r="O180" s="1086">
        <f>O172</f>
        <v>4751464</v>
      </c>
      <c r="P180" s="27"/>
      <c r="Q180" s="932"/>
      <c r="R180" s="27"/>
      <c r="S180" s="27"/>
      <c r="T180" s="27"/>
      <c r="U180" s="28"/>
      <c r="V180" s="1"/>
      <c r="X180" s="39"/>
      <c r="Y180" s="82"/>
      <c r="Z180" s="82"/>
      <c r="AA180" s="82"/>
      <c r="AB180" s="82"/>
      <c r="AC180" s="82"/>
    </row>
    <row r="181" spans="1:29" ht="13.5" thickBot="1" x14ac:dyDescent="0.25">
      <c r="A181"/>
      <c r="B181" s="5"/>
      <c r="C181" s="611"/>
      <c r="D181" s="408"/>
      <c r="E181" s="408"/>
      <c r="F181" s="26"/>
      <c r="G181" s="26"/>
      <c r="H181" s="27"/>
      <c r="I181" s="27"/>
      <c r="J181" s="27"/>
      <c r="K181" s="27"/>
      <c r="L181" s="27"/>
      <c r="M181" s="27"/>
      <c r="N181" s="612"/>
      <c r="O181" s="27"/>
      <c r="P181" s="27"/>
      <c r="Q181" s="932"/>
      <c r="R181" s="27"/>
      <c r="S181" s="27"/>
      <c r="T181" s="27"/>
      <c r="U181" s="28"/>
      <c r="V181" s="1"/>
      <c r="X181" s="39"/>
      <c r="Y181" s="82"/>
      <c r="Z181" s="82"/>
      <c r="AA181" s="82"/>
      <c r="AB181" s="82"/>
      <c r="AC181" s="82"/>
    </row>
    <row r="182" spans="1:29" s="39" customFormat="1" ht="14.25" thickTop="1" thickBot="1" x14ac:dyDescent="0.25">
      <c r="C182" s="407" t="s">
        <v>1040</v>
      </c>
      <c r="D182" s="109"/>
      <c r="E182" s="109"/>
      <c r="F182" s="109"/>
      <c r="G182" s="109"/>
      <c r="H182" s="110"/>
      <c r="I182" s="110"/>
      <c r="J182" s="659"/>
      <c r="K182" s="659"/>
      <c r="L182" s="659"/>
      <c r="M182" s="659"/>
      <c r="N182" s="110"/>
      <c r="O182" s="110"/>
      <c r="P182" s="661"/>
      <c r="Q182" s="661"/>
      <c r="R182" s="661"/>
      <c r="S182" s="110"/>
      <c r="T182" s="1100"/>
      <c r="U182" s="111"/>
      <c r="V182" s="52"/>
      <c r="Y182" s="82"/>
      <c r="Z182" s="82"/>
      <c r="AA182" s="82"/>
      <c r="AB182" s="82"/>
      <c r="AC182" s="82"/>
    </row>
    <row r="183" spans="1:29" s="1271" customFormat="1" ht="13.5" thickTop="1" x14ac:dyDescent="0.2">
      <c r="A183" s="1262" t="s">
        <v>893</v>
      </c>
      <c r="B183" s="1262"/>
      <c r="C183" s="1292" t="s">
        <v>897</v>
      </c>
      <c r="D183" s="1293" t="s">
        <v>7</v>
      </c>
      <c r="E183" s="1293" t="s">
        <v>44</v>
      </c>
      <c r="F183" s="1293" t="s">
        <v>1005</v>
      </c>
      <c r="G183" s="1293" t="s">
        <v>8</v>
      </c>
      <c r="H183" s="1294"/>
      <c r="I183" s="1294"/>
      <c r="J183" s="1294">
        <v>808104</v>
      </c>
      <c r="K183" s="1294">
        <v>724592</v>
      </c>
      <c r="L183" s="1295">
        <f>J183-H155</f>
        <v>-17910</v>
      </c>
      <c r="M183" s="1295">
        <f>K183-I155</f>
        <v>-16058</v>
      </c>
      <c r="N183" s="2026" t="s">
        <v>1013</v>
      </c>
      <c r="O183" s="1296">
        <f>O169-J183</f>
        <v>5022949</v>
      </c>
      <c r="P183" s="1297">
        <f>J183/H3</f>
        <v>8.0810400000000004E-2</v>
      </c>
      <c r="Q183" s="1297"/>
      <c r="R183" s="1297" t="s">
        <v>874</v>
      </c>
      <c r="S183" s="1296">
        <v>235796</v>
      </c>
      <c r="T183" s="1296">
        <v>313982</v>
      </c>
      <c r="U183" s="1298" t="s">
        <v>58</v>
      </c>
      <c r="V183" s="1270"/>
      <c r="Y183" s="1272"/>
      <c r="Z183" s="1272"/>
      <c r="AA183" s="1272"/>
      <c r="AB183" s="1272"/>
      <c r="AC183" s="1272"/>
    </row>
    <row r="184" spans="1:29" s="1271" customFormat="1" x14ac:dyDescent="0.2">
      <c r="A184" s="1262" t="s">
        <v>755</v>
      </c>
      <c r="B184" s="1262"/>
      <c r="C184" s="1263" t="s">
        <v>756</v>
      </c>
      <c r="D184" s="1264" t="s">
        <v>7</v>
      </c>
      <c r="E184" s="1264" t="s">
        <v>44</v>
      </c>
      <c r="F184" s="1264" t="s">
        <v>1016</v>
      </c>
      <c r="G184" s="1264" t="s">
        <v>8</v>
      </c>
      <c r="H184" s="1265"/>
      <c r="I184" s="1265"/>
      <c r="J184" s="1496">
        <v>143436</v>
      </c>
      <c r="K184" s="1496">
        <v>137022</v>
      </c>
      <c r="L184" s="1266">
        <f>J184-H121</f>
        <v>-4776</v>
      </c>
      <c r="M184" s="1266">
        <f>K184-I121</f>
        <v>8571</v>
      </c>
      <c r="N184" s="1266" t="s">
        <v>757</v>
      </c>
      <c r="O184" s="1265">
        <f>O183-J184</f>
        <v>4879513</v>
      </c>
      <c r="P184" s="1268">
        <f>J184/H3</f>
        <v>1.43436E-2</v>
      </c>
      <c r="Q184" s="1268"/>
      <c r="R184" s="1268" t="s">
        <v>753</v>
      </c>
      <c r="S184" s="1265">
        <v>59857</v>
      </c>
      <c r="T184" s="1273">
        <v>65951</v>
      </c>
      <c r="U184" s="1269" t="s">
        <v>390</v>
      </c>
      <c r="V184" s="1270"/>
      <c r="Y184" s="1272"/>
      <c r="Z184" s="1272"/>
      <c r="AA184" s="1272"/>
      <c r="AB184" s="1272"/>
      <c r="AC184" s="1272"/>
    </row>
    <row r="185" spans="1:29" s="1271" customFormat="1" x14ac:dyDescent="0.2">
      <c r="A185" s="1262" t="s">
        <v>890</v>
      </c>
      <c r="B185" s="1262"/>
      <c r="C185" s="1263" t="s">
        <v>894</v>
      </c>
      <c r="D185" s="1264" t="s">
        <v>7</v>
      </c>
      <c r="E185" s="1264" t="s">
        <v>44</v>
      </c>
      <c r="F185" s="1264" t="s">
        <v>1003</v>
      </c>
      <c r="G185" s="1264" t="s">
        <v>8</v>
      </c>
      <c r="H185" s="1265"/>
      <c r="I185" s="1265"/>
      <c r="J185" s="1265">
        <v>126296</v>
      </c>
      <c r="K185" s="1265">
        <v>119173</v>
      </c>
      <c r="L185" s="1266">
        <f>J185-H148</f>
        <v>-59866</v>
      </c>
      <c r="M185" s="1266">
        <f>K185-I148</f>
        <v>-35141</v>
      </c>
      <c r="N185" s="1267" t="s">
        <v>901</v>
      </c>
      <c r="O185" s="1265">
        <f>O184-J185</f>
        <v>4753217</v>
      </c>
      <c r="P185" s="1268">
        <f>J185/H3</f>
        <v>1.26296E-2</v>
      </c>
      <c r="Q185" s="1268"/>
      <c r="R185" s="1268" t="s">
        <v>36</v>
      </c>
      <c r="S185" s="1265">
        <v>53440</v>
      </c>
      <c r="T185" s="1265">
        <v>60322</v>
      </c>
      <c r="U185" s="1269" t="s">
        <v>669</v>
      </c>
      <c r="V185" s="1270"/>
      <c r="Y185" s="1272"/>
      <c r="Z185" s="1272"/>
      <c r="AA185" s="1272"/>
      <c r="AB185" s="1272"/>
      <c r="AC185" s="1272"/>
    </row>
    <row r="186" spans="1:29" s="1271" customFormat="1" x14ac:dyDescent="0.2">
      <c r="A186" s="1262" t="s">
        <v>896</v>
      </c>
      <c r="B186" s="1262"/>
      <c r="C186" s="1263" t="s">
        <v>898</v>
      </c>
      <c r="D186" s="1264" t="s">
        <v>7</v>
      </c>
      <c r="E186" s="1264" t="s">
        <v>44</v>
      </c>
      <c r="F186" s="1264" t="s">
        <v>1005</v>
      </c>
      <c r="G186" s="1264" t="s">
        <v>8</v>
      </c>
      <c r="H186" s="1265"/>
      <c r="I186" s="1265"/>
      <c r="J186" s="1265">
        <v>292307</v>
      </c>
      <c r="K186" s="1265">
        <v>271704</v>
      </c>
      <c r="L186" s="1266">
        <f>J186-H156</f>
        <v>-5096</v>
      </c>
      <c r="M186" s="1266">
        <f>K186-I156</f>
        <v>-4737</v>
      </c>
      <c r="N186" s="1267" t="s">
        <v>904</v>
      </c>
      <c r="O186" s="1265">
        <f>O185-J186</f>
        <v>4460910</v>
      </c>
      <c r="P186" s="1268">
        <f>J186/H3</f>
        <v>2.9230699999999998E-2</v>
      </c>
      <c r="Q186" s="1268"/>
      <c r="R186" s="1268" t="s">
        <v>902</v>
      </c>
      <c r="S186" s="1265">
        <v>1736611</v>
      </c>
      <c r="T186" s="1265">
        <v>1755968</v>
      </c>
      <c r="U186" s="1269" t="s">
        <v>58</v>
      </c>
      <c r="V186" s="1270"/>
      <c r="Y186" s="1272"/>
      <c r="Z186" s="1272"/>
      <c r="AA186" s="1272"/>
      <c r="AB186" s="1272"/>
      <c r="AC186" s="1272"/>
    </row>
    <row r="187" spans="1:29" s="1932" customFormat="1" x14ac:dyDescent="0.2">
      <c r="A187" s="1933" t="s">
        <v>953</v>
      </c>
      <c r="B187" s="1933"/>
      <c r="C187" s="1934" t="s">
        <v>954</v>
      </c>
      <c r="D187" s="1926" t="s">
        <v>7</v>
      </c>
      <c r="E187" s="1926" t="s">
        <v>44</v>
      </c>
      <c r="F187" s="1926" t="s">
        <v>1014</v>
      </c>
      <c r="G187" s="1926" t="s">
        <v>8</v>
      </c>
      <c r="H187" s="1935"/>
      <c r="I187" s="1935"/>
      <c r="J187" s="1935">
        <v>478396</v>
      </c>
      <c r="K187" s="1935">
        <v>443501</v>
      </c>
      <c r="L187" s="1936">
        <f>J187-H163</f>
        <v>69</v>
      </c>
      <c r="M187" s="1936">
        <f>K187-I163</f>
        <v>61</v>
      </c>
      <c r="N187" s="1936" t="s">
        <v>892</v>
      </c>
      <c r="O187" s="1935">
        <f>O176-J187</f>
        <v>9068129</v>
      </c>
      <c r="P187" s="1938">
        <f>J187/H3</f>
        <v>4.7839600000000003E-2</v>
      </c>
      <c r="Q187" s="1938"/>
      <c r="R187" s="1938" t="s">
        <v>34</v>
      </c>
      <c r="S187" s="1935">
        <v>136972</v>
      </c>
      <c r="T187" s="2043">
        <v>168179</v>
      </c>
      <c r="U187" s="1939" t="s">
        <v>58</v>
      </c>
      <c r="V187" s="1769"/>
      <c r="Y187" s="1940"/>
      <c r="Z187" s="1940"/>
      <c r="AA187" s="1940"/>
      <c r="AB187" s="1940"/>
      <c r="AC187" s="1940"/>
    </row>
    <row r="188" spans="1:29" s="1932" customFormat="1" x14ac:dyDescent="0.2">
      <c r="A188" s="1933" t="s">
        <v>899</v>
      </c>
      <c r="B188" s="1933"/>
      <c r="C188" s="1934" t="s">
        <v>891</v>
      </c>
      <c r="D188" s="1926" t="s">
        <v>7</v>
      </c>
      <c r="E188" s="1926" t="s">
        <v>44</v>
      </c>
      <c r="F188" s="1926" t="s">
        <v>1003</v>
      </c>
      <c r="G188" s="1926" t="s">
        <v>8</v>
      </c>
      <c r="H188" s="1935"/>
      <c r="I188" s="1935"/>
      <c r="J188" s="1935">
        <v>3048671</v>
      </c>
      <c r="K188" s="1935">
        <v>2729152</v>
      </c>
      <c r="L188" s="1936">
        <f>J188-H147</f>
        <v>46673</v>
      </c>
      <c r="M188" s="1936">
        <f>K188-I147</f>
        <v>-172780</v>
      </c>
      <c r="N188" s="1937" t="s">
        <v>892</v>
      </c>
      <c r="O188" s="1935">
        <f>O187-J188</f>
        <v>6019458</v>
      </c>
      <c r="P188" s="1938">
        <f>J188/H3</f>
        <v>0.3048671</v>
      </c>
      <c r="Q188" s="1938"/>
      <c r="R188" s="1938" t="s">
        <v>874</v>
      </c>
      <c r="S188" s="1935">
        <v>817673</v>
      </c>
      <c r="T188" s="1935">
        <v>1113376</v>
      </c>
      <c r="U188" s="1939" t="s">
        <v>58</v>
      </c>
      <c r="V188" s="1769"/>
      <c r="Y188" s="1940"/>
      <c r="Z188" s="1940"/>
      <c r="AA188" s="1940"/>
      <c r="AB188" s="1940"/>
      <c r="AC188" s="1940"/>
    </row>
    <row r="189" spans="1:29" s="1932" customFormat="1" ht="13.5" thickBot="1" x14ac:dyDescent="0.25">
      <c r="A189" s="1933" t="s">
        <v>1026</v>
      </c>
      <c r="B189" s="1933"/>
      <c r="C189" s="2044" t="s">
        <v>1034</v>
      </c>
      <c r="D189" s="2045" t="s">
        <v>14</v>
      </c>
      <c r="E189" s="2045" t="s">
        <v>44</v>
      </c>
      <c r="F189" s="2045"/>
      <c r="G189" s="2045" t="s">
        <v>8</v>
      </c>
      <c r="H189" s="2046">
        <v>933206</v>
      </c>
      <c r="I189" s="2046">
        <v>855438</v>
      </c>
      <c r="J189" s="2046"/>
      <c r="K189" s="2046"/>
      <c r="L189" s="2047"/>
      <c r="M189" s="2047"/>
      <c r="N189" s="2048" t="s">
        <v>1028</v>
      </c>
      <c r="O189" s="2046">
        <f>O188-H189</f>
        <v>5086252</v>
      </c>
      <c r="P189" s="2049">
        <f>H189/H3</f>
        <v>9.3320600000000004E-2</v>
      </c>
      <c r="Q189" s="2049"/>
      <c r="R189" s="2049" t="s">
        <v>668</v>
      </c>
      <c r="S189" s="2046">
        <v>724515</v>
      </c>
      <c r="T189" s="2046">
        <v>798548</v>
      </c>
      <c r="U189" s="2050" t="s">
        <v>58</v>
      </c>
      <c r="V189" s="1769"/>
      <c r="Y189" s="1940"/>
      <c r="Z189" s="1940"/>
      <c r="AA189" s="1940"/>
      <c r="AB189" s="1940"/>
      <c r="AC189" s="1940"/>
    </row>
    <row r="190" spans="1:29" ht="14.25" thickTop="1" thickBot="1" x14ac:dyDescent="0.25">
      <c r="A190"/>
      <c r="B190"/>
      <c r="C190" s="407" t="s">
        <v>38</v>
      </c>
      <c r="D190" s="411"/>
      <c r="E190" s="411"/>
      <c r="F190" s="109"/>
      <c r="G190" s="109"/>
      <c r="H190" s="110">
        <f>SUM(H185:H186)</f>
        <v>0</v>
      </c>
      <c r="I190" s="110">
        <f>SUM(I185:I186)</f>
        <v>0</v>
      </c>
      <c r="J190" s="110">
        <f>SUM(J183:J188)</f>
        <v>4897210</v>
      </c>
      <c r="K190" s="110">
        <f>SUM(K183:K188)</f>
        <v>4425144</v>
      </c>
      <c r="L190" s="110"/>
      <c r="M190" s="110"/>
      <c r="N190" s="1326" t="s">
        <v>460</v>
      </c>
      <c r="O190" s="1327">
        <f>H3-J109-J114-J115-J125-J126-J133-J138-J146-J183-J185-J186-J169-J184</f>
        <v>4460910</v>
      </c>
      <c r="P190" s="110"/>
      <c r="Q190" s="917">
        <f>SUM(P183:P188)</f>
        <v>0.48972100000000002</v>
      </c>
      <c r="R190" s="110"/>
      <c r="S190" s="110">
        <f>SUM(S185:S186)</f>
        <v>1790051</v>
      </c>
      <c r="T190" s="110">
        <f>SUM(T185:T186)</f>
        <v>1816290</v>
      </c>
      <c r="U190" s="111"/>
      <c r="V190" s="1"/>
      <c r="X190" s="39"/>
      <c r="Y190" s="82"/>
      <c r="Z190" s="82"/>
      <c r="AA190" s="82"/>
      <c r="AB190" s="82"/>
      <c r="AC190" s="82"/>
    </row>
    <row r="191" spans="1:29" ht="13.5" thickTop="1" x14ac:dyDescent="0.2">
      <c r="A191"/>
      <c r="B191" s="5"/>
      <c r="C191" s="611"/>
      <c r="D191" s="408"/>
      <c r="E191" s="408"/>
      <c r="F191" s="26"/>
      <c r="G191" s="26"/>
      <c r="H191" s="27"/>
      <c r="I191" s="27"/>
      <c r="J191" s="27"/>
      <c r="K191" s="27"/>
      <c r="L191" s="27"/>
      <c r="M191" s="27"/>
      <c r="N191" s="1866" t="s">
        <v>459</v>
      </c>
      <c r="O191" s="1197">
        <f>O179</f>
        <v>8872592</v>
      </c>
      <c r="P191" s="27"/>
      <c r="Q191" s="932"/>
      <c r="R191" s="27"/>
      <c r="S191" s="27"/>
      <c r="T191" s="27"/>
      <c r="U191" s="28"/>
      <c r="V191" s="1"/>
      <c r="X191" s="39"/>
      <c r="Y191" s="82"/>
      <c r="Z191" s="82"/>
      <c r="AA191" s="82"/>
      <c r="AB191" s="82"/>
      <c r="AC191" s="82"/>
    </row>
    <row r="192" spans="1:29" x14ac:dyDescent="0.2">
      <c r="A192"/>
      <c r="B192"/>
      <c r="C192" s="5"/>
      <c r="D192" s="1024"/>
      <c r="E192" s="5"/>
      <c r="F192" s="5"/>
      <c r="G192" s="5"/>
      <c r="H192" s="5"/>
      <c r="I192" s="5"/>
      <c r="J192" s="6"/>
      <c r="K192" s="6"/>
      <c r="L192" s="207"/>
      <c r="M192" s="207"/>
      <c r="N192" s="1867" t="s">
        <v>414</v>
      </c>
      <c r="O192" s="505">
        <f>O172</f>
        <v>4751464</v>
      </c>
      <c r="P192" s="1025"/>
      <c r="Q192" s="1026"/>
      <c r="R192" s="7"/>
      <c r="S192" s="7"/>
      <c r="T192" s="5"/>
      <c r="U192" s="6"/>
      <c r="V192" s="1"/>
      <c r="X192" s="39"/>
      <c r="Y192" s="82"/>
      <c r="Z192" s="82"/>
      <c r="AA192" s="82"/>
      <c r="AB192" s="82"/>
      <c r="AC192" s="82"/>
    </row>
    <row r="193" spans="1:51" x14ac:dyDescent="0.2">
      <c r="A193"/>
      <c r="B193"/>
      <c r="C193" s="5"/>
      <c r="D193" s="1024"/>
      <c r="E193" s="5"/>
      <c r="F193" s="5"/>
      <c r="G193" s="5"/>
      <c r="H193" s="5"/>
      <c r="I193" s="5"/>
      <c r="J193" s="6"/>
      <c r="K193" s="6"/>
      <c r="L193" s="207"/>
      <c r="M193" s="207"/>
      <c r="N193" s="1316">
        <v>2010</v>
      </c>
      <c r="O193" s="1329">
        <f>O177-J187-J188-H189</f>
        <v>5086252</v>
      </c>
      <c r="P193" s="1025"/>
      <c r="Q193" s="1026"/>
      <c r="R193" s="7"/>
      <c r="S193" s="7"/>
      <c r="T193" s="5"/>
      <c r="U193" s="6"/>
      <c r="V193" s="1"/>
      <c r="X193" s="39"/>
      <c r="Y193" s="82"/>
      <c r="Z193" s="82"/>
      <c r="AA193" s="82"/>
      <c r="AB193" s="82"/>
      <c r="AC193" s="82"/>
    </row>
    <row r="194" spans="1:51" ht="13.5" thickBot="1" x14ac:dyDescent="0.25">
      <c r="A194"/>
      <c r="B194"/>
      <c r="C194" s="5"/>
      <c r="D194" s="1024"/>
      <c r="E194" s="5"/>
      <c r="F194" s="5"/>
      <c r="G194" s="5"/>
      <c r="H194" s="5"/>
      <c r="I194" s="5"/>
      <c r="J194" s="6"/>
      <c r="K194" s="6"/>
      <c r="L194" s="207"/>
      <c r="M194" s="207"/>
      <c r="N194" s="1861"/>
      <c r="O194" s="52"/>
      <c r="P194" s="1025"/>
      <c r="Q194" s="1026"/>
      <c r="R194" s="7"/>
      <c r="S194" s="7"/>
      <c r="T194" s="5"/>
      <c r="U194" s="6"/>
      <c r="V194" s="1"/>
      <c r="X194" s="39"/>
      <c r="Y194" s="82"/>
      <c r="Z194" s="82"/>
      <c r="AA194" s="82"/>
      <c r="AB194" s="82"/>
      <c r="AC194" s="82"/>
    </row>
    <row r="195" spans="1:51" ht="13.5" thickTop="1" x14ac:dyDescent="0.2">
      <c r="C195" s="112"/>
      <c r="D195" s="113" t="s">
        <v>71</v>
      </c>
      <c r="E195" s="113" t="s">
        <v>44</v>
      </c>
      <c r="F195" s="113" t="s">
        <v>1036</v>
      </c>
      <c r="G195" s="113" t="s">
        <v>206</v>
      </c>
      <c r="H195" s="114"/>
      <c r="I195" s="114"/>
      <c r="J195" s="202"/>
      <c r="K195" s="202"/>
      <c r="L195" s="202"/>
      <c r="M195" s="202"/>
      <c r="N195" s="1328"/>
      <c r="O195" s="15"/>
      <c r="P195" s="115"/>
      <c r="Q195" s="106"/>
      <c r="R195" s="106"/>
      <c r="S195" s="106"/>
      <c r="T195" s="106"/>
      <c r="U195" s="116"/>
      <c r="V195" s="91"/>
      <c r="W195" s="4229"/>
      <c r="X195" s="4229"/>
      <c r="Y195" s="117"/>
      <c r="Z195" s="117"/>
      <c r="AA195" s="82"/>
      <c r="AB195" s="39"/>
      <c r="AC195" s="39"/>
      <c r="AD195" s="39"/>
      <c r="AE195" s="39"/>
      <c r="AF195" s="39"/>
      <c r="AG195" s="52"/>
      <c r="AH195" s="52"/>
      <c r="AI195" s="52"/>
      <c r="AJ195" s="52"/>
      <c r="AK195" s="52"/>
      <c r="AL195" s="39"/>
      <c r="AM195" s="39"/>
      <c r="AN195" s="39"/>
      <c r="AO195" s="39"/>
      <c r="AP195" s="39"/>
      <c r="AQ195" s="39"/>
      <c r="AR195" s="39"/>
      <c r="AS195" s="39"/>
      <c r="AT195" s="39"/>
      <c r="AU195" s="39"/>
      <c r="AV195" s="39"/>
      <c r="AW195" s="39"/>
      <c r="AX195" s="39"/>
      <c r="AY195" s="39"/>
    </row>
    <row r="196" spans="1:51" x14ac:dyDescent="0.2">
      <c r="C196" s="25" t="s">
        <v>418</v>
      </c>
      <c r="D196" s="117">
        <v>41</v>
      </c>
      <c r="E196" s="117">
        <v>27</v>
      </c>
      <c r="F196" s="117">
        <v>11</v>
      </c>
      <c r="G196" s="117">
        <v>3</v>
      </c>
      <c r="H196" s="27"/>
      <c r="I196" s="27"/>
      <c r="J196" s="203"/>
      <c r="K196" s="203"/>
      <c r="L196" s="203"/>
      <c r="M196" s="203"/>
      <c r="N196" s="27"/>
      <c r="O196" s="27"/>
      <c r="P196" s="28"/>
      <c r="Q196" s="91"/>
      <c r="R196" s="91"/>
      <c r="S196" s="91"/>
      <c r="T196" s="91"/>
      <c r="U196" s="118"/>
      <c r="V196" s="91"/>
      <c r="W196" s="82"/>
      <c r="X196" s="82"/>
      <c r="Y196" s="201"/>
      <c r="Z196" s="95"/>
      <c r="AA196" s="82"/>
      <c r="AB196" s="39"/>
      <c r="AC196" s="39"/>
      <c r="AD196" s="39"/>
      <c r="AE196" s="39"/>
      <c r="AF196" s="39"/>
      <c r="AG196" s="52"/>
      <c r="AH196" s="52"/>
      <c r="AI196" s="52"/>
      <c r="AJ196" s="52"/>
      <c r="AK196" s="52"/>
      <c r="AL196" s="39"/>
      <c r="AM196" s="39"/>
      <c r="AN196" s="39"/>
      <c r="AO196" s="39"/>
      <c r="AP196" s="39"/>
      <c r="AQ196" s="39"/>
      <c r="AR196" s="39"/>
      <c r="AS196" s="39"/>
      <c r="AT196" s="39"/>
      <c r="AU196" s="39"/>
      <c r="AV196" s="39"/>
      <c r="AW196" s="39"/>
      <c r="AX196" s="39"/>
      <c r="AY196" s="39"/>
    </row>
    <row r="197" spans="1:51" x14ac:dyDescent="0.2">
      <c r="C197" s="25"/>
      <c r="D197" s="117"/>
      <c r="E197" s="117"/>
      <c r="F197" s="117"/>
      <c r="G197" s="117"/>
      <c r="H197" s="27"/>
      <c r="I197" s="27"/>
      <c r="J197" s="203"/>
      <c r="K197" s="203"/>
      <c r="L197" s="203"/>
      <c r="M197" s="203"/>
      <c r="N197" s="27"/>
      <c r="O197" s="27"/>
      <c r="P197" s="28"/>
      <c r="Q197" s="91"/>
      <c r="R197" s="91"/>
      <c r="S197" s="91"/>
      <c r="T197" s="91"/>
      <c r="U197" s="118"/>
      <c r="V197" s="91"/>
      <c r="W197" s="82"/>
      <c r="X197" s="82"/>
      <c r="Y197" s="201"/>
      <c r="Z197" s="95"/>
      <c r="AA197" s="82"/>
      <c r="AB197" s="39"/>
      <c r="AC197" s="39"/>
      <c r="AD197" s="39"/>
      <c r="AE197" s="39"/>
      <c r="AF197" s="39"/>
      <c r="AG197" s="52"/>
      <c r="AH197" s="52"/>
      <c r="AI197" s="52"/>
      <c r="AJ197" s="52"/>
      <c r="AK197" s="52"/>
      <c r="AL197" s="39"/>
      <c r="AM197" s="39"/>
      <c r="AN197" s="39"/>
      <c r="AO197" s="39"/>
      <c r="AP197" s="39"/>
      <c r="AQ197" s="39"/>
      <c r="AR197" s="39"/>
      <c r="AS197" s="39"/>
      <c r="AT197" s="39"/>
      <c r="AU197" s="39"/>
      <c r="AV197" s="39"/>
      <c r="AW197" s="39"/>
      <c r="AX197" s="39"/>
      <c r="AY197" s="39"/>
    </row>
    <row r="198" spans="1:51" x14ac:dyDescent="0.2">
      <c r="C198" s="25" t="s">
        <v>396</v>
      </c>
      <c r="D198" s="82"/>
      <c r="E198" s="82"/>
      <c r="F198" s="82"/>
      <c r="G198" s="82"/>
      <c r="H198" s="119"/>
      <c r="I198" s="119"/>
      <c r="J198" s="204"/>
      <c r="N198" s="119"/>
      <c r="O198" s="91"/>
      <c r="P198" s="82"/>
      <c r="Q198" s="82"/>
      <c r="R198" s="82"/>
      <c r="S198" s="82"/>
      <c r="T198" s="82"/>
      <c r="U198" s="120"/>
      <c r="V198" s="82"/>
      <c r="W198" s="82"/>
      <c r="X198" s="82"/>
      <c r="Y198" s="201"/>
      <c r="Z198" s="95"/>
      <c r="AA198" s="82"/>
      <c r="AB198" s="39"/>
      <c r="AC198" s="39"/>
      <c r="AD198" s="39"/>
      <c r="AE198" s="39"/>
      <c r="AF198" s="39"/>
      <c r="AG198" s="52"/>
      <c r="AH198" s="52"/>
      <c r="AI198" s="52"/>
      <c r="AJ198" s="52"/>
      <c r="AK198" s="52"/>
      <c r="AL198" s="39"/>
      <c r="AM198" s="39"/>
      <c r="AN198" s="39"/>
      <c r="AO198" s="39"/>
      <c r="AP198" s="39"/>
      <c r="AQ198" s="39"/>
      <c r="AR198" s="39"/>
      <c r="AS198" s="39"/>
      <c r="AT198" s="39"/>
      <c r="AU198" s="39"/>
      <c r="AV198" s="39"/>
      <c r="AW198" s="39"/>
      <c r="AX198" s="39"/>
      <c r="AY198" s="39"/>
    </row>
    <row r="199" spans="1:51" x14ac:dyDescent="0.2">
      <c r="C199" s="121" t="s">
        <v>391</v>
      </c>
      <c r="D199" s="82"/>
      <c r="E199" s="82"/>
      <c r="F199" s="82"/>
      <c r="G199" s="82"/>
      <c r="H199" s="119">
        <f>SUM(J9,J11,J12,J20,J29,J40,J46,H52,H69,J80,J93)+SUM(J25,H58,J105)+SUM(J17,J30,J31,J41,J50,J51,J68,J75,J94,J99,J106,J109,J114,J115,J125,J126,J133,J138,J146)+SUM(J184,J169,J188,J185,J183,J186,J187,J176,H189)</f>
        <v>22314643</v>
      </c>
      <c r="I199" s="627"/>
      <c r="J199" s="204"/>
      <c r="K199" s="203"/>
      <c r="L199" s="281"/>
      <c r="M199" s="204"/>
      <c r="N199" s="119"/>
      <c r="O199" s="91"/>
      <c r="P199" s="82"/>
      <c r="Q199" s="82"/>
      <c r="R199" s="82"/>
      <c r="S199" s="82"/>
      <c r="T199" s="82"/>
      <c r="U199" s="120"/>
      <c r="V199" s="82"/>
      <c r="W199" s="82"/>
      <c r="X199" s="82"/>
      <c r="Y199" s="201"/>
      <c r="Z199" s="95"/>
      <c r="AA199" s="82"/>
      <c r="AB199" s="39"/>
      <c r="AC199" s="39"/>
      <c r="AD199" s="39"/>
      <c r="AE199" s="39"/>
      <c r="AF199" s="39"/>
      <c r="AG199" s="52"/>
      <c r="AH199" s="52"/>
      <c r="AI199" s="52"/>
      <c r="AJ199" s="52"/>
      <c r="AK199" s="52"/>
      <c r="AL199" s="39"/>
      <c r="AM199" s="39"/>
      <c r="AN199" s="39"/>
      <c r="AO199" s="39"/>
      <c r="AP199" s="39"/>
      <c r="AQ199" s="39"/>
      <c r="AR199" s="39"/>
      <c r="AS199" s="39"/>
      <c r="AT199" s="39"/>
      <c r="AU199" s="39"/>
      <c r="AV199" s="39"/>
      <c r="AW199" s="39"/>
      <c r="AX199" s="39"/>
      <c r="AY199" s="39"/>
    </row>
    <row r="200" spans="1:51" x14ac:dyDescent="0.2">
      <c r="C200" s="71" t="s">
        <v>392</v>
      </c>
      <c r="D200" s="82"/>
      <c r="E200" s="82"/>
      <c r="F200" s="82"/>
      <c r="G200" s="82"/>
      <c r="H200" s="119">
        <f>SUM(J25,H58,J105)</f>
        <v>620708</v>
      </c>
      <c r="I200" s="119"/>
      <c r="J200" s="204"/>
      <c r="K200" s="203"/>
      <c r="L200" s="281"/>
      <c r="M200" s="204"/>
      <c r="N200" s="119"/>
      <c r="O200" s="91"/>
      <c r="P200" s="82"/>
      <c r="Q200" s="82"/>
      <c r="R200" s="82"/>
      <c r="S200" s="82"/>
      <c r="T200" s="82"/>
      <c r="U200" s="120"/>
      <c r="V200" s="82"/>
      <c r="W200" s="82"/>
      <c r="X200" s="82"/>
      <c r="Y200" s="201"/>
      <c r="Z200" s="95"/>
      <c r="AA200" s="82"/>
      <c r="AB200" s="39"/>
      <c r="AC200" s="39"/>
      <c r="AD200" s="39"/>
      <c r="AE200" s="39"/>
      <c r="AF200" s="39"/>
      <c r="AG200" s="52"/>
      <c r="AH200" s="52"/>
      <c r="AI200" s="52"/>
      <c r="AJ200" s="52"/>
      <c r="AK200" s="52"/>
      <c r="AL200" s="39"/>
      <c r="AM200" s="39"/>
      <c r="AN200" s="39"/>
      <c r="AO200" s="39"/>
      <c r="AP200" s="39"/>
      <c r="AQ200" s="39"/>
      <c r="AR200" s="39"/>
      <c r="AS200" s="39"/>
      <c r="AT200" s="39"/>
      <c r="AU200" s="39"/>
      <c r="AV200" s="39"/>
      <c r="AW200" s="39"/>
      <c r="AX200" s="39"/>
      <c r="AY200" s="39"/>
    </row>
    <row r="201" spans="1:51" x14ac:dyDescent="0.2">
      <c r="C201" s="2105" t="s">
        <v>1037</v>
      </c>
      <c r="D201" s="82"/>
      <c r="E201" s="82"/>
      <c r="F201" s="82"/>
      <c r="G201" s="82"/>
      <c r="H201" s="119">
        <f>SUM(J9,J11,J12,J17,J20,J29,J40,J46,H52,H69,J80,J93)</f>
        <v>5656430</v>
      </c>
      <c r="I201" s="119"/>
      <c r="J201" s="204"/>
      <c r="K201" s="203"/>
      <c r="L201" s="281"/>
      <c r="M201" s="204"/>
      <c r="N201" s="119"/>
      <c r="O201" s="91"/>
      <c r="P201" s="82"/>
      <c r="Q201" s="82"/>
      <c r="R201" s="82"/>
      <c r="S201" s="82"/>
      <c r="T201" s="82"/>
      <c r="U201" s="120"/>
      <c r="V201" s="82"/>
      <c r="W201" s="82"/>
      <c r="X201" s="82"/>
      <c r="Y201" s="201"/>
      <c r="Z201" s="95"/>
      <c r="AA201" s="82"/>
      <c r="AB201" s="39"/>
      <c r="AC201" s="39"/>
      <c r="AD201" s="39"/>
      <c r="AE201" s="39"/>
      <c r="AF201" s="39"/>
      <c r="AG201" s="52"/>
      <c r="AH201" s="52"/>
      <c r="AI201" s="52"/>
      <c r="AJ201" s="52"/>
      <c r="AK201" s="52"/>
      <c r="AL201" s="39"/>
      <c r="AM201" s="39"/>
      <c r="AN201" s="39"/>
      <c r="AO201" s="39"/>
      <c r="AP201" s="39"/>
      <c r="AQ201" s="39"/>
      <c r="AR201" s="39"/>
      <c r="AS201" s="39"/>
      <c r="AT201" s="39"/>
      <c r="AU201" s="39"/>
      <c r="AV201" s="39"/>
      <c r="AW201" s="39"/>
      <c r="AX201" s="39"/>
      <c r="AY201" s="39"/>
    </row>
    <row r="202" spans="1:51" x14ac:dyDescent="0.2">
      <c r="C202" s="71" t="s">
        <v>393</v>
      </c>
      <c r="D202" s="82"/>
      <c r="E202" s="82"/>
      <c r="F202" s="82"/>
      <c r="G202" s="82"/>
      <c r="H202" s="27">
        <f>H199-H200-H201</f>
        <v>16037505</v>
      </c>
      <c r="I202" s="119"/>
      <c r="J202" s="204"/>
      <c r="K202" s="203">
        <f>SUM(K30,K31,K41,K50,K51,K68,K75,K94,K99,K106,K109,K114,K115,K125,K126,K133,K138,K169,K146, K188,K185,K183,K186,K187,K176,K184,I189)</f>
        <v>14360766</v>
      </c>
      <c r="L202" s="281" t="s">
        <v>340</v>
      </c>
      <c r="M202" s="204"/>
      <c r="N202" s="119"/>
      <c r="O202" s="91"/>
      <c r="P202" s="82"/>
      <c r="Q202" s="82"/>
      <c r="R202" s="82"/>
      <c r="S202" s="82"/>
      <c r="T202" s="82"/>
      <c r="U202" s="120"/>
      <c r="V202" s="82"/>
      <c r="W202" s="82"/>
      <c r="X202" s="82"/>
      <c r="Y202" s="201"/>
      <c r="Z202" s="95"/>
      <c r="AA202" s="82"/>
      <c r="AB202" s="39"/>
      <c r="AC202" s="39"/>
      <c r="AD202" s="39"/>
      <c r="AE202" s="39"/>
      <c r="AF202" s="39"/>
      <c r="AG202" s="52"/>
      <c r="AH202" s="52"/>
      <c r="AI202" s="52"/>
      <c r="AJ202" s="52"/>
      <c r="AK202" s="52"/>
      <c r="AL202" s="39"/>
      <c r="AM202" s="39"/>
      <c r="AN202" s="39"/>
      <c r="AO202" s="39"/>
      <c r="AP202" s="39"/>
      <c r="AQ202" s="39"/>
      <c r="AR202" s="39"/>
      <c r="AS202" s="39"/>
      <c r="AT202" s="39"/>
      <c r="AU202" s="39"/>
      <c r="AV202" s="39"/>
      <c r="AW202" s="39"/>
      <c r="AX202" s="39"/>
      <c r="AY202" s="39"/>
    </row>
    <row r="203" spans="1:51" x14ac:dyDescent="0.2">
      <c r="C203" s="71"/>
      <c r="D203" s="82"/>
      <c r="E203" s="82"/>
      <c r="F203" s="82"/>
      <c r="G203" s="82"/>
      <c r="H203" s="119">
        <f>SUM(H200:H202)</f>
        <v>22314643</v>
      </c>
      <c r="I203" s="119"/>
      <c r="J203" s="204"/>
      <c r="K203" s="203"/>
      <c r="L203" s="281"/>
      <c r="M203" s="204"/>
      <c r="N203" s="119"/>
      <c r="O203" s="91"/>
      <c r="P203" s="82"/>
      <c r="Q203" s="82"/>
      <c r="R203" s="82"/>
      <c r="S203" s="82"/>
      <c r="T203" s="82"/>
      <c r="U203" s="120"/>
      <c r="V203" s="82"/>
      <c r="W203" s="82"/>
      <c r="X203" s="82"/>
      <c r="Y203" s="201"/>
      <c r="Z203" s="95"/>
      <c r="AA203" s="82"/>
      <c r="AB203" s="39"/>
      <c r="AC203" s="39"/>
      <c r="AD203" s="39"/>
      <c r="AE203" s="39"/>
      <c r="AF203" s="39"/>
      <c r="AG203" s="52"/>
      <c r="AH203" s="52"/>
      <c r="AI203" s="52"/>
      <c r="AJ203" s="52"/>
      <c r="AK203" s="52"/>
      <c r="AL203" s="39"/>
      <c r="AM203" s="39"/>
      <c r="AN203" s="39"/>
      <c r="AO203" s="39"/>
      <c r="AP203" s="39"/>
      <c r="AQ203" s="39"/>
      <c r="AR203" s="39"/>
      <c r="AS203" s="39"/>
      <c r="AT203" s="39"/>
      <c r="AU203" s="39"/>
      <c r="AV203" s="39"/>
      <c r="AW203" s="39"/>
      <c r="AX203" s="39"/>
      <c r="AY203" s="39"/>
    </row>
    <row r="204" spans="1:51" x14ac:dyDescent="0.2">
      <c r="C204" s="25" t="s">
        <v>397</v>
      </c>
      <c r="D204" s="82"/>
      <c r="E204" s="82"/>
      <c r="F204" s="82"/>
      <c r="G204" s="82"/>
      <c r="H204" s="119"/>
      <c r="I204" s="119"/>
      <c r="J204" s="204"/>
      <c r="K204" s="203"/>
      <c r="L204" s="281"/>
      <c r="M204" s="204"/>
      <c r="N204" s="119"/>
      <c r="O204" s="91"/>
      <c r="P204" s="82"/>
      <c r="Q204" s="82"/>
      <c r="R204" s="82"/>
      <c r="S204" s="82"/>
      <c r="T204" s="82"/>
      <c r="U204" s="120"/>
      <c r="V204" s="82"/>
      <c r="W204" s="82"/>
      <c r="X204" s="82"/>
      <c r="Y204" s="201"/>
      <c r="Z204" s="95"/>
      <c r="AA204" s="82"/>
      <c r="AB204" s="39"/>
      <c r="AC204" s="39"/>
      <c r="AD204" s="39"/>
      <c r="AE204" s="39"/>
      <c r="AF204" s="39"/>
      <c r="AG204" s="52"/>
      <c r="AH204" s="52"/>
      <c r="AI204" s="52"/>
      <c r="AJ204" s="52"/>
      <c r="AK204" s="52"/>
      <c r="AL204" s="39"/>
      <c r="AM204" s="39"/>
      <c r="AN204" s="39"/>
      <c r="AO204" s="39"/>
      <c r="AP204" s="39"/>
      <c r="AQ204" s="39"/>
      <c r="AR204" s="39"/>
      <c r="AS204" s="39"/>
      <c r="AT204" s="39"/>
      <c r="AU204" s="39"/>
      <c r="AV204" s="39"/>
      <c r="AW204" s="39"/>
      <c r="AX204" s="39"/>
      <c r="AY204" s="39"/>
    </row>
    <row r="205" spans="1:51" x14ac:dyDescent="0.2">
      <c r="C205" s="1336" t="s">
        <v>398</v>
      </c>
      <c r="D205" s="472"/>
      <c r="E205" s="472"/>
      <c r="F205" s="472"/>
      <c r="G205" s="472"/>
      <c r="H205" s="775">
        <f>SUM(J30,J31,J41,J50,J51,)</f>
        <v>4457259</v>
      </c>
      <c r="I205" s="470">
        <f>H205/H3</f>
        <v>0.44572590000000001</v>
      </c>
      <c r="J205" s="1337">
        <f>K205/K214</f>
        <v>0.27165633086703034</v>
      </c>
      <c r="K205" s="1359">
        <f>SUM(K30,K31,K41,K50,K51)</f>
        <v>3901193</v>
      </c>
      <c r="L205" s="281" t="s">
        <v>342</v>
      </c>
      <c r="M205" s="204"/>
      <c r="N205" s="119"/>
      <c r="O205" s="91"/>
      <c r="P205" s="82"/>
      <c r="Q205" s="82"/>
      <c r="R205" s="82"/>
      <c r="S205" s="82"/>
      <c r="T205" s="82"/>
      <c r="U205" s="120"/>
      <c r="V205" s="82"/>
      <c r="W205" s="82"/>
      <c r="X205" s="82"/>
      <c r="Y205" s="201"/>
      <c r="Z205" s="95"/>
      <c r="AA205" s="82"/>
      <c r="AB205" s="39"/>
      <c r="AC205" s="39"/>
      <c r="AD205" s="39"/>
      <c r="AE205" s="39"/>
      <c r="AF205" s="39"/>
      <c r="AG205" s="52"/>
      <c r="AH205" s="52"/>
      <c r="AI205" s="52"/>
      <c r="AJ205" s="52"/>
      <c r="AK205" s="52"/>
      <c r="AL205" s="39"/>
      <c r="AM205" s="39"/>
      <c r="AN205" s="39"/>
      <c r="AO205" s="39"/>
      <c r="AP205" s="39"/>
      <c r="AQ205" s="39"/>
      <c r="AR205" s="39"/>
      <c r="AS205" s="39"/>
      <c r="AT205" s="39"/>
      <c r="AU205" s="39"/>
      <c r="AV205" s="39"/>
      <c r="AW205" s="39"/>
      <c r="AX205" s="39"/>
      <c r="AY205" s="39"/>
    </row>
    <row r="206" spans="1:51" x14ac:dyDescent="0.2">
      <c r="C206" s="1336" t="s">
        <v>394</v>
      </c>
      <c r="D206" s="472"/>
      <c r="E206" s="472"/>
      <c r="F206" s="472"/>
      <c r="G206" s="472"/>
      <c r="H206" s="775">
        <f>H3-H205</f>
        <v>5542741</v>
      </c>
      <c r="I206" s="470">
        <f>H206/H3</f>
        <v>0.55427409999999999</v>
      </c>
      <c r="J206" s="1339"/>
      <c r="K206" s="1359"/>
      <c r="L206" s="281"/>
      <c r="M206" s="204"/>
      <c r="N206" s="119"/>
      <c r="O206" s="91"/>
      <c r="P206" s="82"/>
      <c r="Q206" s="82"/>
      <c r="R206" s="82"/>
      <c r="S206" s="82"/>
      <c r="T206" s="82"/>
      <c r="U206" s="120"/>
      <c r="V206" s="82"/>
      <c r="W206" s="82"/>
      <c r="X206" s="82"/>
      <c r="Y206" s="201"/>
      <c r="Z206" s="95"/>
      <c r="AA206" s="82"/>
      <c r="AB206" s="39"/>
      <c r="AC206" s="39"/>
      <c r="AD206" s="39"/>
      <c r="AE206" s="39"/>
      <c r="AF206" s="39"/>
      <c r="AG206" s="52"/>
      <c r="AH206" s="52"/>
      <c r="AI206" s="52"/>
      <c r="AJ206" s="52"/>
      <c r="AK206" s="52"/>
      <c r="AL206" s="39"/>
      <c r="AM206" s="39"/>
      <c r="AN206" s="39"/>
      <c r="AO206" s="39"/>
      <c r="AP206" s="39"/>
      <c r="AQ206" s="39"/>
      <c r="AR206" s="39"/>
      <c r="AS206" s="39"/>
      <c r="AT206" s="39"/>
      <c r="AU206" s="39"/>
      <c r="AV206" s="39"/>
      <c r="AW206" s="39"/>
      <c r="AX206" s="39"/>
      <c r="AY206" s="39"/>
    </row>
    <row r="207" spans="1:51" x14ac:dyDescent="0.2">
      <c r="C207" s="1340" t="s">
        <v>399</v>
      </c>
      <c r="D207" s="1194"/>
      <c r="E207" s="1194"/>
      <c r="F207" s="1341"/>
      <c r="G207" s="1342"/>
      <c r="H207" s="1341">
        <f>SUM(J68,J75,J94,J99,J106)</f>
        <v>1127408</v>
      </c>
      <c r="I207" s="1343">
        <f>H207/H3</f>
        <v>0.1127408</v>
      </c>
      <c r="J207" s="1344">
        <f>K207/K214</f>
        <v>7.0507032842119982E-2</v>
      </c>
      <c r="K207" s="1360">
        <f>SUM(K68,K75,K94,K99,K106)</f>
        <v>1012535</v>
      </c>
      <c r="L207" s="281" t="s">
        <v>341</v>
      </c>
      <c r="M207" s="204"/>
      <c r="N207" s="119"/>
      <c r="O207" s="91"/>
      <c r="P207" s="82"/>
      <c r="Q207" s="82"/>
      <c r="R207" s="82"/>
      <c r="S207" s="82"/>
      <c r="T207" s="82"/>
      <c r="U207" s="120"/>
      <c r="V207" s="82"/>
      <c r="W207" s="82"/>
      <c r="X207" s="82"/>
      <c r="Y207" s="201"/>
      <c r="Z207" s="95"/>
      <c r="AA207" s="82"/>
      <c r="AB207" s="39"/>
      <c r="AC207" s="39"/>
      <c r="AD207" s="39"/>
      <c r="AE207" s="39"/>
      <c r="AF207" s="39"/>
      <c r="AG207" s="52"/>
      <c r="AH207" s="52"/>
      <c r="AI207" s="52"/>
      <c r="AJ207" s="52"/>
      <c r="AK207" s="52"/>
      <c r="AL207" s="39"/>
      <c r="AM207" s="39"/>
      <c r="AN207" s="39"/>
      <c r="AO207" s="39"/>
      <c r="AP207" s="39"/>
      <c r="AQ207" s="39"/>
      <c r="AR207" s="39"/>
      <c r="AS207" s="39"/>
      <c r="AT207" s="39"/>
      <c r="AU207" s="39"/>
      <c r="AV207" s="39"/>
      <c r="AW207" s="39"/>
      <c r="AX207" s="39"/>
      <c r="AY207" s="39"/>
    </row>
    <row r="208" spans="1:51" x14ac:dyDescent="0.2">
      <c r="C208" s="1340" t="s">
        <v>395</v>
      </c>
      <c r="D208" s="1194"/>
      <c r="E208" s="1194"/>
      <c r="F208" s="1194"/>
      <c r="G208" s="1194"/>
      <c r="H208" s="1341">
        <f>H3-H207</f>
        <v>8872592</v>
      </c>
      <c r="I208" s="1343">
        <f>H208/H3</f>
        <v>0.88725920000000003</v>
      </c>
      <c r="J208" s="1346"/>
      <c r="K208" s="1360"/>
      <c r="L208" s="204"/>
      <c r="M208" s="204"/>
      <c r="N208" s="119"/>
      <c r="O208" s="91"/>
      <c r="P208" s="82"/>
      <c r="Q208" s="82"/>
      <c r="R208" s="82"/>
      <c r="S208" s="203"/>
      <c r="T208" s="82"/>
      <c r="U208" s="120"/>
      <c r="V208" s="82"/>
      <c r="W208" s="82"/>
      <c r="X208" s="82"/>
      <c r="Y208" s="201"/>
      <c r="Z208" s="95"/>
      <c r="AA208" s="82"/>
      <c r="AB208" s="39"/>
      <c r="AC208" s="39"/>
      <c r="AD208" s="39"/>
      <c r="AE208" s="39"/>
      <c r="AF208" s="39"/>
      <c r="AG208" s="52"/>
      <c r="AH208" s="52"/>
      <c r="AI208" s="52"/>
      <c r="AJ208" s="52"/>
      <c r="AK208" s="52"/>
      <c r="AL208" s="39"/>
      <c r="AM208" s="39"/>
      <c r="AN208" s="39"/>
      <c r="AO208" s="39"/>
      <c r="AP208" s="39"/>
      <c r="AQ208" s="39"/>
      <c r="AR208" s="39"/>
      <c r="AS208" s="39"/>
      <c r="AT208" s="39"/>
      <c r="AU208" s="39"/>
      <c r="AV208" s="39"/>
      <c r="AW208" s="39"/>
      <c r="AX208" s="39"/>
      <c r="AY208" s="39"/>
    </row>
    <row r="209" spans="3:51" x14ac:dyDescent="0.2">
      <c r="C209" s="1347" t="s">
        <v>629</v>
      </c>
      <c r="D209" s="1277"/>
      <c r="E209" s="1277"/>
      <c r="F209" s="1348"/>
      <c r="G209" s="1349"/>
      <c r="H209" s="1348">
        <f>SUM(J109,J114,J115,J125,J126,J133,J138,J169, J146,J186,J183,J185,J184)</f>
        <v>5539090</v>
      </c>
      <c r="I209" s="1350">
        <f>H209/H3</f>
        <v>0.55390899999999998</v>
      </c>
      <c r="J209" s="1351">
        <f>K209/K214</f>
        <v>0.34839791972099537</v>
      </c>
      <c r="K209" s="1361">
        <f>SUM(K109,K114,K115,K184,K125,K126,K133,K138,K169,K146,K185,K183,K186)</f>
        <v>5003261</v>
      </c>
      <c r="L209" s="281" t="s">
        <v>638</v>
      </c>
      <c r="M209" s="204"/>
      <c r="N209" s="119"/>
      <c r="O209" s="91"/>
      <c r="P209" s="82"/>
      <c r="Q209" s="82"/>
      <c r="R209" s="82"/>
      <c r="S209" s="203"/>
      <c r="T209" s="82"/>
      <c r="U209" s="120"/>
      <c r="V209" s="82"/>
      <c r="W209" s="82"/>
      <c r="X209" s="82"/>
      <c r="Y209" s="201"/>
      <c r="Z209" s="95"/>
      <c r="AA209" s="82"/>
      <c r="AB209" s="39"/>
      <c r="AC209" s="39"/>
      <c r="AD209" s="39"/>
      <c r="AE209" s="39"/>
      <c r="AF209" s="39"/>
      <c r="AG209" s="52"/>
      <c r="AH209" s="52"/>
      <c r="AI209" s="52"/>
      <c r="AJ209" s="52"/>
      <c r="AK209" s="52"/>
      <c r="AL209" s="39"/>
      <c r="AM209" s="39"/>
      <c r="AN209" s="39"/>
      <c r="AO209" s="39"/>
      <c r="AP209" s="39"/>
      <c r="AQ209" s="39"/>
      <c r="AR209" s="39"/>
      <c r="AS209" s="39"/>
      <c r="AT209" s="39"/>
      <c r="AU209" s="39"/>
      <c r="AV209" s="39"/>
      <c r="AW209" s="39"/>
      <c r="AX209" s="39"/>
      <c r="AY209" s="39"/>
    </row>
    <row r="210" spans="3:51" x14ac:dyDescent="0.2">
      <c r="C210" s="1347" t="s">
        <v>637</v>
      </c>
      <c r="D210" s="1277"/>
      <c r="E210" s="1277"/>
      <c r="F210" s="1277"/>
      <c r="G210" s="1277"/>
      <c r="H210" s="1348">
        <f>H3-H209</f>
        <v>4460910</v>
      </c>
      <c r="I210" s="1350">
        <f>H210/H3</f>
        <v>0.44609100000000002</v>
      </c>
      <c r="J210" s="1352"/>
      <c r="K210" s="1361"/>
      <c r="L210" s="204"/>
      <c r="M210" s="204"/>
      <c r="N210" s="119"/>
      <c r="O210" s="91"/>
      <c r="P210" s="82"/>
      <c r="Q210" s="82"/>
      <c r="R210" s="82"/>
      <c r="S210" s="203"/>
      <c r="T210" s="82"/>
      <c r="U210" s="120"/>
      <c r="V210" s="82"/>
      <c r="W210" s="82"/>
      <c r="X210" s="82"/>
      <c r="Y210" s="201"/>
      <c r="Z210" s="95"/>
      <c r="AA210" s="82"/>
      <c r="AB210" s="39"/>
      <c r="AC210" s="39"/>
      <c r="AD210" s="39"/>
      <c r="AE210" s="39"/>
      <c r="AF210" s="39"/>
      <c r="AG210" s="52"/>
      <c r="AH210" s="52"/>
      <c r="AI210" s="52"/>
      <c r="AJ210" s="52"/>
      <c r="AK210" s="52"/>
      <c r="AL210" s="39"/>
      <c r="AM210" s="39"/>
      <c r="AN210" s="39"/>
      <c r="AO210" s="39"/>
      <c r="AP210" s="39"/>
      <c r="AQ210" s="39"/>
      <c r="AR210" s="39"/>
      <c r="AS210" s="39"/>
      <c r="AT210" s="39"/>
      <c r="AU210" s="39"/>
      <c r="AV210" s="39"/>
      <c r="AW210" s="39"/>
      <c r="AX210" s="39"/>
      <c r="AY210" s="39"/>
    </row>
    <row r="211" spans="3:51" x14ac:dyDescent="0.2">
      <c r="C211" s="1159" t="s">
        <v>878</v>
      </c>
      <c r="D211" s="1160"/>
      <c r="E211" s="1357"/>
      <c r="F211" s="1353"/>
      <c r="G211" s="1353"/>
      <c r="H211" s="1354">
        <f>SUM(J188,J187,J176,H189)</f>
        <v>4913748</v>
      </c>
      <c r="I211" s="1355">
        <f>H211/H3</f>
        <v>0.4913748</v>
      </c>
      <c r="J211" s="1358">
        <f>K211/K214</f>
        <v>0.30943871656985428</v>
      </c>
      <c r="K211" s="1362">
        <f>SUM(K188,K187,K176,I189)</f>
        <v>4443777</v>
      </c>
      <c r="L211" s="281" t="s">
        <v>906</v>
      </c>
      <c r="M211" s="204"/>
      <c r="N211" s="119"/>
      <c r="O211" s="91"/>
      <c r="P211" s="82"/>
      <c r="Q211" s="82"/>
      <c r="R211" s="82"/>
      <c r="S211" s="203"/>
      <c r="T211" s="82"/>
      <c r="U211" s="120"/>
      <c r="V211" s="82"/>
      <c r="W211" s="82"/>
      <c r="X211" s="82"/>
      <c r="Y211" s="201"/>
      <c r="Z211" s="95"/>
      <c r="AA211" s="82"/>
      <c r="AB211" s="39"/>
      <c r="AC211" s="39"/>
      <c r="AD211" s="39"/>
      <c r="AE211" s="39"/>
      <c r="AF211" s="39"/>
      <c r="AG211" s="52"/>
      <c r="AH211" s="52"/>
      <c r="AI211" s="52"/>
      <c r="AJ211" s="52"/>
      <c r="AK211" s="52"/>
      <c r="AL211" s="39"/>
      <c r="AM211" s="39"/>
      <c r="AN211" s="39"/>
      <c r="AO211" s="39"/>
      <c r="AP211" s="39"/>
      <c r="AQ211" s="39"/>
      <c r="AR211" s="39"/>
      <c r="AS211" s="39"/>
      <c r="AT211" s="39"/>
      <c r="AU211" s="39"/>
      <c r="AV211" s="39"/>
      <c r="AW211" s="39"/>
      <c r="AX211" s="39"/>
      <c r="AY211" s="39"/>
    </row>
    <row r="212" spans="3:51" x14ac:dyDescent="0.2">
      <c r="C212" s="1159" t="s">
        <v>879</v>
      </c>
      <c r="D212" s="1160"/>
      <c r="E212" s="1357"/>
      <c r="F212" s="1353"/>
      <c r="G212" s="1353"/>
      <c r="H212" s="1354">
        <f>H3-H211</f>
        <v>5086252</v>
      </c>
      <c r="I212" s="1355">
        <f>H212/H3</f>
        <v>0.5086252</v>
      </c>
      <c r="J212" s="1356"/>
      <c r="K212" s="1356"/>
      <c r="L212" s="204"/>
      <c r="M212" s="204"/>
      <c r="N212" s="119"/>
      <c r="O212" s="91"/>
      <c r="P212" s="82"/>
      <c r="Q212" s="82"/>
      <c r="R212" s="82"/>
      <c r="S212" s="203"/>
      <c r="T212" s="82"/>
      <c r="U212" s="120"/>
      <c r="V212" s="82"/>
      <c r="W212" s="82"/>
      <c r="X212" s="82"/>
      <c r="Y212" s="201"/>
      <c r="Z212" s="95"/>
      <c r="AA212" s="82"/>
      <c r="AB212" s="39"/>
      <c r="AC212" s="39"/>
      <c r="AD212" s="39"/>
      <c r="AE212" s="39"/>
      <c r="AF212" s="39"/>
      <c r="AG212" s="52"/>
      <c r="AH212" s="52"/>
      <c r="AI212" s="52"/>
      <c r="AJ212" s="52"/>
      <c r="AK212" s="52"/>
      <c r="AL212" s="39"/>
      <c r="AM212" s="39"/>
      <c r="AN212" s="39"/>
      <c r="AO212" s="39"/>
      <c r="AP212" s="39"/>
      <c r="AQ212" s="39"/>
      <c r="AR212" s="39"/>
      <c r="AS212" s="39"/>
      <c r="AT212" s="39"/>
      <c r="AU212" s="39"/>
      <c r="AV212" s="39"/>
      <c r="AW212" s="39"/>
      <c r="AX212" s="39"/>
      <c r="AY212" s="39"/>
    </row>
    <row r="213" spans="3:51" x14ac:dyDescent="0.2">
      <c r="C213" s="71"/>
      <c r="D213" s="82"/>
      <c r="E213" s="82"/>
      <c r="F213" s="82"/>
      <c r="G213" s="82"/>
      <c r="H213" s="119"/>
      <c r="I213" s="91"/>
      <c r="J213" s="1107"/>
      <c r="K213" s="204"/>
      <c r="L213" s="204"/>
      <c r="M213" s="204"/>
      <c r="N213" s="119"/>
      <c r="O213" s="91"/>
      <c r="P213" s="82"/>
      <c r="Q213" s="82"/>
      <c r="R213" s="82"/>
      <c r="S213" s="203"/>
      <c r="T213" s="82"/>
      <c r="U213" s="120"/>
      <c r="V213" s="82"/>
      <c r="W213" s="82"/>
      <c r="X213" s="82"/>
      <c r="Y213" s="201"/>
      <c r="Z213" s="95"/>
      <c r="AA213" s="82"/>
      <c r="AB213" s="39"/>
      <c r="AC213" s="39"/>
      <c r="AD213" s="39"/>
      <c r="AE213" s="39"/>
      <c r="AF213" s="39"/>
      <c r="AG213" s="52"/>
      <c r="AH213" s="52"/>
      <c r="AI213" s="52"/>
      <c r="AJ213" s="52"/>
      <c r="AK213" s="52"/>
      <c r="AL213" s="39"/>
      <c r="AM213" s="39"/>
      <c r="AN213" s="39"/>
      <c r="AO213" s="39"/>
      <c r="AP213" s="39"/>
      <c r="AQ213" s="39"/>
      <c r="AR213" s="39"/>
      <c r="AS213" s="39"/>
      <c r="AT213" s="39"/>
      <c r="AU213" s="39"/>
      <c r="AV213" s="39"/>
      <c r="AW213" s="39"/>
      <c r="AX213" s="39"/>
      <c r="AY213" s="39"/>
    </row>
    <row r="214" spans="3:51" x14ac:dyDescent="0.2">
      <c r="C214" s="4"/>
      <c r="D214" s="82"/>
      <c r="E214" s="82"/>
      <c r="F214" s="82"/>
      <c r="G214" s="408" t="s">
        <v>70</v>
      </c>
      <c r="H214" s="119">
        <f>SUM(H205,H207,H209,H211,)</f>
        <v>16037505</v>
      </c>
      <c r="I214" s="91"/>
      <c r="J214" s="204"/>
      <c r="K214" s="204">
        <f>SUM(K205:K211)</f>
        <v>14360766</v>
      </c>
      <c r="L214" s="252" t="s">
        <v>105</v>
      </c>
      <c r="M214" s="204"/>
      <c r="N214" s="119"/>
      <c r="O214" s="91"/>
      <c r="P214" s="82"/>
      <c r="Q214" s="82"/>
      <c r="R214" s="82"/>
      <c r="S214" s="203"/>
      <c r="T214" s="82"/>
      <c r="U214" s="120"/>
      <c r="V214" s="82"/>
      <c r="W214" s="82"/>
      <c r="X214" s="82"/>
      <c r="Y214" s="201"/>
      <c r="Z214" s="95"/>
      <c r="AA214" s="82"/>
      <c r="AB214" s="39"/>
      <c r="AC214" s="39"/>
      <c r="AD214" s="39"/>
      <c r="AE214" s="39"/>
      <c r="AF214" s="39"/>
      <c r="AG214" s="52"/>
      <c r="AH214" s="52"/>
      <c r="AI214" s="52"/>
      <c r="AJ214" s="52"/>
      <c r="AK214" s="52"/>
      <c r="AL214" s="39"/>
      <c r="AM214" s="39"/>
      <c r="AN214" s="39"/>
      <c r="AO214" s="39"/>
      <c r="AP214" s="39"/>
      <c r="AQ214" s="39"/>
      <c r="AR214" s="39"/>
      <c r="AS214" s="39"/>
      <c r="AT214" s="39"/>
      <c r="AU214" s="39"/>
      <c r="AV214" s="39"/>
      <c r="AW214" s="39"/>
      <c r="AX214" s="39"/>
      <c r="AY214" s="39"/>
    </row>
    <row r="215" spans="3:51" x14ac:dyDescent="0.2">
      <c r="C215" s="25" t="s">
        <v>138</v>
      </c>
      <c r="D215" s="82"/>
      <c r="E215" s="82"/>
      <c r="F215" s="82"/>
      <c r="G215" s="82"/>
      <c r="H215" s="122"/>
      <c r="I215" s="122"/>
      <c r="J215" s="203"/>
      <c r="K215" s="252"/>
      <c r="L215" s="252"/>
      <c r="M215" s="252"/>
      <c r="N215" s="122"/>
      <c r="O215" s="119"/>
      <c r="P215" s="91"/>
      <c r="Q215" s="91"/>
      <c r="R215" s="91"/>
      <c r="S215" s="203"/>
      <c r="T215" s="91"/>
      <c r="U215" s="118"/>
      <c r="V215" s="91"/>
      <c r="W215" s="4232"/>
      <c r="X215" s="4230"/>
      <c r="Y215" s="4230"/>
      <c r="Z215" s="4230"/>
      <c r="AA215" s="82"/>
      <c r="AB215" s="39"/>
      <c r="AC215" s="39"/>
      <c r="AD215" s="39"/>
      <c r="AE215" s="39"/>
      <c r="AF215" s="39"/>
      <c r="AG215" s="52"/>
      <c r="AH215" s="52"/>
      <c r="AI215" s="52"/>
      <c r="AJ215" s="52"/>
      <c r="AK215" s="52"/>
      <c r="AL215" s="39"/>
      <c r="AM215" s="39"/>
      <c r="AN215" s="39"/>
      <c r="AO215" s="39"/>
      <c r="AP215" s="39"/>
      <c r="AQ215" s="39"/>
      <c r="AR215" s="39"/>
      <c r="AS215" s="39"/>
      <c r="AT215" s="39"/>
      <c r="AU215" s="39"/>
      <c r="AV215" s="39"/>
      <c r="AW215" s="39"/>
      <c r="AX215" s="39"/>
      <c r="AY215" s="39"/>
    </row>
    <row r="216" spans="3:51" x14ac:dyDescent="0.2">
      <c r="C216" s="71" t="s">
        <v>333</v>
      </c>
      <c r="D216" s="82"/>
      <c r="E216" s="82"/>
      <c r="F216" s="82"/>
      <c r="G216" s="82"/>
      <c r="H216" s="123">
        <f>'4. Jobs'!$G$131</f>
        <v>1885</v>
      </c>
      <c r="I216" s="123"/>
      <c r="J216" s="257"/>
      <c r="K216" s="248"/>
      <c r="L216" s="253"/>
      <c r="M216" s="253"/>
      <c r="N216" s="123"/>
      <c r="O216" s="119"/>
      <c r="P216" s="91"/>
      <c r="Q216" s="91"/>
      <c r="R216" s="91"/>
      <c r="S216" s="203"/>
      <c r="T216" s="91"/>
      <c r="U216" s="118"/>
      <c r="V216" s="91"/>
      <c r="W216" s="4232"/>
      <c r="X216" s="4230"/>
      <c r="Y216" s="117"/>
      <c r="Z216" s="117"/>
      <c r="AA216" s="82"/>
      <c r="AB216" s="39"/>
      <c r="AC216" s="39"/>
      <c r="AD216" s="39"/>
      <c r="AE216" s="39"/>
      <c r="AF216" s="39"/>
      <c r="AG216" s="52"/>
      <c r="AH216" s="52"/>
      <c r="AI216" s="52"/>
      <c r="AJ216" s="52"/>
      <c r="AK216" s="52"/>
      <c r="AL216" s="39"/>
      <c r="AM216" s="39"/>
      <c r="AN216" s="39"/>
      <c r="AO216" s="39"/>
      <c r="AP216" s="39"/>
      <c r="AQ216" s="39"/>
      <c r="AR216" s="39"/>
      <c r="AS216" s="39"/>
      <c r="AT216" s="39"/>
      <c r="AU216" s="39"/>
      <c r="AV216" s="39"/>
      <c r="AW216" s="39"/>
      <c r="AX216" s="39"/>
      <c r="AY216" s="39"/>
    </row>
    <row r="217" spans="3:51" x14ac:dyDescent="0.2">
      <c r="C217" s="71" t="s">
        <v>334</v>
      </c>
      <c r="D217" s="82"/>
      <c r="E217" s="82"/>
      <c r="F217" s="82"/>
      <c r="G217" s="82"/>
      <c r="H217" s="52">
        <f>'5. Payroll'!$E$131</f>
        <v>84024096</v>
      </c>
      <c r="I217" s="119"/>
      <c r="J217" s="203"/>
      <c r="K217" s="248"/>
      <c r="L217" s="204"/>
      <c r="M217" s="42"/>
      <c r="N217" s="52"/>
      <c r="O217" s="119"/>
      <c r="P217" s="91"/>
      <c r="Q217" s="91"/>
      <c r="R217" s="91"/>
      <c r="S217" s="203"/>
      <c r="T217" s="91"/>
      <c r="U217" s="118"/>
      <c r="V217" s="91"/>
      <c r="W217" s="91"/>
      <c r="X217" s="82"/>
      <c r="Y217" s="201"/>
      <c r="Z217" s="201"/>
      <c r="AA217" s="82"/>
      <c r="AB217" s="39"/>
      <c r="AC217" s="39"/>
      <c r="AD217" s="39"/>
      <c r="AE217" s="39"/>
      <c r="AF217" s="39"/>
      <c r="AG217" s="52"/>
      <c r="AH217" s="52"/>
      <c r="AI217" s="52"/>
      <c r="AJ217" s="52"/>
      <c r="AK217" s="52"/>
      <c r="AL217" s="39"/>
      <c r="AM217" s="39"/>
      <c r="AN217" s="39"/>
      <c r="AO217" s="39"/>
      <c r="AP217" s="39"/>
      <c r="AQ217" s="39"/>
      <c r="AR217" s="39"/>
      <c r="AS217" s="39"/>
      <c r="AT217" s="39"/>
      <c r="AU217" s="39"/>
      <c r="AV217" s="39"/>
      <c r="AW217" s="39"/>
      <c r="AX217" s="39"/>
      <c r="AY217" s="39"/>
    </row>
    <row r="218" spans="3:51" x14ac:dyDescent="0.2">
      <c r="C218" s="71" t="s">
        <v>57</v>
      </c>
      <c r="D218" s="82"/>
      <c r="E218" s="82"/>
      <c r="F218" s="82"/>
      <c r="G218" s="82"/>
      <c r="H218" s="52">
        <f>'5a. Weighted Avg Wage'!$E$195</f>
        <v>44959.804244031831</v>
      </c>
      <c r="I218" s="119"/>
      <c r="J218" s="203"/>
      <c r="K218" s="248"/>
      <c r="L218" s="204"/>
      <c r="M218" s="42"/>
      <c r="N218" s="52"/>
      <c r="O218" s="119"/>
      <c r="P218" s="91"/>
      <c r="Q218" s="91"/>
      <c r="R218" s="91"/>
      <c r="S218" s="203"/>
      <c r="T218" s="91"/>
      <c r="U218" s="118"/>
      <c r="V218" s="91"/>
      <c r="W218" s="82"/>
      <c r="X218" s="82"/>
      <c r="Y218" s="82"/>
      <c r="Z218" s="82"/>
      <c r="AA218" s="82"/>
      <c r="AB218" s="39"/>
      <c r="AC218" s="39"/>
      <c r="AD218" s="39"/>
      <c r="AE218" s="39"/>
      <c r="AF218" s="39"/>
      <c r="AG218" s="52"/>
      <c r="AH218" s="52"/>
      <c r="AI218" s="52"/>
      <c r="AJ218" s="52"/>
      <c r="AK218" s="52"/>
      <c r="AL218" s="39"/>
      <c r="AM218" s="39"/>
      <c r="AN218" s="39"/>
      <c r="AO218" s="39"/>
      <c r="AP218" s="39"/>
      <c r="AQ218" s="39"/>
      <c r="AR218" s="39"/>
      <c r="AS218" s="39"/>
      <c r="AT218" s="39"/>
      <c r="AU218" s="39"/>
      <c r="AV218" s="39"/>
      <c r="AW218" s="39"/>
      <c r="AX218" s="39"/>
      <c r="AY218" s="39"/>
    </row>
    <row r="219" spans="3:51" x14ac:dyDescent="0.2">
      <c r="C219" s="71" t="s">
        <v>239</v>
      </c>
      <c r="D219" s="82"/>
      <c r="E219" s="82"/>
      <c r="F219" s="82"/>
      <c r="G219" s="82"/>
      <c r="H219" s="52">
        <f>'5a. Weighted Avg Wage'!$E$197</f>
        <v>54984.175412515964</v>
      </c>
      <c r="I219" s="119"/>
      <c r="J219" s="203"/>
      <c r="K219" s="204"/>
      <c r="L219" s="204"/>
      <c r="M219" s="42"/>
      <c r="N219" s="52"/>
      <c r="O219" s="119"/>
      <c r="P219" s="91"/>
      <c r="Q219" s="91"/>
      <c r="R219" s="91"/>
      <c r="S219" s="203"/>
      <c r="T219" s="91"/>
      <c r="U219" s="118"/>
      <c r="V219" s="91"/>
      <c r="W219" s="4254"/>
      <c r="X219" s="4231"/>
      <c r="Y219" s="201"/>
      <c r="Z219" s="238"/>
      <c r="AA219" s="82"/>
      <c r="AB219" s="39"/>
      <c r="AC219" s="39"/>
      <c r="AD219" s="39"/>
      <c r="AE219" s="39"/>
      <c r="AF219" s="39"/>
      <c r="AG219" s="52"/>
      <c r="AH219" s="52"/>
      <c r="AI219" s="52"/>
      <c r="AJ219" s="52"/>
      <c r="AK219" s="52"/>
      <c r="AL219" s="39"/>
      <c r="AM219" s="39"/>
      <c r="AN219" s="39"/>
      <c r="AO219" s="39"/>
      <c r="AP219" s="39"/>
      <c r="AQ219" s="39"/>
      <c r="AR219" s="39"/>
      <c r="AS219" s="39"/>
      <c r="AT219" s="39"/>
      <c r="AU219" s="39"/>
      <c r="AV219" s="39"/>
      <c r="AW219" s="39"/>
      <c r="AX219" s="39"/>
      <c r="AY219" s="39"/>
    </row>
    <row r="220" spans="3:51" x14ac:dyDescent="0.2">
      <c r="C220" s="71" t="s">
        <v>335</v>
      </c>
      <c r="D220" s="82"/>
      <c r="E220" s="82"/>
      <c r="F220" s="82"/>
      <c r="G220" s="82"/>
      <c r="H220" s="119">
        <f>'6. Capex'!$E$132</f>
        <v>137131025</v>
      </c>
      <c r="I220" s="119"/>
      <c r="J220" s="203"/>
      <c r="K220" s="204"/>
      <c r="L220" s="204"/>
      <c r="M220" s="204"/>
      <c r="N220" s="119"/>
      <c r="O220" s="119"/>
      <c r="P220" s="91"/>
      <c r="Q220" s="91"/>
      <c r="R220" s="91"/>
      <c r="S220" s="203"/>
      <c r="T220" s="91"/>
      <c r="U220" s="118"/>
      <c r="V220" s="91"/>
      <c r="W220" s="4254"/>
      <c r="X220" s="4231"/>
      <c r="Y220" s="201"/>
      <c r="Z220" s="238"/>
      <c r="AA220" s="95"/>
      <c r="AB220" s="39"/>
      <c r="AC220" s="39"/>
      <c r="AD220" s="39"/>
      <c r="AE220" s="39"/>
      <c r="AF220" s="39"/>
      <c r="AG220" s="52"/>
      <c r="AH220" s="52"/>
      <c r="AI220" s="52"/>
      <c r="AJ220" s="52"/>
      <c r="AK220" s="52"/>
      <c r="AL220" s="39"/>
      <c r="AM220" s="39"/>
      <c r="AN220" s="39"/>
      <c r="AO220" s="39"/>
      <c r="AP220" s="39"/>
      <c r="AQ220" s="39"/>
      <c r="AR220" s="39"/>
      <c r="AS220" s="39"/>
      <c r="AT220" s="39"/>
      <c r="AU220" s="39"/>
      <c r="AV220" s="39"/>
      <c r="AW220" s="39"/>
      <c r="AX220" s="39"/>
      <c r="AY220" s="39"/>
    </row>
    <row r="221" spans="3:51" x14ac:dyDescent="0.2">
      <c r="C221" s="25" t="s">
        <v>139</v>
      </c>
      <c r="D221" s="82"/>
      <c r="E221" s="82"/>
      <c r="F221" s="82"/>
      <c r="G221" s="82"/>
      <c r="H221" s="119"/>
      <c r="I221" s="119"/>
      <c r="J221" s="203"/>
      <c r="K221" s="248"/>
      <c r="L221" s="204"/>
      <c r="M221" s="204"/>
      <c r="N221" s="119"/>
      <c r="O221" s="119"/>
      <c r="P221" s="91"/>
      <c r="Q221" s="91"/>
      <c r="R221" s="91"/>
      <c r="S221" s="203"/>
      <c r="T221" s="91"/>
      <c r="U221" s="118"/>
      <c r="V221" s="91"/>
      <c r="W221" s="4254"/>
      <c r="X221" s="4231"/>
      <c r="Y221" s="201"/>
      <c r="Z221" s="238"/>
      <c r="AA221" s="82"/>
      <c r="AB221" s="39"/>
      <c r="AC221" s="39"/>
      <c r="AD221" s="39"/>
      <c r="AE221" s="39"/>
      <c r="AF221" s="39"/>
      <c r="AG221" s="52"/>
      <c r="AH221" s="52"/>
      <c r="AI221" s="52"/>
      <c r="AJ221" s="52"/>
      <c r="AK221" s="52"/>
      <c r="AL221" s="39"/>
      <c r="AM221" s="39"/>
      <c r="AN221" s="39"/>
      <c r="AO221" s="39"/>
      <c r="AP221" s="39"/>
      <c r="AQ221" s="39"/>
      <c r="AR221" s="39"/>
      <c r="AS221" s="39"/>
      <c r="AT221" s="39"/>
      <c r="AU221" s="39"/>
      <c r="AV221" s="39"/>
      <c r="AW221" s="39"/>
      <c r="AX221" s="39"/>
      <c r="AY221" s="39"/>
    </row>
    <row r="222" spans="3:51" x14ac:dyDescent="0.2">
      <c r="C222" s="71" t="s">
        <v>336</v>
      </c>
      <c r="D222" s="82"/>
      <c r="E222" s="82"/>
      <c r="F222" s="82"/>
      <c r="G222" s="82"/>
      <c r="H222" s="119">
        <f>H226</f>
        <v>43395322</v>
      </c>
      <c r="I222" s="119"/>
      <c r="J222" s="203"/>
      <c r="K222" s="248"/>
      <c r="L222" s="204"/>
      <c r="M222" s="204"/>
      <c r="N222" s="119"/>
      <c r="O222" s="119"/>
      <c r="P222" s="91"/>
      <c r="Q222" s="91"/>
      <c r="R222" s="91"/>
      <c r="S222" s="203"/>
      <c r="T222" s="91"/>
      <c r="U222" s="118"/>
      <c r="V222" s="91"/>
      <c r="W222" s="4254"/>
      <c r="X222" s="4231"/>
      <c r="Y222" s="201"/>
      <c r="Z222" s="238"/>
      <c r="AA222" s="95"/>
      <c r="AB222" s="39"/>
      <c r="AC222" s="39"/>
      <c r="AD222" s="39"/>
      <c r="AE222" s="39"/>
      <c r="AF222" s="39"/>
      <c r="AG222" s="52"/>
      <c r="AH222" s="52"/>
      <c r="AI222" s="52"/>
      <c r="AJ222" s="52"/>
      <c r="AK222" s="52"/>
      <c r="AL222" s="39"/>
      <c r="AM222" s="39"/>
      <c r="AN222" s="39"/>
      <c r="AO222" s="39"/>
      <c r="AP222" s="39"/>
      <c r="AQ222" s="39"/>
      <c r="AR222" s="39"/>
      <c r="AS222" s="39"/>
      <c r="AT222" s="39"/>
      <c r="AU222" s="39"/>
      <c r="AV222" s="39"/>
      <c r="AW222" s="39"/>
      <c r="AX222" s="39"/>
      <c r="AY222" s="39"/>
    </row>
    <row r="223" spans="3:51" x14ac:dyDescent="0.2">
      <c r="C223" s="121" t="s">
        <v>337</v>
      </c>
      <c r="D223" s="82"/>
      <c r="E223" s="82"/>
      <c r="F223" s="82"/>
      <c r="G223" s="82"/>
      <c r="H223" s="119">
        <f>H232</f>
        <v>30975840</v>
      </c>
      <c r="I223" s="119"/>
      <c r="J223" s="203"/>
      <c r="K223" s="248"/>
      <c r="L223" s="204"/>
      <c r="M223" s="204"/>
      <c r="N223" s="119"/>
      <c r="O223" s="119"/>
      <c r="P223" s="91"/>
      <c r="Q223" s="91"/>
      <c r="R223" s="91"/>
      <c r="S223" s="258"/>
      <c r="T223" s="91"/>
      <c r="U223" s="118"/>
      <c r="V223" s="91"/>
      <c r="W223" s="4254"/>
      <c r="X223" s="4231"/>
      <c r="Y223" s="201"/>
      <c r="Z223" s="238"/>
      <c r="AA223" s="82"/>
      <c r="AB223" s="39"/>
      <c r="AC223" s="39"/>
      <c r="AD223" s="39"/>
      <c r="AE223" s="39"/>
      <c r="AF223" s="39"/>
      <c r="AG223" s="52"/>
      <c r="AH223" s="52"/>
      <c r="AI223" s="52"/>
      <c r="AJ223" s="52"/>
      <c r="AK223" s="52"/>
      <c r="AL223" s="39"/>
      <c r="AM223" s="39"/>
      <c r="AN223" s="39"/>
      <c r="AO223" s="39"/>
      <c r="AP223" s="39"/>
      <c r="AQ223" s="39"/>
      <c r="AR223" s="39"/>
      <c r="AS223" s="39"/>
      <c r="AT223" s="39"/>
      <c r="AU223" s="39"/>
      <c r="AV223" s="39"/>
      <c r="AW223" s="39"/>
      <c r="AX223" s="39"/>
      <c r="AY223" s="39"/>
    </row>
    <row r="224" spans="3:51" ht="13.5" thickBot="1" x14ac:dyDescent="0.25">
      <c r="C224" s="124" t="s">
        <v>343</v>
      </c>
      <c r="D224" s="125"/>
      <c r="E224" s="125"/>
      <c r="F224" s="125"/>
      <c r="G224" s="125"/>
      <c r="H224" s="126">
        <f>H233</f>
        <v>12419482</v>
      </c>
      <c r="I224" s="126"/>
      <c r="J224" s="258"/>
      <c r="K224" s="248"/>
      <c r="L224" s="235"/>
      <c r="M224" s="235"/>
      <c r="N224" s="126"/>
      <c r="O224" s="127"/>
      <c r="P224" s="128"/>
      <c r="Q224" s="128"/>
      <c r="R224" s="128"/>
      <c r="S224" s="203"/>
      <c r="T224" s="128"/>
      <c r="U224" s="129"/>
      <c r="V224" s="91"/>
      <c r="W224" s="4254"/>
      <c r="X224" s="4231"/>
      <c r="Y224" s="201"/>
      <c r="Z224" s="238"/>
      <c r="AA224" s="82"/>
      <c r="AB224" s="39"/>
      <c r="AC224" s="39"/>
      <c r="AD224" s="39"/>
      <c r="AE224" s="39"/>
      <c r="AF224" s="39"/>
      <c r="AG224" s="52"/>
      <c r="AH224" s="52"/>
      <c r="AI224" s="52"/>
      <c r="AJ224" s="52"/>
      <c r="AK224" s="52"/>
      <c r="AL224" s="39"/>
      <c r="AM224" s="39"/>
      <c r="AN224" s="39"/>
      <c r="AO224" s="39"/>
      <c r="AP224" s="39"/>
      <c r="AQ224" s="39"/>
      <c r="AR224" s="39"/>
      <c r="AS224" s="39"/>
      <c r="AT224" s="39"/>
      <c r="AU224" s="39"/>
      <c r="AV224" s="39"/>
      <c r="AW224" s="39"/>
      <c r="AX224" s="39"/>
      <c r="AY224" s="39"/>
    </row>
    <row r="225" spans="3:51" ht="13.5" thickTop="1" x14ac:dyDescent="0.2">
      <c r="C225" s="25"/>
      <c r="D225" s="82"/>
      <c r="E225" s="82"/>
      <c r="F225" s="82"/>
      <c r="G225" s="82"/>
      <c r="H225" s="119"/>
      <c r="I225" s="119"/>
      <c r="J225" s="202"/>
      <c r="K225" s="259"/>
      <c r="L225" s="204"/>
      <c r="M225" s="204"/>
      <c r="N225" s="119"/>
      <c r="O225" s="119"/>
      <c r="P225" s="91"/>
      <c r="Q225" s="91"/>
      <c r="R225" s="91"/>
      <c r="S225" s="202"/>
      <c r="T225" s="91"/>
      <c r="U225" s="118"/>
      <c r="V225" s="91"/>
      <c r="W225" s="4254"/>
      <c r="X225" s="4231"/>
      <c r="Y225" s="201"/>
      <c r="Z225" s="238"/>
      <c r="AA225" s="82"/>
      <c r="AB225" s="39"/>
      <c r="AC225" s="39"/>
      <c r="AD225" s="39"/>
      <c r="AE225" s="39"/>
      <c r="AF225" s="39"/>
      <c r="AG225" s="52"/>
      <c r="AH225" s="52"/>
      <c r="AI225" s="52"/>
      <c r="AJ225" s="52"/>
      <c r="AK225" s="52"/>
      <c r="AL225" s="39"/>
      <c r="AM225" s="39"/>
      <c r="AN225" s="39"/>
      <c r="AO225" s="39"/>
      <c r="AP225" s="39"/>
      <c r="AQ225" s="39"/>
      <c r="AR225" s="39"/>
      <c r="AS225" s="39"/>
      <c r="AT225" s="39"/>
      <c r="AU225" s="39"/>
      <c r="AV225" s="39"/>
      <c r="AW225" s="39"/>
      <c r="AX225" s="39"/>
      <c r="AY225" s="39"/>
    </row>
    <row r="226" spans="3:51" x14ac:dyDescent="0.2">
      <c r="C226" s="71" t="s">
        <v>336</v>
      </c>
      <c r="D226" s="82"/>
      <c r="E226" s="82"/>
      <c r="F226" s="82"/>
      <c r="G226" s="82"/>
      <c r="H226" s="119">
        <f>'7. Cost-Benefit'!$Z$156</f>
        <v>43395322</v>
      </c>
      <c r="I226" s="119"/>
      <c r="J226" s="203"/>
      <c r="K226" s="248"/>
      <c r="L226" s="204"/>
      <c r="M226" s="204"/>
      <c r="N226" s="119"/>
      <c r="O226" s="119"/>
      <c r="P226" s="91"/>
      <c r="Q226" s="91"/>
      <c r="R226" s="91"/>
      <c r="S226" s="203"/>
      <c r="T226" s="91"/>
      <c r="U226" s="118"/>
      <c r="V226" s="91"/>
      <c r="W226" s="4254"/>
      <c r="X226" s="4231"/>
      <c r="Y226" s="201"/>
      <c r="Z226" s="238"/>
      <c r="AA226" s="82"/>
      <c r="AB226" s="39"/>
      <c r="AC226" s="39"/>
      <c r="AD226" s="39"/>
      <c r="AE226" s="39"/>
      <c r="AF226" s="39"/>
      <c r="AG226" s="52"/>
      <c r="AH226" s="52"/>
      <c r="AI226" s="52"/>
      <c r="AJ226" s="52"/>
      <c r="AK226" s="52"/>
      <c r="AL226" s="39"/>
      <c r="AM226" s="39"/>
      <c r="AN226" s="39"/>
      <c r="AO226" s="39"/>
      <c r="AP226" s="39"/>
      <c r="AQ226" s="39"/>
      <c r="AR226" s="39"/>
      <c r="AS226" s="39"/>
      <c r="AT226" s="39"/>
      <c r="AU226" s="39"/>
      <c r="AV226" s="39"/>
      <c r="AW226" s="39"/>
      <c r="AX226" s="39"/>
      <c r="AY226" s="39"/>
    </row>
    <row r="227" spans="3:51" x14ac:dyDescent="0.2">
      <c r="C227" s="71" t="s">
        <v>368</v>
      </c>
      <c r="D227" s="82"/>
      <c r="E227" s="82"/>
      <c r="F227" s="82"/>
      <c r="G227" s="82"/>
      <c r="H227" s="119">
        <f>'7. Cost-Benefit'!$AA$156</f>
        <v>17339827</v>
      </c>
      <c r="I227" s="119"/>
      <c r="J227" s="203"/>
      <c r="K227" s="74"/>
      <c r="L227" s="204"/>
      <c r="M227" s="204"/>
      <c r="N227" s="119"/>
      <c r="O227" s="119"/>
      <c r="P227" s="91"/>
      <c r="Q227" s="91"/>
      <c r="R227" s="91"/>
      <c r="S227" s="91"/>
      <c r="T227" s="91"/>
      <c r="U227" s="118"/>
      <c r="V227" s="91"/>
      <c r="W227" s="94"/>
      <c r="X227" s="81"/>
      <c r="Y227" s="201"/>
      <c r="Z227" s="238"/>
      <c r="AA227" s="82"/>
      <c r="AB227" s="39"/>
      <c r="AC227" s="39"/>
      <c r="AD227" s="39"/>
      <c r="AE227" s="39"/>
      <c r="AF227" s="39"/>
      <c r="AG227" s="52"/>
      <c r="AH227" s="52"/>
      <c r="AI227" s="52"/>
      <c r="AJ227" s="52"/>
      <c r="AK227" s="52"/>
      <c r="AL227" s="39"/>
      <c r="AM227" s="39"/>
      <c r="AN227" s="39"/>
      <c r="AO227" s="39"/>
      <c r="AP227" s="39"/>
      <c r="AQ227" s="39"/>
      <c r="AR227" s="39"/>
      <c r="AS227" s="39"/>
      <c r="AT227" s="39"/>
      <c r="AU227" s="39"/>
      <c r="AV227" s="39"/>
      <c r="AW227" s="39"/>
      <c r="AX227" s="39"/>
      <c r="AY227" s="39"/>
    </row>
    <row r="228" spans="3:51" x14ac:dyDescent="0.2">
      <c r="C228" s="71" t="s">
        <v>344</v>
      </c>
      <c r="D228" s="82"/>
      <c r="E228" s="82"/>
      <c r="F228" s="82"/>
      <c r="G228" s="82"/>
      <c r="H228" s="119">
        <f>H226-H227</f>
        <v>26055495</v>
      </c>
      <c r="I228" s="119"/>
      <c r="J228" s="204"/>
      <c r="K228" s="204"/>
      <c r="L228" s="204"/>
      <c r="M228" s="204"/>
      <c r="N228" s="119"/>
      <c r="O228" s="119"/>
      <c r="P228" s="91"/>
      <c r="Q228" s="91"/>
      <c r="R228" s="91"/>
      <c r="S228" s="91"/>
      <c r="T228" s="91"/>
      <c r="U228" s="118"/>
      <c r="V228" s="91"/>
      <c r="W228" s="82"/>
      <c r="X228" s="82"/>
      <c r="Y228" s="82"/>
      <c r="Z228" s="82"/>
      <c r="AA228" s="82"/>
      <c r="AB228" s="39"/>
      <c r="AC228" s="39"/>
      <c r="AD228" s="39"/>
      <c r="AE228" s="39"/>
      <c r="AF228" s="39"/>
      <c r="AG228" s="52"/>
      <c r="AH228" s="52"/>
      <c r="AI228" s="52"/>
      <c r="AJ228" s="52"/>
      <c r="AK228" s="52"/>
      <c r="AL228" s="39"/>
      <c r="AM228" s="39"/>
      <c r="AN228" s="39"/>
      <c r="AO228" s="39"/>
      <c r="AP228" s="39"/>
      <c r="AQ228" s="39"/>
      <c r="AR228" s="39"/>
      <c r="AS228" s="39"/>
      <c r="AT228" s="39"/>
      <c r="AU228" s="39"/>
      <c r="AV228" s="39"/>
      <c r="AW228" s="39"/>
      <c r="AX228" s="39"/>
      <c r="AY228" s="39"/>
    </row>
    <row r="229" spans="3:51" x14ac:dyDescent="0.2">
      <c r="C229" s="71" t="s">
        <v>345</v>
      </c>
      <c r="D229" s="82"/>
      <c r="E229" s="82"/>
      <c r="F229" s="82"/>
      <c r="G229" s="82"/>
      <c r="H229" s="119">
        <f>'7. Cost-Benefit'!$AC$156</f>
        <v>21361212.199999999</v>
      </c>
      <c r="I229" s="119"/>
      <c r="J229" s="204"/>
      <c r="K229" s="204"/>
      <c r="L229" s="204"/>
      <c r="M229" s="204"/>
      <c r="N229" s="119"/>
      <c r="O229" s="119"/>
      <c r="P229" s="91"/>
      <c r="Q229" s="91"/>
      <c r="R229" s="91"/>
      <c r="S229" s="91"/>
      <c r="T229" s="91"/>
      <c r="U229" s="118"/>
      <c r="V229" s="91"/>
      <c r="W229" s="4229"/>
      <c r="X229" s="4229"/>
      <c r="Y229" s="4229"/>
      <c r="Z229" s="4229"/>
      <c r="AA229" s="4229"/>
      <c r="AB229" s="39"/>
      <c r="AC229" s="39"/>
      <c r="AD229" s="39"/>
      <c r="AE229" s="39"/>
      <c r="AF229" s="39"/>
      <c r="AG229" s="52"/>
      <c r="AH229" s="52"/>
      <c r="AI229" s="52"/>
      <c r="AJ229" s="52"/>
      <c r="AK229" s="52"/>
      <c r="AL229" s="39"/>
      <c r="AM229" s="39"/>
      <c r="AN229" s="39"/>
      <c r="AO229" s="39"/>
      <c r="AP229" s="39"/>
      <c r="AQ229" s="39"/>
      <c r="AR229" s="39"/>
      <c r="AS229" s="39"/>
      <c r="AT229" s="39"/>
      <c r="AU229" s="39"/>
      <c r="AV229" s="39"/>
      <c r="AW229" s="39"/>
      <c r="AX229" s="39"/>
      <c r="AY229" s="39"/>
    </row>
    <row r="230" spans="3:51" x14ac:dyDescent="0.2">
      <c r="C230" s="71" t="s">
        <v>346</v>
      </c>
      <c r="D230" s="82"/>
      <c r="E230" s="82"/>
      <c r="F230" s="82"/>
      <c r="G230" s="82"/>
      <c r="H230" s="119">
        <f>'7. Cost-Benefit'!$AG$156</f>
        <v>23891192.181093894</v>
      </c>
      <c r="I230" s="130" t="s">
        <v>109</v>
      </c>
      <c r="J230" s="204"/>
      <c r="K230" s="204"/>
      <c r="L230" s="204"/>
      <c r="M230" s="204"/>
      <c r="N230" s="119"/>
      <c r="P230" s="91"/>
      <c r="Q230" s="91"/>
      <c r="R230" s="91"/>
      <c r="S230" s="91"/>
      <c r="T230" s="91"/>
      <c r="U230" s="118"/>
      <c r="V230" s="91"/>
      <c r="W230" s="117"/>
      <c r="X230" s="117"/>
      <c r="Y230" s="117"/>
      <c r="Z230" s="117"/>
      <c r="AA230" s="117"/>
      <c r="AB230" s="39"/>
      <c r="AC230" s="39"/>
      <c r="AD230" s="39"/>
      <c r="AE230" s="39"/>
      <c r="AF230" s="39"/>
      <c r="AG230" s="52"/>
      <c r="AH230" s="52"/>
      <c r="AI230" s="52"/>
      <c r="AJ230" s="52"/>
      <c r="AK230" s="52"/>
      <c r="AL230" s="39"/>
      <c r="AM230" s="39"/>
      <c r="AN230" s="39"/>
      <c r="AO230" s="39"/>
      <c r="AP230" s="39"/>
      <c r="AQ230" s="39"/>
      <c r="AR230" s="39"/>
      <c r="AS230" s="39"/>
      <c r="AT230" s="39"/>
      <c r="AU230" s="39"/>
      <c r="AV230" s="39"/>
      <c r="AW230" s="39"/>
      <c r="AX230" s="39"/>
      <c r="AY230" s="39"/>
    </row>
    <row r="231" spans="3:51" x14ac:dyDescent="0.2">
      <c r="C231" s="71" t="s">
        <v>369</v>
      </c>
      <c r="D231" s="82"/>
      <c r="E231" s="82"/>
      <c r="F231" s="82"/>
      <c r="G231" s="82"/>
      <c r="H231" s="119">
        <f>'7. Cost-Benefit'!$AH$156</f>
        <v>13636013</v>
      </c>
      <c r="I231" s="119"/>
      <c r="J231" s="204"/>
      <c r="K231" s="204"/>
      <c r="L231" s="204"/>
      <c r="M231" s="204"/>
      <c r="N231" s="119"/>
      <c r="O231" s="119"/>
      <c r="P231" s="91"/>
      <c r="Q231" s="91"/>
      <c r="R231" s="91"/>
      <c r="S231" s="91"/>
      <c r="T231" s="91"/>
      <c r="U231" s="118"/>
      <c r="V231" s="91"/>
      <c r="W231" s="82"/>
      <c r="X231" s="82"/>
      <c r="Y231" s="82"/>
      <c r="Z231" s="201"/>
      <c r="AA231" s="238"/>
      <c r="AB231" s="39"/>
      <c r="AC231" s="39"/>
      <c r="AD231" s="39"/>
      <c r="AE231" s="39"/>
      <c r="AF231" s="39"/>
      <c r="AG231" s="52"/>
      <c r="AH231" s="52"/>
      <c r="AI231" s="52"/>
      <c r="AJ231" s="52"/>
      <c r="AK231" s="52"/>
      <c r="AL231" s="39"/>
      <c r="AM231" s="39"/>
      <c r="AN231" s="39"/>
      <c r="AO231" s="39"/>
      <c r="AP231" s="39"/>
      <c r="AQ231" s="39"/>
      <c r="AR231" s="39"/>
      <c r="AS231" s="39"/>
      <c r="AT231" s="39"/>
      <c r="AU231" s="39"/>
      <c r="AV231" s="39"/>
      <c r="AW231" s="39"/>
      <c r="AX231" s="39"/>
      <c r="AY231" s="39"/>
    </row>
    <row r="232" spans="3:51" x14ac:dyDescent="0.2">
      <c r="C232" s="71" t="s">
        <v>111</v>
      </c>
      <c r="D232" s="82"/>
      <c r="E232" s="82"/>
      <c r="F232" s="82"/>
      <c r="G232" s="82"/>
      <c r="H232" s="1">
        <f>H227+H231</f>
        <v>30975840</v>
      </c>
      <c r="I232" s="119">
        <f>'7. Cost-Benefit'!$AI$156</f>
        <v>30975838</v>
      </c>
      <c r="J232" s="1896" t="s">
        <v>969</v>
      </c>
      <c r="K232" s="204"/>
      <c r="L232" s="204"/>
      <c r="M232" s="204"/>
      <c r="N232" s="119"/>
      <c r="O232" s="119"/>
      <c r="P232" s="91"/>
      <c r="Q232" s="91"/>
      <c r="R232" s="91"/>
      <c r="S232" s="91"/>
      <c r="T232" s="91"/>
      <c r="U232" s="118"/>
      <c r="V232" s="96"/>
      <c r="W232" s="82"/>
      <c r="X232" s="82"/>
      <c r="Y232" s="82"/>
      <c r="Z232" s="201"/>
      <c r="AA232" s="238"/>
      <c r="AB232" s="39"/>
      <c r="AC232" s="39"/>
      <c r="AD232" s="39"/>
      <c r="AE232" s="39"/>
      <c r="AF232" s="39"/>
      <c r="AG232" s="52"/>
      <c r="AH232" s="52"/>
      <c r="AI232" s="52"/>
      <c r="AJ232" s="52"/>
      <c r="AK232" s="52"/>
      <c r="AL232" s="39"/>
      <c r="AM232" s="39"/>
      <c r="AN232" s="39"/>
      <c r="AO232" s="39"/>
      <c r="AP232" s="39"/>
      <c r="AQ232" s="39"/>
      <c r="AR232" s="39"/>
      <c r="AS232" s="39"/>
      <c r="AT232" s="39"/>
      <c r="AU232" s="39"/>
      <c r="AV232" s="39"/>
      <c r="AW232" s="39"/>
      <c r="AX232" s="39"/>
      <c r="AY232" s="39"/>
    </row>
    <row r="233" spans="3:51" ht="13.5" thickBot="1" x14ac:dyDescent="0.25">
      <c r="C233" s="131" t="s">
        <v>110</v>
      </c>
      <c r="D233" s="125"/>
      <c r="E233" s="125"/>
      <c r="F233" s="125"/>
      <c r="G233" s="125"/>
      <c r="H233" s="127">
        <f>H226-H232</f>
        <v>12419482</v>
      </c>
      <c r="I233" s="127">
        <f>'7. Cost-Benefit'!$AJ$156</f>
        <v>12419484</v>
      </c>
      <c r="J233" s="1896" t="s">
        <v>969</v>
      </c>
      <c r="K233" s="205"/>
      <c r="L233" s="205"/>
      <c r="M233" s="205"/>
      <c r="N233" s="127"/>
      <c r="O233" s="127"/>
      <c r="P233" s="128"/>
      <c r="Q233" s="128"/>
      <c r="R233" s="128"/>
      <c r="S233" s="128"/>
      <c r="T233" s="128"/>
      <c r="U233" s="129"/>
      <c r="V233" s="96"/>
      <c r="W233" s="82"/>
      <c r="X233" s="82"/>
      <c r="Y233" s="82"/>
      <c r="Z233" s="201"/>
      <c r="AA233" s="238"/>
      <c r="AB233" s="39"/>
      <c r="AC233" s="39"/>
      <c r="AD233" s="39"/>
      <c r="AE233" s="39"/>
      <c r="AF233" s="39"/>
      <c r="AG233" s="52"/>
      <c r="AH233" s="52"/>
      <c r="AI233" s="52"/>
      <c r="AJ233" s="52"/>
      <c r="AK233" s="52"/>
      <c r="AL233" s="39"/>
      <c r="AM233" s="39"/>
      <c r="AN233" s="39"/>
      <c r="AO233" s="39"/>
      <c r="AP233" s="39"/>
      <c r="AQ233" s="39"/>
      <c r="AR233" s="39"/>
      <c r="AS233" s="39"/>
      <c r="AT233" s="39"/>
      <c r="AU233" s="39"/>
      <c r="AV233" s="39"/>
      <c r="AW233" s="39"/>
      <c r="AX233" s="39"/>
      <c r="AY233" s="39"/>
    </row>
    <row r="234" spans="3:51" ht="13.5" thickTop="1" x14ac:dyDescent="0.2">
      <c r="C234" s="15"/>
      <c r="D234" s="5"/>
      <c r="E234" s="5"/>
      <c r="F234" s="5"/>
      <c r="G234" s="5"/>
      <c r="H234" s="6"/>
      <c r="I234" s="6">
        <f>SUM(S17,S30,S31,S41,S50,S51,S68,S75,S94,S99,S106,S109,S114,S115,S121,S125,S126,S133,S138,S139,S146,S147,S148,S155,S156,S163)</f>
        <v>11733279</v>
      </c>
      <c r="J234" s="1897" t="s">
        <v>970</v>
      </c>
      <c r="K234" s="207"/>
      <c r="L234" s="207"/>
      <c r="M234" s="207"/>
      <c r="N234" s="6"/>
      <c r="O234" s="6"/>
      <c r="P234" s="7"/>
      <c r="Q234" s="7"/>
      <c r="R234" s="7"/>
      <c r="S234" s="7"/>
      <c r="T234" s="7"/>
      <c r="U234" s="7"/>
      <c r="V234" s="91"/>
      <c r="W234" s="82"/>
      <c r="X234" s="82"/>
      <c r="Y234" s="82"/>
      <c r="Z234" s="201"/>
      <c r="AA234" s="238"/>
      <c r="AB234" s="39"/>
      <c r="AC234" s="39"/>
      <c r="AD234" s="39"/>
      <c r="AE234" s="39"/>
      <c r="AF234" s="39"/>
      <c r="AG234" s="52"/>
      <c r="AH234" s="52"/>
      <c r="AI234" s="52"/>
      <c r="AJ234" s="52"/>
      <c r="AK234" s="52"/>
      <c r="AL234" s="39"/>
      <c r="AM234" s="39"/>
      <c r="AN234" s="39"/>
      <c r="AO234" s="39"/>
      <c r="AP234" s="39"/>
      <c r="AQ234" s="39"/>
      <c r="AR234" s="39"/>
      <c r="AS234" s="39"/>
      <c r="AT234" s="39"/>
      <c r="AU234" s="39"/>
      <c r="AV234" s="39"/>
      <c r="AW234" s="39"/>
      <c r="AX234" s="39"/>
      <c r="AY234" s="39"/>
    </row>
    <row r="235" spans="3:51" x14ac:dyDescent="0.2">
      <c r="C235" s="5"/>
      <c r="D235" s="5"/>
      <c r="E235" s="5"/>
      <c r="F235" s="5"/>
      <c r="G235" s="5"/>
      <c r="H235" s="6"/>
      <c r="I235" s="6"/>
      <c r="J235" s="207"/>
      <c r="K235" s="207"/>
      <c r="L235" s="207"/>
      <c r="M235" s="207"/>
      <c r="N235" s="6"/>
      <c r="O235" s="6"/>
      <c r="P235" s="7"/>
      <c r="Q235" s="7"/>
      <c r="R235" s="7"/>
      <c r="S235" s="7"/>
      <c r="T235" s="7"/>
      <c r="U235" s="7"/>
      <c r="V235" s="91"/>
      <c r="W235" s="91"/>
      <c r="X235" s="82"/>
      <c r="Y235" s="82"/>
      <c r="Z235" s="201"/>
      <c r="AA235" s="238"/>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row>
    <row r="236" spans="3:51" x14ac:dyDescent="0.2">
      <c r="C236" s="5"/>
      <c r="D236" s="5"/>
      <c r="E236" s="5"/>
      <c r="F236" s="5"/>
      <c r="G236" s="5"/>
      <c r="H236" s="6"/>
      <c r="I236" s="6">
        <f>I234-I233</f>
        <v>-686205</v>
      </c>
      <c r="J236" s="207"/>
      <c r="K236" s="207"/>
      <c r="L236" s="207"/>
      <c r="M236" s="207"/>
      <c r="N236" s="6"/>
      <c r="O236" s="6"/>
      <c r="P236" s="7"/>
      <c r="Q236" s="7"/>
      <c r="R236" s="7"/>
      <c r="S236" s="7"/>
      <c r="T236" s="7"/>
      <c r="U236" s="7"/>
      <c r="V236" s="91"/>
      <c r="W236" s="7"/>
      <c r="X236" s="5"/>
      <c r="Y236" s="5"/>
      <c r="Z236" s="5"/>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row>
    <row r="237" spans="3:51" x14ac:dyDescent="0.2">
      <c r="C237" s="5"/>
      <c r="D237" s="5"/>
      <c r="E237" s="5"/>
      <c r="F237" s="5"/>
      <c r="G237" s="5"/>
      <c r="H237" s="6"/>
      <c r="I237" s="6"/>
      <c r="J237" s="207"/>
      <c r="K237" s="207"/>
      <c r="L237" s="207"/>
      <c r="M237" s="207"/>
      <c r="N237" s="6"/>
      <c r="O237" s="6"/>
      <c r="P237" s="7"/>
      <c r="Q237" s="7"/>
      <c r="R237" s="7"/>
      <c r="S237" s="7"/>
      <c r="T237" s="7"/>
      <c r="U237" s="7"/>
      <c r="V237" s="91"/>
      <c r="W237" s="7"/>
      <c r="X237" s="5"/>
      <c r="Y237" s="5"/>
      <c r="Z237" s="5"/>
    </row>
    <row r="238" spans="3:51" x14ac:dyDescent="0.2">
      <c r="C238" s="5"/>
      <c r="D238" s="5"/>
      <c r="E238" s="5"/>
      <c r="F238" s="5"/>
      <c r="G238" s="5"/>
      <c r="H238" s="6"/>
      <c r="I238" s="6"/>
      <c r="J238" s="207"/>
      <c r="K238" s="207"/>
      <c r="L238" s="207"/>
      <c r="M238" s="207"/>
      <c r="N238" s="6"/>
      <c r="O238" s="6"/>
      <c r="P238" s="7"/>
      <c r="Q238" s="7"/>
      <c r="R238" s="7"/>
      <c r="S238" s="7"/>
      <c r="T238" s="7"/>
      <c r="U238" s="7"/>
      <c r="V238" s="91"/>
      <c r="W238" s="7"/>
      <c r="X238" s="5"/>
      <c r="Y238" s="5"/>
      <c r="Z238" s="5"/>
    </row>
    <row r="239" spans="3:51" x14ac:dyDescent="0.2">
      <c r="C239" s="5"/>
      <c r="D239" s="5"/>
      <c r="E239" s="5"/>
      <c r="F239" s="5"/>
      <c r="G239" s="5"/>
      <c r="H239" s="6"/>
      <c r="I239" s="6"/>
      <c r="J239" s="207"/>
      <c r="K239" s="207"/>
      <c r="L239" s="207"/>
      <c r="M239" s="207"/>
      <c r="N239" s="6"/>
      <c r="O239" s="6"/>
      <c r="P239" s="7"/>
      <c r="Q239" s="7"/>
      <c r="R239" s="7"/>
      <c r="S239" s="7"/>
      <c r="T239" s="7"/>
      <c r="U239" s="7"/>
      <c r="V239" s="91"/>
      <c r="W239" s="7"/>
      <c r="X239" s="5"/>
      <c r="Y239" s="5"/>
      <c r="Z239" s="5"/>
    </row>
    <row r="240" spans="3:51" x14ac:dyDescent="0.2">
      <c r="C240" s="89"/>
      <c r="D240" s="5"/>
      <c r="E240" s="5"/>
      <c r="F240" s="5"/>
      <c r="G240" s="5"/>
      <c r="H240" s="6"/>
      <c r="I240" s="6"/>
      <c r="J240" s="207"/>
      <c r="K240" s="207"/>
      <c r="L240" s="207"/>
      <c r="M240" s="207"/>
      <c r="N240" s="6"/>
      <c r="O240" s="6"/>
      <c r="P240" s="7"/>
      <c r="Q240" s="7"/>
      <c r="R240" s="7"/>
      <c r="S240" s="7"/>
      <c r="T240" s="7"/>
      <c r="U240" s="7"/>
      <c r="V240" s="91"/>
      <c r="W240" s="7"/>
      <c r="X240" s="5"/>
      <c r="Y240" s="5"/>
      <c r="Z240" s="5"/>
    </row>
    <row r="241" spans="3:26" x14ac:dyDescent="0.2">
      <c r="C241" s="5"/>
      <c r="D241" s="5"/>
      <c r="E241" s="5"/>
      <c r="F241" s="5"/>
      <c r="G241" s="5"/>
      <c r="H241" s="6"/>
      <c r="I241" s="6"/>
      <c r="J241" s="207"/>
      <c r="K241" s="207"/>
      <c r="L241" s="207"/>
      <c r="M241" s="207"/>
      <c r="N241" s="6"/>
      <c r="O241" s="6"/>
      <c r="P241" s="7"/>
      <c r="Q241" s="7"/>
      <c r="R241" s="7"/>
      <c r="S241" s="7"/>
      <c r="T241" s="7"/>
      <c r="U241" s="7"/>
      <c r="V241" s="91"/>
      <c r="W241" s="7"/>
      <c r="X241" s="5"/>
      <c r="Y241" s="5"/>
      <c r="Z241" s="5"/>
    </row>
    <row r="242" spans="3:26" x14ac:dyDescent="0.2">
      <c r="O242" s="1"/>
      <c r="P242" s="2"/>
      <c r="Q242" s="2"/>
      <c r="R242" s="2"/>
      <c r="S242" s="2"/>
      <c r="T242" s="2"/>
      <c r="U242" s="2"/>
      <c r="V242" s="93"/>
      <c r="W242" s="7"/>
      <c r="X242" s="5"/>
      <c r="Y242" s="5"/>
      <c r="Z242" s="5"/>
    </row>
    <row r="243" spans="3:26" x14ac:dyDescent="0.2">
      <c r="O243" s="1"/>
      <c r="P243" s="2"/>
      <c r="Q243" s="2"/>
      <c r="R243" s="2"/>
      <c r="S243" s="2"/>
      <c r="T243" s="2"/>
      <c r="U243" s="2"/>
      <c r="V243" s="93"/>
      <c r="W243" s="7"/>
      <c r="X243" s="5"/>
      <c r="Y243" s="5"/>
      <c r="Z243" s="5"/>
    </row>
    <row r="244" spans="3:26" x14ac:dyDescent="0.2">
      <c r="O244" s="1"/>
      <c r="P244" s="2"/>
      <c r="Q244" s="2"/>
      <c r="R244" s="2"/>
      <c r="S244" s="2"/>
      <c r="T244" s="2"/>
      <c r="U244" s="2"/>
      <c r="V244" s="93"/>
      <c r="W244" s="2"/>
    </row>
    <row r="245" spans="3:26" x14ac:dyDescent="0.2">
      <c r="O245" s="1"/>
      <c r="P245" s="2"/>
      <c r="Q245" s="2"/>
      <c r="R245" s="2"/>
      <c r="S245" s="2"/>
      <c r="T245" s="2"/>
      <c r="U245" s="2"/>
      <c r="V245" s="93"/>
      <c r="W245" s="2"/>
    </row>
    <row r="246" spans="3:26" x14ac:dyDescent="0.2">
      <c r="O246" s="1"/>
      <c r="P246" s="2"/>
      <c r="Q246" s="2"/>
      <c r="R246" s="2"/>
      <c r="S246" s="2"/>
      <c r="T246" s="2"/>
      <c r="U246" s="2"/>
      <c r="V246" s="93"/>
      <c r="W246" s="2"/>
    </row>
    <row r="247" spans="3:26" x14ac:dyDescent="0.2">
      <c r="O247" s="1"/>
      <c r="P247" s="2"/>
      <c r="Q247" s="2"/>
      <c r="R247" s="2"/>
      <c r="S247" s="2"/>
      <c r="T247" s="2"/>
      <c r="U247" s="2"/>
      <c r="V247" s="93"/>
      <c r="W247" s="2"/>
    </row>
    <row r="248" spans="3:26" x14ac:dyDescent="0.2">
      <c r="O248" s="1"/>
      <c r="P248" s="2"/>
      <c r="Q248" s="2"/>
      <c r="R248" s="2"/>
      <c r="S248" s="2"/>
      <c r="T248" s="2"/>
      <c r="U248" s="2"/>
      <c r="V248" s="93"/>
      <c r="W248" s="2"/>
    </row>
    <row r="249" spans="3:26" x14ac:dyDescent="0.2">
      <c r="O249" s="1"/>
      <c r="P249" s="2"/>
      <c r="Q249" s="2"/>
      <c r="R249" s="2"/>
      <c r="S249" s="2"/>
      <c r="T249" s="2"/>
      <c r="U249" s="2"/>
      <c r="V249" s="93"/>
      <c r="W249" s="2"/>
    </row>
    <row r="250" spans="3:26" x14ac:dyDescent="0.2">
      <c r="O250" s="1"/>
      <c r="P250" s="2"/>
      <c r="Q250" s="2"/>
      <c r="R250" s="2"/>
      <c r="S250" s="2"/>
      <c r="T250" s="2"/>
      <c r="U250" s="2"/>
      <c r="V250" s="93"/>
      <c r="W250" s="2"/>
    </row>
    <row r="251" spans="3:26" x14ac:dyDescent="0.2">
      <c r="O251" s="1"/>
      <c r="P251" s="2"/>
      <c r="Q251" s="2"/>
      <c r="R251" s="2"/>
      <c r="S251" s="2"/>
      <c r="T251" s="2"/>
      <c r="U251" s="2"/>
      <c r="V251" s="93"/>
      <c r="W251" s="2"/>
    </row>
    <row r="252" spans="3:26" x14ac:dyDescent="0.2">
      <c r="O252" s="1"/>
      <c r="P252" s="2"/>
      <c r="Q252" s="2"/>
      <c r="R252" s="2"/>
      <c r="S252" s="2"/>
      <c r="T252" s="2"/>
      <c r="U252" s="2"/>
      <c r="V252" s="93"/>
      <c r="W252" s="2"/>
    </row>
    <row r="253" spans="3:26" x14ac:dyDescent="0.2">
      <c r="O253" s="1"/>
    </row>
    <row r="254" spans="3:26" x14ac:dyDescent="0.2">
      <c r="O254" s="1"/>
    </row>
  </sheetData>
  <mergeCells count="33">
    <mergeCell ref="Y3:Z3"/>
    <mergeCell ref="W24:Z24"/>
    <mergeCell ref="C1:U2"/>
    <mergeCell ref="H4:I4"/>
    <mergeCell ref="J4:K4"/>
    <mergeCell ref="L4:M4"/>
    <mergeCell ref="S5:T5"/>
    <mergeCell ref="W43:X43"/>
    <mergeCell ref="W4:Z4"/>
    <mergeCell ref="W25:X25"/>
    <mergeCell ref="W28:X28"/>
    <mergeCell ref="W29:X29"/>
    <mergeCell ref="W30:X30"/>
    <mergeCell ref="W31:X31"/>
    <mergeCell ref="W32:X32"/>
    <mergeCell ref="W41:X41"/>
    <mergeCell ref="W42:X42"/>
    <mergeCell ref="W33:X33"/>
    <mergeCell ref="W38:Z38"/>
    <mergeCell ref="W39:X39"/>
    <mergeCell ref="W40:X40"/>
    <mergeCell ref="W229:AA229"/>
    <mergeCell ref="W225:X225"/>
    <mergeCell ref="W226:X226"/>
    <mergeCell ref="W195:X195"/>
    <mergeCell ref="W215:Z215"/>
    <mergeCell ref="W216:X216"/>
    <mergeCell ref="W219:X219"/>
    <mergeCell ref="W220:X220"/>
    <mergeCell ref="W221:X221"/>
    <mergeCell ref="W222:X222"/>
    <mergeCell ref="W223:X223"/>
    <mergeCell ref="W224:X224"/>
  </mergeCells>
  <phoneticPr fontId="9" type="noConversion"/>
  <printOptions gridLines="1"/>
  <pageMargins left="0.75" right="0.75" top="1" bottom="1" header="0.5" footer="0.5"/>
  <pageSetup paperSize="17" scale="21"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A1:AV73"/>
  <sheetViews>
    <sheetView workbookViewId="0"/>
  </sheetViews>
  <sheetFormatPr defaultRowHeight="12.75" x14ac:dyDescent="0.2"/>
  <cols>
    <col min="2" max="2" width="9.28515625" bestFit="1" customWidth="1"/>
    <col min="3" max="3" width="18" customWidth="1"/>
    <col min="4" max="4" width="10.5703125" customWidth="1"/>
    <col min="5" max="5" width="13.42578125" bestFit="1" customWidth="1"/>
    <col min="6" max="8" width="11.28515625" customWidth="1"/>
    <col min="9" max="9" width="12" customWidth="1"/>
    <col min="10" max="10" width="17.28515625" style="473" customWidth="1"/>
    <col min="11" max="11" width="12" style="473" customWidth="1"/>
    <col min="12" max="12" width="12.28515625" style="473" customWidth="1"/>
    <col min="13" max="13" width="12" style="473" customWidth="1"/>
    <col min="14" max="14" width="11.28515625" style="473" customWidth="1"/>
    <col min="15" max="15" width="12" style="473" customWidth="1"/>
    <col min="16" max="16" width="13.28515625" style="473" customWidth="1"/>
    <col min="17" max="17" width="13.7109375" style="473" customWidth="1"/>
    <col min="18" max="18" width="12" style="473" customWidth="1"/>
    <col min="19" max="19" width="10.140625" style="1371" customWidth="1"/>
    <col min="20" max="20" width="14.140625" style="1196" bestFit="1" customWidth="1"/>
    <col min="21" max="21" width="12.7109375" style="1196" bestFit="1" customWidth="1"/>
    <col min="22" max="22" width="11.140625" style="1196" bestFit="1" customWidth="1"/>
    <col min="23" max="24" width="10.28515625" style="1196" bestFit="1" customWidth="1"/>
    <col min="25" max="26" width="11.28515625" style="1196" bestFit="1" customWidth="1"/>
    <col min="27" max="27" width="12.85546875" style="1196" bestFit="1" customWidth="1"/>
    <col min="28" max="28" width="11.28515625" style="1196" bestFit="1" customWidth="1"/>
    <col min="29" max="29" width="12.85546875" style="1196" bestFit="1" customWidth="1"/>
    <col min="30" max="30" width="10.5703125" style="1196" customWidth="1"/>
    <col min="31" max="31" width="11.28515625" style="1377" bestFit="1" customWidth="1"/>
    <col min="32" max="32" width="11.28515625" style="1276" bestFit="1" customWidth="1"/>
    <col min="33" max="33" width="12.5703125" style="1276" customWidth="1"/>
    <col min="34" max="34" width="13.42578125" style="1276" customWidth="1"/>
    <col min="35" max="35" width="11.7109375" style="1276" customWidth="1"/>
    <col min="36" max="36" width="11.28515625" style="1276" customWidth="1"/>
    <col min="37" max="38" width="12.5703125" style="1276" customWidth="1"/>
    <col min="39" max="40" width="9.28515625" style="1276" bestFit="1" customWidth="1"/>
    <col min="41" max="41" width="9.140625" style="1276"/>
    <col min="42" max="42" width="9.140625" style="1271"/>
    <col min="43" max="44" width="12.28515625" style="1271" bestFit="1" customWidth="1"/>
    <col min="45" max="45" width="14" style="1369" bestFit="1" customWidth="1"/>
    <col min="46" max="47" width="12.28515625" style="1505" bestFit="1" customWidth="1"/>
    <col min="48" max="48" width="9.7109375" style="1505" bestFit="1" customWidth="1"/>
  </cols>
  <sheetData>
    <row r="1" spans="1:48" ht="55.5" customHeight="1" thickBot="1" x14ac:dyDescent="0.25">
      <c r="A1" s="300" t="s">
        <v>419</v>
      </c>
    </row>
    <row r="2" spans="1:48" ht="14.25" thickTop="1" thickBot="1" x14ac:dyDescent="0.25">
      <c r="A2" s="4302" t="s">
        <v>424</v>
      </c>
      <c r="B2" s="4303"/>
      <c r="C2" s="4303"/>
      <c r="D2" s="4303"/>
      <c r="E2" s="4303"/>
      <c r="F2" s="4304"/>
      <c r="G2" s="1162"/>
      <c r="H2" s="348" t="s">
        <v>131</v>
      </c>
      <c r="I2" s="341" t="s">
        <v>420</v>
      </c>
      <c r="J2" s="847">
        <v>10000000</v>
      </c>
    </row>
    <row r="3" spans="1:48" ht="17.25" thickTop="1" thickBot="1" x14ac:dyDescent="0.3">
      <c r="A3" s="325" t="s">
        <v>10</v>
      </c>
      <c r="B3" s="164" t="s">
        <v>35</v>
      </c>
      <c r="C3" s="334" t="s">
        <v>422</v>
      </c>
      <c r="D3" s="4282" t="s">
        <v>12</v>
      </c>
      <c r="E3" s="4283"/>
      <c r="F3" s="4283"/>
      <c r="G3" s="4284"/>
      <c r="H3" s="349" t="s">
        <v>423</v>
      </c>
      <c r="I3" s="667" t="s">
        <v>421</v>
      </c>
      <c r="J3" s="4287">
        <v>2007</v>
      </c>
      <c r="K3" s="4288"/>
      <c r="L3" s="4288"/>
      <c r="M3" s="4288"/>
      <c r="N3" s="4288"/>
      <c r="O3" s="4288"/>
      <c r="P3" s="4288"/>
      <c r="Q3" s="4288"/>
      <c r="R3" s="4288"/>
      <c r="S3" s="4289"/>
      <c r="T3" s="4290">
        <v>2008</v>
      </c>
      <c r="U3" s="4291"/>
      <c r="V3" s="4291"/>
      <c r="W3" s="4291"/>
      <c r="X3" s="4291"/>
      <c r="Y3" s="4291"/>
      <c r="Z3" s="4291"/>
      <c r="AA3" s="4291"/>
      <c r="AB3" s="4291"/>
      <c r="AC3" s="4291"/>
      <c r="AD3" s="4291"/>
      <c r="AE3" s="4292"/>
      <c r="AF3" s="4265">
        <v>2009</v>
      </c>
      <c r="AG3" s="4266"/>
      <c r="AH3" s="4266"/>
      <c r="AI3" s="4266"/>
      <c r="AJ3" s="4266"/>
      <c r="AK3" s="4266"/>
      <c r="AL3" s="4266"/>
      <c r="AM3" s="4266"/>
      <c r="AN3" s="4266"/>
      <c r="AO3" s="4266"/>
      <c r="AP3" s="4266"/>
      <c r="AQ3" s="4266"/>
      <c r="AR3" s="4267"/>
      <c r="AS3" s="4268">
        <v>2010</v>
      </c>
      <c r="AT3" s="4269"/>
      <c r="AU3" s="4269"/>
      <c r="AV3" s="1595"/>
    </row>
    <row r="4" spans="1:48" ht="14.25" thickTop="1" thickBot="1" x14ac:dyDescent="0.25">
      <c r="A4" s="326"/>
      <c r="B4" s="321"/>
      <c r="C4" s="335"/>
      <c r="D4" s="319">
        <v>2007</v>
      </c>
      <c r="E4" s="320">
        <v>2008</v>
      </c>
      <c r="F4" s="567">
        <v>2009</v>
      </c>
      <c r="G4" s="1390">
        <v>2010</v>
      </c>
      <c r="H4" s="339"/>
      <c r="I4" s="340"/>
      <c r="J4" s="2108" t="s">
        <v>123</v>
      </c>
      <c r="K4" s="1372" t="s">
        <v>122</v>
      </c>
      <c r="L4" s="1372" t="s">
        <v>125</v>
      </c>
      <c r="M4" s="2108" t="s">
        <v>126</v>
      </c>
      <c r="N4" s="1372" t="s">
        <v>127</v>
      </c>
      <c r="O4" s="1372" t="s">
        <v>128</v>
      </c>
      <c r="P4" s="1372" t="s">
        <v>129</v>
      </c>
      <c r="Q4" s="2108" t="s">
        <v>640</v>
      </c>
      <c r="R4" s="1372" t="s">
        <v>124</v>
      </c>
      <c r="S4" s="2109" t="s">
        <v>190</v>
      </c>
      <c r="T4" s="2107" t="s">
        <v>321</v>
      </c>
      <c r="U4" s="2107" t="s">
        <v>387</v>
      </c>
      <c r="V4" s="1378" t="s">
        <v>388</v>
      </c>
      <c r="W4" s="1378" t="s">
        <v>471</v>
      </c>
      <c r="X4" s="2107" t="s">
        <v>512</v>
      </c>
      <c r="Y4" s="2107" t="s">
        <v>530</v>
      </c>
      <c r="Z4" s="1378" t="s">
        <v>531</v>
      </c>
      <c r="AA4" s="2107" t="s">
        <v>568</v>
      </c>
      <c r="AB4" s="1378" t="s">
        <v>569</v>
      </c>
      <c r="AC4" s="2107" t="s">
        <v>599</v>
      </c>
      <c r="AD4" s="2107" t="s">
        <v>641</v>
      </c>
      <c r="AE4" s="1379" t="s">
        <v>609</v>
      </c>
      <c r="AF4" s="1363" t="s">
        <v>639</v>
      </c>
      <c r="AG4" s="1363" t="s">
        <v>387</v>
      </c>
      <c r="AH4" s="1363" t="s">
        <v>568</v>
      </c>
      <c r="AI4" s="1363" t="s">
        <v>690</v>
      </c>
      <c r="AJ4" s="1363" t="s">
        <v>862</v>
      </c>
      <c r="AK4" s="1363" t="s">
        <v>691</v>
      </c>
      <c r="AL4" s="1364" t="s">
        <v>761</v>
      </c>
      <c r="AM4" s="1364" t="s">
        <v>759</v>
      </c>
      <c r="AN4" s="1364" t="s">
        <v>813</v>
      </c>
      <c r="AO4" s="1272" t="s">
        <v>863</v>
      </c>
      <c r="AP4" s="1988" t="s">
        <v>908</v>
      </c>
      <c r="AQ4" s="1988" t="s">
        <v>909</v>
      </c>
      <c r="AR4" s="1988" t="s">
        <v>129</v>
      </c>
      <c r="AS4" s="1869" t="s">
        <v>907</v>
      </c>
      <c r="AT4" s="1868" t="s">
        <v>956</v>
      </c>
      <c r="AU4" s="1868" t="s">
        <v>990</v>
      </c>
      <c r="AV4" s="1868" t="s">
        <v>1038</v>
      </c>
    </row>
    <row r="5" spans="1:48" ht="13.5" thickTop="1" x14ac:dyDescent="0.2">
      <c r="A5" s="327" t="s">
        <v>17</v>
      </c>
      <c r="B5" s="322">
        <v>2</v>
      </c>
      <c r="C5" s="336">
        <f>B5/B19</f>
        <v>7.407407407407407E-2</v>
      </c>
      <c r="D5" s="331">
        <f>SUM(J5:S5)/J2</f>
        <v>0</v>
      </c>
      <c r="E5" s="346">
        <f>SUM(T5:AE5)/J2</f>
        <v>2.3153099999999999E-2</v>
      </c>
      <c r="F5" s="568">
        <f>SUM(AF5:AR5)/J2</f>
        <v>2.4579500000000001E-2</v>
      </c>
      <c r="G5" s="331">
        <f>SUM(AS5:AV5)/$J$2</f>
        <v>0</v>
      </c>
      <c r="H5" s="343">
        <f>I5/I19</f>
        <v>2.9763284719914251E-2</v>
      </c>
      <c r="I5" s="342">
        <f>SUM(J5:AV5)</f>
        <v>477326</v>
      </c>
      <c r="J5" s="1388">
        <v>0</v>
      </c>
      <c r="K5" s="1388"/>
      <c r="V5" s="1380">
        <v>231531</v>
      </c>
      <c r="AM5" s="1271"/>
      <c r="AN5" s="1271">
        <v>245795</v>
      </c>
      <c r="AO5" s="1899"/>
    </row>
    <row r="6" spans="1:48" x14ac:dyDescent="0.2">
      <c r="A6" s="328" t="s">
        <v>18</v>
      </c>
      <c r="B6" s="322">
        <v>1</v>
      </c>
      <c r="C6" s="336">
        <f>B6/B19</f>
        <v>3.7037037037037035E-2</v>
      </c>
      <c r="D6" s="331">
        <f>SUM(J6:S6)/J2</f>
        <v>1.5612600000000001E-2</v>
      </c>
      <c r="E6" s="346">
        <f>SUM(T6:AE6)/J2</f>
        <v>0</v>
      </c>
      <c r="F6" s="568">
        <f>SUM(AF6:AR6)/J2</f>
        <v>0</v>
      </c>
      <c r="G6" s="331">
        <f t="shared" ref="G6:G18" si="0">SUM(AS6:AV6)/$J$2</f>
        <v>0</v>
      </c>
      <c r="H6" s="343">
        <f>I6/I19</f>
        <v>9.7351130887094618E-3</v>
      </c>
      <c r="I6" s="342">
        <f t="shared" ref="I6:I18" si="1">SUM(J6:AV6)</f>
        <v>156126</v>
      </c>
      <c r="J6" s="699"/>
      <c r="K6" s="1338"/>
      <c r="L6" s="472"/>
      <c r="M6" s="472"/>
      <c r="N6" s="472"/>
      <c r="O6" s="1338">
        <v>156126</v>
      </c>
      <c r="P6" s="472"/>
      <c r="Q6" s="1389"/>
      <c r="R6" s="472"/>
      <c r="W6" s="1197"/>
      <c r="X6" s="1197"/>
      <c r="Y6" s="1197"/>
      <c r="Z6" s="1197"/>
      <c r="AA6" s="1197"/>
      <c r="AB6" s="1197"/>
      <c r="AC6" s="1197"/>
      <c r="AD6" s="1197"/>
      <c r="AE6" s="1381"/>
      <c r="AF6" s="1275"/>
      <c r="AG6" s="1275"/>
      <c r="AH6" s="1275"/>
      <c r="AI6" s="1275"/>
      <c r="AJ6" s="1275"/>
      <c r="AK6" s="1275"/>
      <c r="AL6" s="1275"/>
      <c r="AM6" s="1270"/>
      <c r="AN6" s="1275"/>
      <c r="AO6" s="1318"/>
    </row>
    <row r="7" spans="1:48" x14ac:dyDescent="0.2">
      <c r="A7" s="328" t="s">
        <v>20</v>
      </c>
      <c r="B7" s="322">
        <v>0</v>
      </c>
      <c r="C7" s="336">
        <f>B7/B19</f>
        <v>0</v>
      </c>
      <c r="D7" s="331">
        <f>SUM(J7:S7)/J2</f>
        <v>0</v>
      </c>
      <c r="E7" s="346">
        <f>SUM(T7:AE7)/J2</f>
        <v>0</v>
      </c>
      <c r="F7" s="568">
        <f>SUM(AF7:AR7)/J2</f>
        <v>0</v>
      </c>
      <c r="G7" s="331">
        <f t="shared" si="0"/>
        <v>0</v>
      </c>
      <c r="H7" s="343">
        <f>I7/I19</f>
        <v>0</v>
      </c>
      <c r="I7" s="342">
        <f t="shared" si="1"/>
        <v>0</v>
      </c>
      <c r="K7" s="472"/>
      <c r="L7" s="472"/>
      <c r="M7" s="472"/>
      <c r="N7" s="472"/>
      <c r="O7" s="472"/>
      <c r="P7" s="472"/>
      <c r="Q7" s="472"/>
      <c r="R7" s="472"/>
      <c r="W7" s="1197"/>
      <c r="X7" s="1197"/>
      <c r="Y7" s="1197"/>
      <c r="Z7" s="1197"/>
      <c r="AA7" s="1197"/>
      <c r="AB7" s="1197"/>
      <c r="AC7" s="1197"/>
      <c r="AD7" s="1197"/>
      <c r="AE7" s="1381"/>
      <c r="AF7" s="1275"/>
      <c r="AG7" s="1275"/>
      <c r="AH7" s="1275"/>
      <c r="AI7" s="1275"/>
      <c r="AJ7" s="1275"/>
      <c r="AK7" s="1275"/>
      <c r="AL7" s="1275"/>
      <c r="AM7" s="1270"/>
      <c r="AN7" s="1275"/>
      <c r="AO7" s="1318"/>
    </row>
    <row r="8" spans="1:48" x14ac:dyDescent="0.2">
      <c r="A8" s="328" t="s">
        <v>19</v>
      </c>
      <c r="B8" s="322">
        <v>13.5</v>
      </c>
      <c r="C8" s="336">
        <f>B8/B19</f>
        <v>0.5</v>
      </c>
      <c r="D8" s="331">
        <f>SUM(J8:S8)/J2</f>
        <v>0.34077190000000002</v>
      </c>
      <c r="E8" s="346">
        <f>SUM(T8:AE8)/J2</f>
        <v>0</v>
      </c>
      <c r="F8" s="568">
        <f>SUM(AF8:AR8)/J2</f>
        <v>0.28730319999999998</v>
      </c>
      <c r="G8" s="331">
        <f t="shared" si="0"/>
        <v>0.13865859999999999</v>
      </c>
      <c r="H8" s="343">
        <f>I8/I19</f>
        <v>0.47809072661982205</v>
      </c>
      <c r="I8" s="342">
        <f t="shared" si="1"/>
        <v>7667337</v>
      </c>
      <c r="K8" s="472"/>
      <c r="L8" s="1338">
        <v>182396</v>
      </c>
      <c r="M8" s="1338"/>
      <c r="N8" s="1338">
        <v>677944</v>
      </c>
      <c r="O8" s="472"/>
      <c r="P8" s="1338">
        <f>1786828/2</f>
        <v>893414</v>
      </c>
      <c r="Q8" s="472"/>
      <c r="R8" s="1338">
        <v>1653965</v>
      </c>
      <c r="U8" s="1382"/>
      <c r="W8" s="1197"/>
      <c r="X8" s="1197"/>
      <c r="Y8" s="1197"/>
      <c r="Z8" s="1197"/>
      <c r="AA8" s="1197"/>
      <c r="AB8" s="1197"/>
      <c r="AC8" s="1197"/>
      <c r="AD8" s="1197"/>
      <c r="AE8" s="1381"/>
      <c r="AF8" s="1270">
        <v>103300</v>
      </c>
      <c r="AG8" s="1270">
        <v>630859</v>
      </c>
      <c r="AH8" s="1275"/>
      <c r="AI8" s="1270">
        <v>553722</v>
      </c>
      <c r="AJ8" s="1275"/>
      <c r="AK8" s="1270">
        <v>692854</v>
      </c>
      <c r="AL8" s="1270">
        <v>230414</v>
      </c>
      <c r="AM8" s="1270"/>
      <c r="AN8" s="1275"/>
      <c r="AO8" s="1318">
        <v>243280</v>
      </c>
      <c r="AP8" s="1318">
        <v>126296</v>
      </c>
      <c r="AR8" s="1657">
        <v>292307</v>
      </c>
      <c r="AU8" s="1943">
        <v>453475</v>
      </c>
      <c r="AV8" s="1505">
        <v>933111</v>
      </c>
    </row>
    <row r="9" spans="1:48" x14ac:dyDescent="0.2">
      <c r="A9" s="328" t="s">
        <v>21</v>
      </c>
      <c r="B9" s="322">
        <v>0</v>
      </c>
      <c r="C9" s="336">
        <f>B9/B19</f>
        <v>0</v>
      </c>
      <c r="D9" s="331">
        <f>SUM(J9:S9)/J2</f>
        <v>0</v>
      </c>
      <c r="E9" s="346">
        <f>SUM(T9:AE9)/J2</f>
        <v>0</v>
      </c>
      <c r="F9" s="568">
        <f>SUM(AF9:AR9)/J2</f>
        <v>0</v>
      </c>
      <c r="G9" s="331">
        <f t="shared" si="0"/>
        <v>0</v>
      </c>
      <c r="H9" s="343">
        <f>I9/I19</f>
        <v>0</v>
      </c>
      <c r="I9" s="342">
        <f t="shared" si="1"/>
        <v>0</v>
      </c>
      <c r="K9" s="472"/>
      <c r="L9" s="472"/>
      <c r="M9" s="472"/>
      <c r="N9" s="472"/>
      <c r="O9" s="472"/>
      <c r="P9" s="472"/>
      <c r="Q9" s="472"/>
      <c r="R9" s="472"/>
      <c r="W9" s="1197"/>
      <c r="X9" s="1197"/>
      <c r="Y9" s="1197"/>
      <c r="Z9" s="1197"/>
      <c r="AA9" s="1197"/>
      <c r="AB9" s="1197"/>
      <c r="AC9" s="1197"/>
      <c r="AD9" s="1197"/>
      <c r="AE9" s="1381"/>
      <c r="AF9" s="1275"/>
      <c r="AG9" s="1275"/>
      <c r="AH9" s="1275"/>
      <c r="AI9" s="1275"/>
      <c r="AJ9" s="1275"/>
      <c r="AK9" s="1275"/>
      <c r="AL9" s="1275"/>
      <c r="AM9" s="1270"/>
      <c r="AN9" s="1275"/>
      <c r="AO9" s="1348"/>
    </row>
    <row r="10" spans="1:48" x14ac:dyDescent="0.2">
      <c r="A10" s="328" t="s">
        <v>22</v>
      </c>
      <c r="B10" s="322">
        <v>2</v>
      </c>
      <c r="C10" s="336">
        <f>B10/B19</f>
        <v>7.407407407407407E-2</v>
      </c>
      <c r="D10" s="331">
        <f>SUM(J10:S10)/J2</f>
        <v>0</v>
      </c>
      <c r="E10" s="346">
        <f>SUM(T10:AE10)/J2</f>
        <v>0</v>
      </c>
      <c r="F10" s="568">
        <f>SUM(AF10:AR10)/J2</f>
        <v>4.1100499999999998E-2</v>
      </c>
      <c r="G10" s="331">
        <f t="shared" si="0"/>
        <v>0</v>
      </c>
      <c r="H10" s="343">
        <f>I10/I19</f>
        <v>2.5627891286685318E-2</v>
      </c>
      <c r="I10" s="342">
        <f t="shared" si="1"/>
        <v>411005</v>
      </c>
      <c r="K10" s="472"/>
      <c r="L10" s="472"/>
      <c r="M10" s="472"/>
      <c r="N10" s="472"/>
      <c r="O10" s="472"/>
      <c r="P10" s="472"/>
      <c r="Q10" s="472"/>
      <c r="R10" s="472"/>
      <c r="S10" s="2110">
        <v>0</v>
      </c>
      <c r="W10" s="1197"/>
      <c r="X10" s="1197"/>
      <c r="Y10" s="1197"/>
      <c r="Z10" s="1197"/>
      <c r="AA10" s="1197"/>
      <c r="AB10" s="1197"/>
      <c r="AC10" s="1197"/>
      <c r="AD10" s="1197"/>
      <c r="AE10" s="1381"/>
      <c r="AF10" s="1275"/>
      <c r="AG10" s="1275"/>
      <c r="AH10" s="1275"/>
      <c r="AI10" s="1275"/>
      <c r="AJ10" s="1270">
        <v>267569</v>
      </c>
      <c r="AK10" s="1275"/>
      <c r="AL10" s="1275"/>
      <c r="AM10" s="1270">
        <v>143436</v>
      </c>
      <c r="AN10" s="1275"/>
      <c r="AO10" s="1348"/>
    </row>
    <row r="11" spans="1:48" x14ac:dyDescent="0.2">
      <c r="A11" s="328" t="s">
        <v>23</v>
      </c>
      <c r="B11" s="322">
        <v>1</v>
      </c>
      <c r="C11" s="336">
        <f>B11/B19</f>
        <v>3.7037037037037035E-2</v>
      </c>
      <c r="D11" s="331">
        <f>SUM(J11:S11)/J2</f>
        <v>0</v>
      </c>
      <c r="E11" s="346">
        <f>SUM(T11:AE11)/J2</f>
        <v>3.7737100000000003E-2</v>
      </c>
      <c r="F11" s="568">
        <f>SUM(AF11:AR11)/J2</f>
        <v>0</v>
      </c>
      <c r="G11" s="331">
        <f t="shared" si="0"/>
        <v>0</v>
      </c>
      <c r="H11" s="343">
        <f>I11/I19</f>
        <v>2.3530669852551003E-2</v>
      </c>
      <c r="I11" s="342">
        <f t="shared" si="1"/>
        <v>377371</v>
      </c>
      <c r="W11" s="1197"/>
      <c r="X11" s="1197"/>
      <c r="Y11" s="1197"/>
      <c r="Z11" s="1197"/>
      <c r="AA11" s="1197"/>
      <c r="AB11" s="1233">
        <v>377371</v>
      </c>
      <c r="AC11" s="1197"/>
      <c r="AD11" s="1197"/>
      <c r="AE11" s="1381"/>
      <c r="AF11" s="1275"/>
      <c r="AG11" s="1275"/>
      <c r="AH11" s="1275"/>
      <c r="AI11" s="1275"/>
      <c r="AJ11" s="1275"/>
      <c r="AK11" s="1275"/>
      <c r="AL11" s="1275"/>
      <c r="AM11" s="1275"/>
      <c r="AN11" s="1275"/>
      <c r="AO11" s="1348"/>
    </row>
    <row r="12" spans="1:48" x14ac:dyDescent="0.2">
      <c r="A12" s="328" t="s">
        <v>24</v>
      </c>
      <c r="B12" s="322">
        <v>1</v>
      </c>
      <c r="C12" s="336">
        <f>B12/B19</f>
        <v>3.7037037037037035E-2</v>
      </c>
      <c r="D12" s="331">
        <f>SUM(J12:S12)/J2</f>
        <v>0</v>
      </c>
      <c r="E12" s="346">
        <f>SUM(T12:AE12)/J2</f>
        <v>2.4123599999999999E-2</v>
      </c>
      <c r="F12" s="568">
        <f>SUM(AF12:AR12)/J2</f>
        <v>0</v>
      </c>
      <c r="G12" s="331">
        <f t="shared" si="0"/>
        <v>0</v>
      </c>
      <c r="H12" s="343">
        <f>I12/I19</f>
        <v>1.5042079737314192E-2</v>
      </c>
      <c r="I12" s="342">
        <f t="shared" si="1"/>
        <v>241236</v>
      </c>
      <c r="W12" s="1197"/>
      <c r="X12" s="1197"/>
      <c r="Y12" s="1197"/>
      <c r="Z12" s="1197"/>
      <c r="AA12" s="1197"/>
      <c r="AB12" s="1197"/>
      <c r="AC12" s="1197"/>
      <c r="AD12" s="1197"/>
      <c r="AE12" s="1383">
        <v>241236</v>
      </c>
      <c r="AF12" s="1275"/>
      <c r="AG12" s="1275"/>
      <c r="AH12" s="1275"/>
      <c r="AI12" s="1275"/>
      <c r="AJ12" s="1275"/>
      <c r="AK12" s="1275"/>
      <c r="AL12" s="1275"/>
      <c r="AM12" s="1275"/>
      <c r="AN12" s="1275"/>
      <c r="AO12" s="1348"/>
    </row>
    <row r="13" spans="1:48" x14ac:dyDescent="0.2">
      <c r="A13" s="328" t="s">
        <v>25</v>
      </c>
      <c r="B13" s="322">
        <v>0</v>
      </c>
      <c r="C13" s="336">
        <f>B13/B19</f>
        <v>0</v>
      </c>
      <c r="D13" s="331">
        <f>SUM(J13:S13)/J2</f>
        <v>0</v>
      </c>
      <c r="E13" s="346">
        <f>SUM(T13:AE13)/J2</f>
        <v>0</v>
      </c>
      <c r="F13" s="568">
        <f>SUM(AF13:AR13)/J2</f>
        <v>0</v>
      </c>
      <c r="G13" s="331">
        <f t="shared" si="0"/>
        <v>0</v>
      </c>
      <c r="H13" s="343">
        <f>I13/I19</f>
        <v>0</v>
      </c>
      <c r="I13" s="342">
        <f t="shared" si="1"/>
        <v>0</v>
      </c>
      <c r="W13" s="1197"/>
      <c r="X13" s="1197"/>
      <c r="Y13" s="1197"/>
      <c r="Z13" s="1197"/>
      <c r="AA13" s="1197"/>
      <c r="AB13" s="1197"/>
      <c r="AC13" s="1197"/>
      <c r="AD13" s="1197"/>
      <c r="AE13" s="1381"/>
      <c r="AF13" s="1275"/>
      <c r="AG13" s="1275"/>
      <c r="AH13" s="1275"/>
      <c r="AI13" s="1275"/>
      <c r="AJ13" s="1275"/>
      <c r="AK13" s="1275"/>
      <c r="AL13" s="1275"/>
      <c r="AM13" s="1275"/>
      <c r="AN13" s="1275"/>
      <c r="AO13" s="1348"/>
    </row>
    <row r="14" spans="1:48" x14ac:dyDescent="0.2">
      <c r="A14" s="328" t="s">
        <v>26</v>
      </c>
      <c r="B14" s="322">
        <v>0</v>
      </c>
      <c r="C14" s="336">
        <f>B14/B19</f>
        <v>0</v>
      </c>
      <c r="D14" s="331">
        <f>SUM(J14:S14)/J2</f>
        <v>0</v>
      </c>
      <c r="E14" s="346">
        <f>SUM(T14:AE14)/J2</f>
        <v>0</v>
      </c>
      <c r="F14" s="568">
        <f>SUM(AF14:AR14)/J2</f>
        <v>0</v>
      </c>
      <c r="G14" s="331">
        <f t="shared" si="0"/>
        <v>0</v>
      </c>
      <c r="H14" s="343">
        <f>I14/I19</f>
        <v>0</v>
      </c>
      <c r="I14" s="342">
        <f t="shared" si="1"/>
        <v>0</v>
      </c>
      <c r="W14" s="1197"/>
      <c r="X14" s="1197"/>
      <c r="Y14" s="1734">
        <v>0</v>
      </c>
      <c r="Z14" s="1197"/>
      <c r="AA14" s="1197"/>
      <c r="AB14" s="1197"/>
      <c r="AC14" s="1197"/>
      <c r="AD14" s="1197"/>
      <c r="AE14" s="1381"/>
      <c r="AF14" s="1275"/>
      <c r="AG14" s="1275"/>
      <c r="AH14" s="1275"/>
      <c r="AI14" s="1275"/>
      <c r="AJ14" s="1275"/>
      <c r="AK14" s="1275"/>
      <c r="AL14" s="1275"/>
      <c r="AM14" s="1275"/>
      <c r="AN14" s="1275"/>
      <c r="AO14" s="1348"/>
    </row>
    <row r="15" spans="1:48" x14ac:dyDescent="0.2">
      <c r="A15" s="328" t="s">
        <v>27</v>
      </c>
      <c r="B15" s="322">
        <v>3.5</v>
      </c>
      <c r="C15" s="336">
        <f>B15/B19</f>
        <v>0.12962962962962962</v>
      </c>
      <c r="D15" s="331">
        <f>SUM(J15:S15)/J2</f>
        <v>8.9341400000000001E-2</v>
      </c>
      <c r="E15" s="346">
        <f>SUM(T15:AE15)/J2</f>
        <v>2.06737E-2</v>
      </c>
      <c r="F15" s="568">
        <f>SUM(AF15:AR15)/J2</f>
        <v>8.0810400000000004E-2</v>
      </c>
      <c r="G15" s="331">
        <f t="shared" si="0"/>
        <v>0.3048671</v>
      </c>
      <c r="H15" s="343">
        <f>I15/I19</f>
        <v>0.30908519517802441</v>
      </c>
      <c r="I15" s="342">
        <f t="shared" si="1"/>
        <v>4956926</v>
      </c>
      <c r="P15" s="863">
        <f>1786828/2</f>
        <v>893414</v>
      </c>
      <c r="W15" s="1197"/>
      <c r="X15" s="1197"/>
      <c r="Y15" s="1197"/>
      <c r="Z15" s="1233">
        <v>206737</v>
      </c>
      <c r="AA15" s="1197"/>
      <c r="AB15" s="1197"/>
      <c r="AC15" s="1197"/>
      <c r="AD15" s="1197"/>
      <c r="AE15" s="1381"/>
      <c r="AF15" s="1275"/>
      <c r="AG15" s="1275"/>
      <c r="AH15" s="1275"/>
      <c r="AI15" s="1275"/>
      <c r="AJ15" s="1275"/>
      <c r="AK15" s="1275"/>
      <c r="AL15" s="1275"/>
      <c r="AM15" s="1275"/>
      <c r="AN15" s="1275"/>
      <c r="AO15" s="1348"/>
      <c r="AQ15" s="1657">
        <v>808104</v>
      </c>
      <c r="AS15" s="2106">
        <v>3048671</v>
      </c>
    </row>
    <row r="16" spans="1:48" x14ac:dyDescent="0.2">
      <c r="A16" s="328" t="s">
        <v>28</v>
      </c>
      <c r="B16" s="322">
        <v>1</v>
      </c>
      <c r="C16" s="336">
        <f>B16/B19</f>
        <v>3.7037037037037035E-2</v>
      </c>
      <c r="D16" s="331">
        <f>SUM(J16:S16)/J2</f>
        <v>0</v>
      </c>
      <c r="E16" s="346">
        <f>SUM(T16:AE16)/J2</f>
        <v>0</v>
      </c>
      <c r="F16" s="568">
        <f>SUM(AF16:AR16)/J2</f>
        <v>0.1201154</v>
      </c>
      <c r="G16" s="331">
        <f t="shared" si="0"/>
        <v>0</v>
      </c>
      <c r="H16" s="343">
        <f>I16/I19</f>
        <v>7.4897006436824898E-2</v>
      </c>
      <c r="I16" s="342">
        <f t="shared" si="1"/>
        <v>1201154</v>
      </c>
      <c r="W16" s="1197"/>
      <c r="X16" s="1197"/>
      <c r="Y16" s="1197"/>
      <c r="Z16" s="1197"/>
      <c r="AA16" s="1197"/>
      <c r="AB16" s="1197"/>
      <c r="AC16" s="1197"/>
      <c r="AD16" s="1197"/>
      <c r="AE16" s="1381"/>
      <c r="AF16" s="1275"/>
      <c r="AG16" s="1275"/>
      <c r="AH16" s="1270">
        <v>1201154</v>
      </c>
      <c r="AI16" s="1275"/>
      <c r="AJ16" s="1275"/>
      <c r="AK16" s="1275"/>
      <c r="AL16" s="1275"/>
      <c r="AM16" s="1275"/>
      <c r="AN16" s="1275"/>
      <c r="AO16" s="1348"/>
    </row>
    <row r="17" spans="1:48" x14ac:dyDescent="0.2">
      <c r="A17" s="328" t="s">
        <v>29</v>
      </c>
      <c r="B17" s="322">
        <v>2</v>
      </c>
      <c r="C17" s="336">
        <f>B17/B19</f>
        <v>7.407407407407407E-2</v>
      </c>
      <c r="D17" s="331">
        <f>SUM(J17:S17)/J2</f>
        <v>0</v>
      </c>
      <c r="E17" s="346">
        <f>SUM(T17:AE17)/J2</f>
        <v>7.0533000000000002E-3</v>
      </c>
      <c r="F17" s="568">
        <f>SUM(AF17:AR17)/J2</f>
        <v>0</v>
      </c>
      <c r="G17" s="331">
        <f t="shared" si="0"/>
        <v>4.7839600000000003E-2</v>
      </c>
      <c r="H17" s="343">
        <f>I17/I19</f>
        <v>3.4228033080154464E-2</v>
      </c>
      <c r="I17" s="342">
        <f t="shared" si="1"/>
        <v>548929</v>
      </c>
      <c r="T17" s="1345"/>
      <c r="W17" s="1233">
        <v>70533</v>
      </c>
      <c r="X17" s="1197"/>
      <c r="Y17" s="1197"/>
      <c r="Z17" s="1197"/>
      <c r="AA17" s="1197"/>
      <c r="AB17" s="1197"/>
      <c r="AC17" s="1197"/>
      <c r="AD17" s="1734">
        <v>0</v>
      </c>
      <c r="AE17" s="1381"/>
      <c r="AF17" s="1275"/>
      <c r="AG17" s="1275"/>
      <c r="AH17" s="1275"/>
      <c r="AI17" s="1275"/>
      <c r="AJ17" s="1275"/>
      <c r="AK17" s="1275"/>
      <c r="AL17" s="1275"/>
      <c r="AM17" s="1275"/>
      <c r="AN17" s="1275"/>
      <c r="AO17" s="1348"/>
      <c r="AT17" s="1772">
        <v>478396</v>
      </c>
      <c r="AU17" s="1870"/>
    </row>
    <row r="18" spans="1:48" ht="13.5" thickBot="1" x14ac:dyDescent="0.25">
      <c r="A18" s="329" t="s">
        <v>30</v>
      </c>
      <c r="B18" s="323"/>
      <c r="C18" s="336">
        <f>B18/B19</f>
        <v>0</v>
      </c>
      <c r="D18" s="332">
        <f>SUM(J18:S18)/J2</f>
        <v>0</v>
      </c>
      <c r="E18" s="347">
        <f>SUM(T18:AE18)/J2</f>
        <v>0</v>
      </c>
      <c r="F18" s="568">
        <f>SUM(AF18:AR18)/J2</f>
        <v>0</v>
      </c>
      <c r="G18" s="331">
        <f t="shared" si="0"/>
        <v>0</v>
      </c>
      <c r="H18" s="344">
        <f>I18/I19</f>
        <v>0</v>
      </c>
      <c r="I18" s="342">
        <f t="shared" si="1"/>
        <v>0</v>
      </c>
      <c r="W18" s="1197"/>
      <c r="X18" s="1197"/>
      <c r="Y18" s="1197"/>
      <c r="Z18" s="1197"/>
      <c r="AA18" s="1197"/>
      <c r="AB18" s="1197"/>
      <c r="AC18" s="1197"/>
      <c r="AD18" s="1197"/>
      <c r="AE18" s="1381"/>
      <c r="AF18" s="1275"/>
      <c r="AG18" s="1275"/>
      <c r="AH18" s="1275"/>
      <c r="AI18" s="1275"/>
      <c r="AJ18" s="1275"/>
      <c r="AK18" s="1275"/>
      <c r="AL18" s="1275"/>
      <c r="AM18" s="1275"/>
      <c r="AN18" s="1275"/>
      <c r="AO18" s="1348"/>
    </row>
    <row r="19" spans="1:48" ht="14.25" thickTop="1" thickBot="1" x14ac:dyDescent="0.25">
      <c r="A19" s="330" t="s">
        <v>69</v>
      </c>
      <c r="B19" s="324">
        <f t="shared" ref="B19:I19" si="2">SUM(B5:B18)</f>
        <v>27</v>
      </c>
      <c r="C19" s="337">
        <f t="shared" si="2"/>
        <v>1</v>
      </c>
      <c r="D19" s="333">
        <f t="shared" si="2"/>
        <v>0.44572590000000001</v>
      </c>
      <c r="E19" s="318">
        <f t="shared" si="2"/>
        <v>0.1127408</v>
      </c>
      <c r="F19" s="337">
        <f t="shared" si="2"/>
        <v>0.55390899999999998</v>
      </c>
      <c r="G19" s="333">
        <f t="shared" si="2"/>
        <v>0.4913653</v>
      </c>
      <c r="H19" s="345">
        <f t="shared" si="2"/>
        <v>0.99999999999999989</v>
      </c>
      <c r="I19" s="338">
        <f t="shared" si="2"/>
        <v>16037410</v>
      </c>
      <c r="J19" s="1373"/>
      <c r="K19" s="1373"/>
      <c r="L19" s="1373"/>
      <c r="M19" s="1373"/>
      <c r="N19" s="1373"/>
      <c r="O19" s="1373"/>
      <c r="P19" s="1373"/>
      <c r="Q19" s="1373"/>
      <c r="R19" s="1373"/>
      <c r="S19" s="1374"/>
      <c r="T19" s="1384"/>
      <c r="U19" s="1384"/>
      <c r="V19" s="1384"/>
      <c r="W19" s="1384"/>
      <c r="X19" s="1384"/>
      <c r="Y19" s="1384"/>
      <c r="Z19" s="1384"/>
      <c r="AA19" s="1384"/>
      <c r="AB19" s="1384"/>
      <c r="AC19" s="1384"/>
      <c r="AD19" s="1384"/>
      <c r="AE19" s="1385"/>
      <c r="AF19" s="1366"/>
      <c r="AG19" s="1366"/>
      <c r="AH19" s="1366"/>
      <c r="AI19" s="1366"/>
      <c r="AJ19" s="1366"/>
      <c r="AK19" s="1366"/>
      <c r="AL19" s="1366"/>
      <c r="AM19" s="1366"/>
      <c r="AN19" s="1366"/>
      <c r="AO19" s="1366"/>
      <c r="AP19" s="1588"/>
      <c r="AQ19" s="1588"/>
      <c r="AR19" s="1588"/>
      <c r="AS19" s="1370"/>
      <c r="AT19" s="1595"/>
      <c r="AU19" s="1595"/>
      <c r="AV19" s="1595"/>
    </row>
    <row r="20" spans="1:48" ht="13.5" thickTop="1" x14ac:dyDescent="0.2">
      <c r="A20" s="91"/>
      <c r="B20" s="237"/>
      <c r="C20" s="106"/>
      <c r="D20" s="106">
        <f>'2. Detailed Summary'!$I$205</f>
        <v>0.44572590000000001</v>
      </c>
      <c r="E20" s="1871">
        <f>'2. Detailed Summary'!$I$207</f>
        <v>0.1127408</v>
      </c>
      <c r="F20" s="1871">
        <f>'2. Detailed Summary'!$I$209</f>
        <v>0.55390899999999998</v>
      </c>
      <c r="G20" s="1871">
        <f>'2. Detailed Summary'!$I$211</f>
        <v>0.4913748</v>
      </c>
      <c r="H20" s="52"/>
      <c r="I20" s="39"/>
      <c r="J20" s="1375"/>
      <c r="K20" s="1375"/>
      <c r="L20" s="1375"/>
      <c r="M20" s="1375"/>
      <c r="N20" s="1375"/>
      <c r="O20" s="1375"/>
      <c r="P20" s="1375"/>
      <c r="Q20" s="1375"/>
      <c r="R20" s="1375"/>
      <c r="S20" s="1376"/>
      <c r="T20" s="1386"/>
      <c r="U20" s="1386"/>
      <c r="V20" s="1386"/>
      <c r="W20" s="1386"/>
      <c r="X20" s="1386"/>
      <c r="Y20" s="1386"/>
      <c r="Z20" s="1386"/>
      <c r="AA20" s="1386"/>
      <c r="AB20" s="1386"/>
      <c r="AC20" s="1386"/>
      <c r="AD20" s="1386"/>
      <c r="AE20" s="1387"/>
      <c r="AF20" s="1367"/>
      <c r="AG20" s="1367"/>
      <c r="AH20" s="1367"/>
      <c r="AI20" s="1367"/>
      <c r="AJ20" s="1367"/>
      <c r="AK20" s="1367"/>
      <c r="AL20" s="1367"/>
      <c r="AM20" s="1367"/>
      <c r="AN20" s="1367"/>
    </row>
    <row r="21" spans="1:48" x14ac:dyDescent="0.2">
      <c r="A21" s="91"/>
      <c r="B21" s="237"/>
      <c r="C21" s="91"/>
      <c r="D21" s="91"/>
      <c r="E21" s="52"/>
      <c r="F21" s="52"/>
      <c r="G21" s="52"/>
      <c r="H21" s="2919">
        <v>2007</v>
      </c>
      <c r="I21" s="505">
        <f>SUM(J21:S21)</f>
        <v>4457259</v>
      </c>
      <c r="J21" s="505">
        <f>SUM(J5:J18)</f>
        <v>0</v>
      </c>
      <c r="K21" s="505">
        <f t="shared" ref="K21:S21" si="3">SUM(K5:K18)</f>
        <v>0</v>
      </c>
      <c r="L21" s="863">
        <f t="shared" si="3"/>
        <v>182396</v>
      </c>
      <c r="M21" s="505">
        <f t="shared" si="3"/>
        <v>0</v>
      </c>
      <c r="N21" s="863">
        <f t="shared" si="3"/>
        <v>677944</v>
      </c>
      <c r="O21" s="863">
        <f t="shared" si="3"/>
        <v>156126</v>
      </c>
      <c r="P21" s="863">
        <f t="shared" si="3"/>
        <v>1786828</v>
      </c>
      <c r="Q21" s="505">
        <f t="shared" si="3"/>
        <v>0</v>
      </c>
      <c r="R21" s="863">
        <f t="shared" si="3"/>
        <v>1653965</v>
      </c>
      <c r="S21" s="816">
        <f t="shared" si="3"/>
        <v>0</v>
      </c>
      <c r="T21" s="1197"/>
      <c r="U21" s="1197"/>
      <c r="V21" s="1197"/>
      <c r="W21" s="1197"/>
      <c r="X21" s="1197"/>
      <c r="Y21" s="1197"/>
      <c r="Z21" s="1197"/>
      <c r="AA21" s="1197"/>
      <c r="AB21" s="1197"/>
      <c r="AC21" s="1197"/>
      <c r="AD21" s="1197"/>
      <c r="AE21" s="1381"/>
      <c r="AF21" s="1275"/>
      <c r="AG21" s="1367"/>
      <c r="AH21" s="1367"/>
      <c r="AI21" s="1367"/>
      <c r="AJ21" s="1367"/>
      <c r="AK21" s="1367"/>
      <c r="AL21" s="1367"/>
      <c r="AM21" s="1367"/>
      <c r="AN21" s="1367"/>
    </row>
    <row r="22" spans="1:48" ht="13.5" thickBot="1" x14ac:dyDescent="0.25">
      <c r="A22" s="7"/>
      <c r="B22" s="5"/>
      <c r="C22" s="5"/>
      <c r="D22" s="291"/>
      <c r="E22" s="39"/>
      <c r="F22" s="39"/>
      <c r="G22" s="39"/>
      <c r="H22" s="2920">
        <v>2008</v>
      </c>
      <c r="I22" s="1197">
        <f>SUM(T22:AE22)</f>
        <v>1127408</v>
      </c>
      <c r="J22" s="505"/>
      <c r="K22" s="505"/>
      <c r="L22" s="505"/>
      <c r="M22" s="505"/>
      <c r="N22" s="505"/>
      <c r="O22" s="505"/>
      <c r="P22" s="505"/>
      <c r="Q22" s="505"/>
      <c r="R22" s="505"/>
      <c r="S22" s="816"/>
      <c r="T22" s="1197">
        <f>SUM(T5:T18)</f>
        <v>0</v>
      </c>
      <c r="U22" s="1197">
        <f>SUM(U5:U18)</f>
        <v>0</v>
      </c>
      <c r="V22" s="1233">
        <f>SUM(V5:V18)</f>
        <v>231531</v>
      </c>
      <c r="W22" s="1233">
        <f>SUM(W5:W18)</f>
        <v>70533</v>
      </c>
      <c r="X22" s="1197">
        <f t="shared" ref="X22:AE22" si="4">SUM(X5:X18)</f>
        <v>0</v>
      </c>
      <c r="Y22" s="1197">
        <f t="shared" si="4"/>
        <v>0</v>
      </c>
      <c r="Z22" s="1233">
        <f t="shared" si="4"/>
        <v>206737</v>
      </c>
      <c r="AA22" s="1197">
        <f t="shared" si="4"/>
        <v>0</v>
      </c>
      <c r="AB22" s="1233">
        <f t="shared" si="4"/>
        <v>377371</v>
      </c>
      <c r="AC22" s="1197">
        <f t="shared" si="4"/>
        <v>0</v>
      </c>
      <c r="AD22" s="1197">
        <f t="shared" si="4"/>
        <v>0</v>
      </c>
      <c r="AE22" s="1383">
        <f t="shared" si="4"/>
        <v>241236</v>
      </c>
      <c r="AF22" s="1275"/>
      <c r="AG22" s="1367"/>
      <c r="AH22" s="1367"/>
      <c r="AI22" s="1367"/>
      <c r="AJ22" s="1367"/>
      <c r="AK22" s="1367"/>
      <c r="AL22" s="1367"/>
      <c r="AM22" s="1367"/>
      <c r="AN22" s="1367"/>
    </row>
    <row r="23" spans="1:48" ht="14.25" thickTop="1" thickBot="1" x14ac:dyDescent="0.25">
      <c r="A23" s="7"/>
      <c r="B23" s="5"/>
      <c r="C23" s="5"/>
      <c r="D23" s="5"/>
      <c r="E23" s="39"/>
      <c r="F23" s="39"/>
      <c r="G23" s="39"/>
      <c r="H23" s="2921">
        <v>2009</v>
      </c>
      <c r="I23" s="1275">
        <f>SUM(AF23:AR23)</f>
        <v>5539090</v>
      </c>
      <c r="J23" s="505"/>
      <c r="K23" s="505"/>
      <c r="L23" s="505"/>
      <c r="M23" s="505"/>
      <c r="N23" s="505"/>
      <c r="O23" s="505"/>
      <c r="P23" s="505"/>
      <c r="Q23" s="505"/>
      <c r="R23" s="505"/>
      <c r="S23" s="816"/>
      <c r="T23" s="1197"/>
      <c r="U23" s="1197"/>
      <c r="V23" s="1197"/>
      <c r="W23" s="1197"/>
      <c r="X23" s="1197"/>
      <c r="Y23" s="1197"/>
      <c r="Z23" s="1197"/>
      <c r="AA23" s="1197"/>
      <c r="AB23" s="1197"/>
      <c r="AC23" s="1197"/>
      <c r="AD23" s="1197"/>
      <c r="AE23" s="1381"/>
      <c r="AF23" s="1270">
        <f>SUM(AF5:AF18)</f>
        <v>103300</v>
      </c>
      <c r="AG23" s="1270">
        <f t="shared" ref="AG23:AR23" si="5">SUM(AG5:AG18)</f>
        <v>630859</v>
      </c>
      <c r="AH23" s="1270">
        <f t="shared" si="5"/>
        <v>1201154</v>
      </c>
      <c r="AI23" s="1270">
        <f t="shared" si="5"/>
        <v>553722</v>
      </c>
      <c r="AJ23" s="1270">
        <f t="shared" si="5"/>
        <v>267569</v>
      </c>
      <c r="AK23" s="1270">
        <f t="shared" si="5"/>
        <v>692854</v>
      </c>
      <c r="AL23" s="1270">
        <f t="shared" si="5"/>
        <v>230414</v>
      </c>
      <c r="AM23" s="1270">
        <f t="shared" si="5"/>
        <v>143436</v>
      </c>
      <c r="AN23" s="1270">
        <f t="shared" si="5"/>
        <v>245795</v>
      </c>
      <c r="AO23" s="1270">
        <f t="shared" si="5"/>
        <v>243280</v>
      </c>
      <c r="AP23" s="1270">
        <f t="shared" si="5"/>
        <v>126296</v>
      </c>
      <c r="AQ23" s="1270">
        <f t="shared" si="5"/>
        <v>808104</v>
      </c>
      <c r="AR23" s="1636">
        <f t="shared" si="5"/>
        <v>292307</v>
      </c>
      <c r="AS23" s="1329"/>
    </row>
    <row r="24" spans="1:48" ht="13.5" thickTop="1" x14ac:dyDescent="0.2">
      <c r="A24" s="4270" t="s">
        <v>130</v>
      </c>
      <c r="B24" s="4303"/>
      <c r="C24" s="4303"/>
      <c r="D24" s="4308"/>
      <c r="E24" s="39"/>
      <c r="F24" s="39"/>
      <c r="G24" s="39"/>
      <c r="H24" s="2922">
        <v>2010</v>
      </c>
      <c r="I24" s="1329">
        <f>SUM(AS24:BE24)</f>
        <v>4913653</v>
      </c>
      <c r="AS24" s="2106">
        <f>SUM(AS5:AS18)</f>
        <v>3048671</v>
      </c>
      <c r="AT24" s="1772">
        <f>SUM(AT5:AT18)</f>
        <v>478396</v>
      </c>
      <c r="AU24" s="1772">
        <f>SUM(AU5:AU18)</f>
        <v>453475</v>
      </c>
      <c r="AV24" s="1870">
        <f>SUM(AV5:AV18)</f>
        <v>933111</v>
      </c>
    </row>
    <row r="25" spans="1:48" ht="13.5" thickBot="1" x14ac:dyDescent="0.25">
      <c r="A25" s="4309" t="s">
        <v>112</v>
      </c>
      <c r="B25" s="4310"/>
      <c r="C25" s="153" t="s">
        <v>35</v>
      </c>
      <c r="D25" s="154" t="s">
        <v>113</v>
      </c>
      <c r="E25" s="39"/>
      <c r="F25" s="39"/>
      <c r="G25" s="39"/>
      <c r="H25" s="39"/>
      <c r="I25" s="1">
        <f>SUM(I21:I24)</f>
        <v>16037410</v>
      </c>
    </row>
    <row r="26" spans="1:48" x14ac:dyDescent="0.2">
      <c r="A26" s="166"/>
      <c r="B26" s="167"/>
      <c r="C26" s="168"/>
      <c r="D26" s="169"/>
      <c r="E26" s="39"/>
      <c r="F26" s="39"/>
      <c r="G26" s="39"/>
      <c r="H26" s="39"/>
    </row>
    <row r="27" spans="1:48" x14ac:dyDescent="0.2">
      <c r="A27" s="4294" t="s">
        <v>117</v>
      </c>
      <c r="B27" s="4295"/>
      <c r="C27" s="2923">
        <v>15</v>
      </c>
      <c r="D27" s="170">
        <f>C27/C33</f>
        <v>0.55555555555555558</v>
      </c>
      <c r="E27" s="39"/>
      <c r="F27" s="39"/>
      <c r="G27" s="39"/>
      <c r="H27" s="39"/>
    </row>
    <row r="28" spans="1:48" x14ac:dyDescent="0.2">
      <c r="A28" s="4294" t="s">
        <v>118</v>
      </c>
      <c r="B28" s="4295"/>
      <c r="C28" s="2923">
        <v>5</v>
      </c>
      <c r="D28" s="170">
        <f>C28/C33</f>
        <v>0.18518518518518517</v>
      </c>
      <c r="E28" s="39"/>
      <c r="F28" s="39"/>
      <c r="G28" s="39"/>
      <c r="H28" s="39"/>
    </row>
    <row r="29" spans="1:48" x14ac:dyDescent="0.2">
      <c r="A29" s="4294" t="s">
        <v>119</v>
      </c>
      <c r="B29" s="4295"/>
      <c r="C29" s="2923">
        <v>2</v>
      </c>
      <c r="D29" s="170">
        <f>C29/C33</f>
        <v>7.407407407407407E-2</v>
      </c>
      <c r="E29" s="39"/>
      <c r="F29" s="39"/>
      <c r="G29" s="39"/>
      <c r="H29" s="39"/>
    </row>
    <row r="30" spans="1:48" x14ac:dyDescent="0.2">
      <c r="A30" s="4294" t="s">
        <v>114</v>
      </c>
      <c r="B30" s="4295"/>
      <c r="C30" s="2923">
        <v>1</v>
      </c>
      <c r="D30" s="170">
        <f>C30/C33</f>
        <v>3.7037037037037035E-2</v>
      </c>
      <c r="E30" s="39"/>
      <c r="F30" s="39"/>
      <c r="G30" s="39"/>
      <c r="H30" s="39"/>
    </row>
    <row r="31" spans="1:48" x14ac:dyDescent="0.2">
      <c r="A31" s="4294" t="s">
        <v>115</v>
      </c>
      <c r="B31" s="4295"/>
      <c r="C31" s="2923">
        <v>0</v>
      </c>
      <c r="D31" s="170">
        <f>C31/C33</f>
        <v>0</v>
      </c>
      <c r="E31" s="39"/>
      <c r="F31" s="39"/>
      <c r="G31" s="39"/>
      <c r="H31" s="39"/>
    </row>
    <row r="32" spans="1:48" ht="13.5" thickBot="1" x14ac:dyDescent="0.25">
      <c r="A32" s="4277" t="s">
        <v>116</v>
      </c>
      <c r="B32" s="4278"/>
      <c r="C32" s="2924">
        <v>4</v>
      </c>
      <c r="D32" s="171">
        <f>C32/C33</f>
        <v>0.14814814814814814</v>
      </c>
      <c r="E32" s="39"/>
      <c r="F32" s="39"/>
      <c r="G32" s="39"/>
      <c r="H32" s="39"/>
    </row>
    <row r="33" spans="1:8" ht="14.25" thickTop="1" thickBot="1" x14ac:dyDescent="0.25">
      <c r="A33" s="78" t="s">
        <v>69</v>
      </c>
      <c r="B33" s="79"/>
      <c r="C33" s="2925">
        <f>SUM(C27:C32)</f>
        <v>27</v>
      </c>
      <c r="D33" s="80">
        <f>SUM(D27:D32)</f>
        <v>1</v>
      </c>
      <c r="E33" s="39"/>
      <c r="F33" s="39"/>
      <c r="G33" s="39"/>
      <c r="H33" s="39"/>
    </row>
    <row r="34" spans="1:8" ht="13.5" thickTop="1" x14ac:dyDescent="0.2">
      <c r="A34" s="94"/>
      <c r="B34" s="81"/>
      <c r="C34" s="82"/>
      <c r="D34" s="95"/>
      <c r="E34" s="39"/>
      <c r="F34" s="39"/>
      <c r="G34" s="39"/>
      <c r="H34" s="39"/>
    </row>
    <row r="35" spans="1:8" ht="13.5" thickBot="1" x14ac:dyDescent="0.25">
      <c r="A35" s="94"/>
      <c r="B35" s="81"/>
      <c r="C35" s="82"/>
      <c r="D35" s="95"/>
      <c r="E35" s="39"/>
      <c r="F35" s="39"/>
      <c r="G35" s="39"/>
      <c r="H35" s="39"/>
    </row>
    <row r="36" spans="1:8" ht="13.5" thickTop="1" x14ac:dyDescent="0.2">
      <c r="A36" s="4279" t="s">
        <v>216</v>
      </c>
      <c r="B36" s="4280"/>
      <c r="C36" s="4280"/>
      <c r="D36" s="4281"/>
      <c r="E36" s="39"/>
      <c r="F36" s="39"/>
      <c r="G36" s="39"/>
      <c r="H36" s="39"/>
    </row>
    <row r="37" spans="1:8" ht="13.5" thickBot="1" x14ac:dyDescent="0.25">
      <c r="A37" s="4296" t="s">
        <v>215</v>
      </c>
      <c r="B37" s="4297"/>
      <c r="C37" s="155" t="s">
        <v>35</v>
      </c>
      <c r="D37" s="156" t="s">
        <v>113</v>
      </c>
      <c r="E37" s="39"/>
      <c r="F37" s="39"/>
      <c r="G37" s="39"/>
      <c r="H37" s="39"/>
    </row>
    <row r="38" spans="1:8" ht="13.5" thickTop="1" x14ac:dyDescent="0.2">
      <c r="A38" s="4305" t="s">
        <v>212</v>
      </c>
      <c r="B38" s="4306"/>
      <c r="C38" s="2926">
        <v>3</v>
      </c>
      <c r="D38" s="158">
        <f>C38/C42</f>
        <v>0.1111111111111111</v>
      </c>
      <c r="E38" s="39"/>
      <c r="F38" s="39"/>
      <c r="G38" s="39"/>
      <c r="H38" s="39"/>
    </row>
    <row r="39" spans="1:8" x14ac:dyDescent="0.2">
      <c r="A39" s="4307" t="s">
        <v>213</v>
      </c>
      <c r="B39" s="4286"/>
      <c r="C39" s="2927">
        <v>0</v>
      </c>
      <c r="D39" s="159">
        <f>C39/C42</f>
        <v>0</v>
      </c>
      <c r="E39" s="39"/>
      <c r="F39" s="39"/>
      <c r="G39" s="39"/>
      <c r="H39" s="39"/>
    </row>
    <row r="40" spans="1:8" x14ac:dyDescent="0.2">
      <c r="A40" s="4307" t="s">
        <v>67</v>
      </c>
      <c r="B40" s="4286"/>
      <c r="C40" s="2927">
        <v>10</v>
      </c>
      <c r="D40" s="159">
        <f>C40/C42</f>
        <v>0.37037037037037035</v>
      </c>
      <c r="E40" s="39"/>
      <c r="F40" s="39"/>
      <c r="G40" s="39"/>
      <c r="H40" s="39"/>
    </row>
    <row r="41" spans="1:8" ht="13.5" thickBot="1" x14ac:dyDescent="0.25">
      <c r="A41" s="4275" t="s">
        <v>214</v>
      </c>
      <c r="B41" s="4276"/>
      <c r="C41" s="2928">
        <v>14</v>
      </c>
      <c r="D41" s="160">
        <f>C41/C42</f>
        <v>0.51851851851851849</v>
      </c>
      <c r="E41" s="39"/>
      <c r="F41" s="39"/>
      <c r="G41" s="39"/>
      <c r="H41" s="39"/>
    </row>
    <row r="42" spans="1:8" ht="14.25" thickTop="1" thickBot="1" x14ac:dyDescent="0.25">
      <c r="A42" s="78" t="s">
        <v>69</v>
      </c>
      <c r="B42" s="79"/>
      <c r="C42" s="2929">
        <f>SUM(C36:C41)</f>
        <v>27</v>
      </c>
      <c r="D42" s="157">
        <f>SUM(D36:D41)</f>
        <v>1</v>
      </c>
      <c r="E42" s="39"/>
      <c r="F42" s="39"/>
      <c r="G42" s="39"/>
      <c r="H42" s="39"/>
    </row>
    <row r="43" spans="1:8" ht="13.5" thickTop="1" x14ac:dyDescent="0.2">
      <c r="A43" s="94"/>
      <c r="B43" s="81"/>
      <c r="C43" s="82"/>
      <c r="D43" s="95"/>
      <c r="E43" s="39"/>
      <c r="F43" s="39"/>
      <c r="G43" s="39"/>
      <c r="H43" s="39"/>
    </row>
    <row r="44" spans="1:8" ht="13.5" thickBot="1" x14ac:dyDescent="0.25">
      <c r="A44" s="94"/>
      <c r="B44" s="81"/>
      <c r="C44" s="82"/>
      <c r="D44" s="95"/>
      <c r="E44" s="39"/>
      <c r="F44" s="39"/>
      <c r="G44" s="39"/>
      <c r="H44" s="39"/>
    </row>
    <row r="45" spans="1:8" ht="13.5" thickTop="1" x14ac:dyDescent="0.2">
      <c r="A45" s="4279" t="s">
        <v>339</v>
      </c>
      <c r="B45" s="4280"/>
      <c r="C45" s="4280"/>
      <c r="D45" s="4281"/>
    </row>
    <row r="46" spans="1:8" ht="13.5" thickBot="1" x14ac:dyDescent="0.25">
      <c r="A46" s="4298" t="s">
        <v>4</v>
      </c>
      <c r="B46" s="4297"/>
      <c r="C46" s="17" t="s">
        <v>35</v>
      </c>
      <c r="D46" s="165" t="s">
        <v>113</v>
      </c>
      <c r="E46" s="39"/>
      <c r="F46" s="39"/>
      <c r="G46" s="39"/>
      <c r="H46" s="39"/>
    </row>
    <row r="47" spans="1:8" ht="15" thickTop="1" x14ac:dyDescent="0.2">
      <c r="A47" s="174" t="s">
        <v>229</v>
      </c>
      <c r="B47" s="175"/>
      <c r="C47" s="2930">
        <v>19</v>
      </c>
      <c r="D47" s="182">
        <f>C47/C49</f>
        <v>0.70370370370370372</v>
      </c>
      <c r="E47" s="39"/>
      <c r="F47" s="39"/>
      <c r="G47" s="39"/>
      <c r="H47" s="39"/>
    </row>
    <row r="48" spans="1:8" ht="13.5" thickBot="1" x14ac:dyDescent="0.25">
      <c r="A48" s="178" t="s">
        <v>228</v>
      </c>
      <c r="B48" s="179"/>
      <c r="C48" s="2931">
        <v>8</v>
      </c>
      <c r="D48" s="183">
        <f>C48/C49</f>
        <v>0.29629629629629628</v>
      </c>
      <c r="E48" s="39"/>
      <c r="F48" s="39"/>
      <c r="G48" s="39"/>
      <c r="H48" s="39"/>
    </row>
    <row r="49" spans="1:8" ht="14.25" thickTop="1" thickBot="1" x14ac:dyDescent="0.25">
      <c r="A49" s="180" t="s">
        <v>69</v>
      </c>
      <c r="B49" s="181"/>
      <c r="C49" s="2929">
        <f>SUM(C47:C48)</f>
        <v>27</v>
      </c>
      <c r="D49" s="184">
        <f>SUM(D47:D48)</f>
        <v>1</v>
      </c>
      <c r="E49" s="39"/>
      <c r="F49" s="39"/>
      <c r="G49" s="39"/>
      <c r="H49" s="39"/>
    </row>
    <row r="50" spans="1:8" ht="13.5" thickTop="1" x14ac:dyDescent="0.2">
      <c r="A50" s="185" t="s">
        <v>230</v>
      </c>
      <c r="E50" s="39"/>
      <c r="F50" s="39"/>
      <c r="G50" s="39"/>
      <c r="H50" s="39"/>
    </row>
    <row r="51" spans="1:8" ht="13.5" thickBot="1" x14ac:dyDescent="0.25">
      <c r="E51" s="39"/>
      <c r="F51" s="39"/>
      <c r="G51" s="39"/>
      <c r="H51" s="39"/>
    </row>
    <row r="52" spans="1:8" ht="13.5" thickTop="1" x14ac:dyDescent="0.2">
      <c r="A52" s="4270" t="s">
        <v>217</v>
      </c>
      <c r="B52" s="4271"/>
      <c r="C52" s="4271"/>
      <c r="D52" s="4272"/>
      <c r="E52" s="39"/>
      <c r="F52" s="39"/>
      <c r="G52" s="39"/>
      <c r="H52" s="39"/>
    </row>
    <row r="53" spans="1:8" ht="13.5" thickBot="1" x14ac:dyDescent="0.25">
      <c r="A53" s="4273" t="s">
        <v>218</v>
      </c>
      <c r="B53" s="4274"/>
      <c r="C53" s="17" t="s">
        <v>35</v>
      </c>
      <c r="D53" s="165" t="s">
        <v>113</v>
      </c>
      <c r="E53" s="39"/>
      <c r="F53" s="39"/>
      <c r="G53" s="39"/>
      <c r="H53" s="39"/>
    </row>
    <row r="54" spans="1:8" ht="13.5" thickTop="1" x14ac:dyDescent="0.2">
      <c r="A54" s="161" t="s">
        <v>220</v>
      </c>
      <c r="B54" s="163"/>
      <c r="C54" s="18"/>
      <c r="D54" s="220"/>
      <c r="E54" s="39"/>
      <c r="F54" s="39"/>
      <c r="G54" s="39"/>
      <c r="H54" s="39"/>
    </row>
    <row r="55" spans="1:8" x14ac:dyDescent="0.2">
      <c r="A55" s="176"/>
      <c r="B55" s="187"/>
      <c r="C55" s="187"/>
      <c r="D55" s="221"/>
      <c r="E55" s="39"/>
      <c r="F55" s="39"/>
      <c r="G55" s="39"/>
      <c r="H55" s="39"/>
    </row>
    <row r="56" spans="1:8" x14ac:dyDescent="0.2">
      <c r="A56" s="4285" t="s">
        <v>219</v>
      </c>
      <c r="B56" s="4286"/>
      <c r="C56" s="2932">
        <v>16</v>
      </c>
      <c r="D56" s="191">
        <f>C56/C64</f>
        <v>0.59259259259259256</v>
      </c>
      <c r="E56" s="39"/>
      <c r="F56" s="39"/>
      <c r="G56" s="39"/>
      <c r="H56" s="39"/>
    </row>
    <row r="57" spans="1:8" x14ac:dyDescent="0.2">
      <c r="A57" s="4285" t="s">
        <v>221</v>
      </c>
      <c r="B57" s="4286"/>
      <c r="C57" s="2932">
        <v>3</v>
      </c>
      <c r="D57" s="191">
        <f>C57/C64</f>
        <v>0.1111111111111111</v>
      </c>
      <c r="E57" s="199">
        <f>SUM(D56:D57)</f>
        <v>0.70370370370370372</v>
      </c>
      <c r="F57" s="199"/>
      <c r="G57" s="199"/>
      <c r="H57" s="199"/>
    </row>
    <row r="58" spans="1:8" x14ac:dyDescent="0.2">
      <c r="A58" s="4285" t="s">
        <v>222</v>
      </c>
      <c r="B58" s="4286"/>
      <c r="C58" s="2932">
        <v>2</v>
      </c>
      <c r="D58" s="191">
        <f>C58/C64</f>
        <v>7.407407407407407E-2</v>
      </c>
      <c r="E58" s="39"/>
      <c r="F58" s="39"/>
      <c r="G58" s="39"/>
      <c r="H58" s="39"/>
    </row>
    <row r="59" spans="1:8" x14ac:dyDescent="0.2">
      <c r="A59" s="4285" t="s">
        <v>223</v>
      </c>
      <c r="B59" s="4286"/>
      <c r="C59" s="2932">
        <v>0</v>
      </c>
      <c r="D59" s="191">
        <f>C59/C64</f>
        <v>0</v>
      </c>
      <c r="E59" s="199">
        <f>SUM(D56:D59)</f>
        <v>0.77777777777777779</v>
      </c>
      <c r="F59" s="199"/>
      <c r="G59" s="199"/>
      <c r="H59" s="199"/>
    </row>
    <row r="60" spans="1:8" x14ac:dyDescent="0.2">
      <c r="A60" s="4285" t="s">
        <v>224</v>
      </c>
      <c r="B60" s="4286"/>
      <c r="C60" s="2932">
        <v>2</v>
      </c>
      <c r="D60" s="191">
        <f>C60/C64</f>
        <v>7.407407407407407E-2</v>
      </c>
      <c r="E60" s="39"/>
      <c r="F60" s="39"/>
      <c r="G60" s="39"/>
      <c r="H60" s="39"/>
    </row>
    <row r="61" spans="1:8" x14ac:dyDescent="0.2">
      <c r="A61" s="4285" t="s">
        <v>225</v>
      </c>
      <c r="B61" s="4286"/>
      <c r="C61" s="2932">
        <v>1</v>
      </c>
      <c r="D61" s="191">
        <f>C61/C64</f>
        <v>3.7037037037037035E-2</v>
      </c>
      <c r="E61" s="39"/>
      <c r="F61" s="39"/>
      <c r="G61" s="39"/>
      <c r="H61" s="39"/>
    </row>
    <row r="62" spans="1:8" x14ac:dyDescent="0.2">
      <c r="A62" s="4285" t="s">
        <v>226</v>
      </c>
      <c r="B62" s="4286"/>
      <c r="C62" s="2932">
        <v>1</v>
      </c>
      <c r="D62" s="191">
        <f>C62/C64</f>
        <v>3.7037037037037035E-2</v>
      </c>
      <c r="E62" s="39"/>
      <c r="F62" s="39"/>
      <c r="G62" s="39"/>
      <c r="H62" s="39"/>
    </row>
    <row r="63" spans="1:8" ht="13.5" thickBot="1" x14ac:dyDescent="0.25">
      <c r="A63" s="4293" t="s">
        <v>227</v>
      </c>
      <c r="B63" s="4276"/>
      <c r="C63" s="2933">
        <v>2</v>
      </c>
      <c r="D63" s="198">
        <f>C63/C64</f>
        <v>7.407407407407407E-2</v>
      </c>
      <c r="E63" s="39"/>
      <c r="F63" s="39"/>
      <c r="G63" s="39"/>
      <c r="H63" s="39"/>
    </row>
    <row r="64" spans="1:8" ht="14.25" thickTop="1" thickBot="1" x14ac:dyDescent="0.25">
      <c r="A64" s="78" t="s">
        <v>69</v>
      </c>
      <c r="B64" s="79"/>
      <c r="C64" s="2929">
        <f>SUM(C54:C63)</f>
        <v>27</v>
      </c>
      <c r="D64" s="157">
        <f>SUM(D54:D63)</f>
        <v>0.99999999999999989</v>
      </c>
      <c r="E64" s="39"/>
      <c r="F64" s="39"/>
      <c r="G64" s="39"/>
      <c r="H64" s="39"/>
    </row>
    <row r="65" spans="1:8" ht="14.25" thickTop="1" thickBot="1" x14ac:dyDescent="0.25">
      <c r="E65" s="39"/>
      <c r="F65" s="39"/>
      <c r="G65" s="39"/>
      <c r="H65" s="39"/>
    </row>
    <row r="66" spans="1:8" ht="13.5" thickTop="1" x14ac:dyDescent="0.2">
      <c r="A66" s="4299" t="s">
        <v>231</v>
      </c>
      <c r="B66" s="4300"/>
      <c r="C66" s="4300"/>
      <c r="D66" s="4300"/>
      <c r="E66" s="4301"/>
      <c r="F66" s="209"/>
      <c r="G66" s="209"/>
      <c r="H66" s="209"/>
    </row>
    <row r="67" spans="1:8" ht="13.5" thickBot="1" x14ac:dyDescent="0.25">
      <c r="A67" s="172" t="s">
        <v>4</v>
      </c>
      <c r="B67" s="173"/>
      <c r="C67" s="164"/>
      <c r="D67" s="17" t="s">
        <v>35</v>
      </c>
      <c r="E67" s="165" t="s">
        <v>113</v>
      </c>
      <c r="F67" s="117"/>
      <c r="G67" s="117"/>
      <c r="H67" s="117"/>
    </row>
    <row r="68" spans="1:8" ht="13.5" thickTop="1" x14ac:dyDescent="0.2">
      <c r="A68" s="174" t="s">
        <v>232</v>
      </c>
      <c r="B68" s="186"/>
      <c r="C68" s="175"/>
      <c r="D68" s="2930">
        <v>5</v>
      </c>
      <c r="E68" s="190">
        <f>D68/D72</f>
        <v>0.18518518518518517</v>
      </c>
      <c r="F68" s="238"/>
      <c r="G68" s="238"/>
      <c r="H68" s="238"/>
    </row>
    <row r="69" spans="1:8" x14ac:dyDescent="0.2">
      <c r="A69" s="176" t="s">
        <v>234</v>
      </c>
      <c r="B69" s="187"/>
      <c r="C69" s="177"/>
      <c r="D69" s="2932">
        <v>2</v>
      </c>
      <c r="E69" s="191">
        <f>D69/D72</f>
        <v>7.407407407407407E-2</v>
      </c>
      <c r="F69" s="238"/>
      <c r="G69" s="238"/>
      <c r="H69" s="238"/>
    </row>
    <row r="70" spans="1:8" x14ac:dyDescent="0.2">
      <c r="A70" s="176" t="s">
        <v>233</v>
      </c>
      <c r="B70" s="187"/>
      <c r="C70" s="177"/>
      <c r="D70" s="2932">
        <v>17</v>
      </c>
      <c r="E70" s="191">
        <f>D70/D72</f>
        <v>0.62962962962962965</v>
      </c>
      <c r="F70" s="238"/>
      <c r="G70" s="238"/>
      <c r="H70" s="238"/>
    </row>
    <row r="71" spans="1:8" ht="13.5" thickBot="1" x14ac:dyDescent="0.25">
      <c r="A71" s="178" t="s">
        <v>235</v>
      </c>
      <c r="B71" s="188"/>
      <c r="C71" s="179"/>
      <c r="D71" s="2931">
        <v>3</v>
      </c>
      <c r="E71" s="192">
        <f>D71/D72</f>
        <v>0.1111111111111111</v>
      </c>
      <c r="F71" s="238"/>
      <c r="G71" s="238"/>
      <c r="H71" s="238"/>
    </row>
    <row r="72" spans="1:8" ht="14.25" thickTop="1" thickBot="1" x14ac:dyDescent="0.25">
      <c r="A72" s="189" t="s">
        <v>69</v>
      </c>
      <c r="B72" s="162"/>
      <c r="C72" s="181"/>
      <c r="D72" s="2929">
        <f>SUM(D68:D71)</f>
        <v>27</v>
      </c>
      <c r="E72" s="193">
        <f>SUM(E68:E71)</f>
        <v>1</v>
      </c>
      <c r="F72" s="238"/>
      <c r="G72" s="238"/>
      <c r="H72" s="238"/>
    </row>
    <row r="73" spans="1:8" ht="13.5" thickTop="1" x14ac:dyDescent="0.2"/>
  </sheetData>
  <mergeCells count="33">
    <mergeCell ref="A2:F2"/>
    <mergeCell ref="A38:B38"/>
    <mergeCell ref="A39:B39"/>
    <mergeCell ref="A40:B40"/>
    <mergeCell ref="A28:B28"/>
    <mergeCell ref="A29:B29"/>
    <mergeCell ref="A30:B30"/>
    <mergeCell ref="A24:D24"/>
    <mergeCell ref="A25:B25"/>
    <mergeCell ref="A66:E66"/>
    <mergeCell ref="A58:B58"/>
    <mergeCell ref="A59:B59"/>
    <mergeCell ref="A60:B60"/>
    <mergeCell ref="A61:B61"/>
    <mergeCell ref="A62:B62"/>
    <mergeCell ref="A57:B57"/>
    <mergeCell ref="J3:S3"/>
    <mergeCell ref="T3:AE3"/>
    <mergeCell ref="A63:B63"/>
    <mergeCell ref="A27:B27"/>
    <mergeCell ref="A31:B31"/>
    <mergeCell ref="A37:B37"/>
    <mergeCell ref="A56:B56"/>
    <mergeCell ref="A46:B46"/>
    <mergeCell ref="A45:D45"/>
    <mergeCell ref="AF3:AR3"/>
    <mergeCell ref="AS3:AU3"/>
    <mergeCell ref="A52:D52"/>
    <mergeCell ref="A53:B53"/>
    <mergeCell ref="A41:B41"/>
    <mergeCell ref="A32:B32"/>
    <mergeCell ref="A36:D36"/>
    <mergeCell ref="D3:G3"/>
  </mergeCells>
  <phoneticPr fontId="9" type="noConversion"/>
  <printOptions gridLines="1"/>
  <pageMargins left="0.75" right="0.75" top="1" bottom="1" header="0.5" footer="0.5"/>
  <pageSetup scale="62" orientation="portrait" r:id="rId1"/>
  <headerFooter alignWithMargins="0"/>
  <rowBreaks count="1" manualBreakCount="1">
    <brk id="50" max="16383" man="1"/>
  </rowBreaks>
  <colBreaks count="4" manualBreakCount="4">
    <brk id="9" max="1048575" man="1"/>
    <brk id="19" max="82" man="1"/>
    <brk id="31" max="82" man="1"/>
    <brk id="44" max="82"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dimension ref="A1:AN150"/>
  <sheetViews>
    <sheetView workbookViewId="0">
      <selection sqref="A1:P2"/>
    </sheetView>
  </sheetViews>
  <sheetFormatPr defaultRowHeight="12.75" x14ac:dyDescent="0.2"/>
  <cols>
    <col min="1" max="1" width="51.28515625" customWidth="1"/>
    <col min="2" max="2" width="9.28515625" bestFit="1" customWidth="1"/>
    <col min="5" max="6" width="12.140625" style="38" customWidth="1"/>
    <col min="7" max="7" width="11.28515625" style="230" customWidth="1"/>
    <col min="15" max="15" width="9.140625" style="3"/>
    <col min="16" max="16" width="9.140625" style="5"/>
    <col min="17" max="18" width="9.140625" style="230"/>
  </cols>
  <sheetData>
    <row r="1" spans="1:27" ht="20.25" x14ac:dyDescent="0.3">
      <c r="A1" s="4311" t="s">
        <v>350</v>
      </c>
      <c r="B1" s="4312"/>
      <c r="C1" s="4312"/>
      <c r="D1" s="4312"/>
      <c r="E1" s="4312"/>
      <c r="F1" s="4312"/>
      <c r="G1" s="4312"/>
      <c r="H1" s="4312"/>
      <c r="I1" s="4312"/>
      <c r="J1" s="4312"/>
      <c r="K1" s="4312"/>
      <c r="L1" s="4312"/>
      <c r="M1" s="4312"/>
      <c r="N1" s="4312"/>
      <c r="O1" s="4312"/>
      <c r="P1" s="4313"/>
      <c r="Q1" s="2118"/>
      <c r="R1" s="2119"/>
      <c r="S1" s="90"/>
      <c r="T1" s="90"/>
      <c r="U1" s="303"/>
    </row>
    <row r="2" spans="1:27" ht="21" thickBot="1" x14ac:dyDescent="0.35">
      <c r="A2" s="4314"/>
      <c r="B2" s="4315"/>
      <c r="C2" s="4315"/>
      <c r="D2" s="4315"/>
      <c r="E2" s="4315"/>
      <c r="F2" s="4315"/>
      <c r="G2" s="4315"/>
      <c r="H2" s="4315"/>
      <c r="I2" s="4315"/>
      <c r="J2" s="4315"/>
      <c r="K2" s="4315"/>
      <c r="L2" s="4315"/>
      <c r="M2" s="4315"/>
      <c r="N2" s="4315"/>
      <c r="O2" s="4315"/>
      <c r="P2" s="4315"/>
      <c r="Q2" s="2121"/>
      <c r="R2" s="2119"/>
      <c r="S2" s="90"/>
      <c r="T2" s="90"/>
      <c r="U2" s="303"/>
    </row>
    <row r="3" spans="1:27" ht="14.25" thickTop="1" thickBot="1" x14ac:dyDescent="0.25">
      <c r="A3" s="8" t="s">
        <v>2</v>
      </c>
      <c r="B3" s="12" t="s">
        <v>42</v>
      </c>
      <c r="C3" s="12"/>
      <c r="D3" s="53" t="s">
        <v>43</v>
      </c>
      <c r="E3" s="304" t="s">
        <v>515</v>
      </c>
      <c r="F3" s="304" t="s">
        <v>1343</v>
      </c>
      <c r="G3" s="307" t="s">
        <v>88</v>
      </c>
      <c r="H3" s="16"/>
      <c r="I3" s="16"/>
      <c r="J3" s="16"/>
      <c r="K3" s="16"/>
      <c r="L3" s="16"/>
      <c r="M3" s="308"/>
      <c r="N3" s="308"/>
      <c r="O3" s="1433"/>
      <c r="P3" s="113" t="s">
        <v>347</v>
      </c>
      <c r="Q3" s="2120" t="s">
        <v>347</v>
      </c>
      <c r="R3" s="2120" t="s">
        <v>1041</v>
      </c>
      <c r="S3" s="39"/>
      <c r="T3" s="39"/>
      <c r="U3" s="39"/>
      <c r="V3" s="39"/>
      <c r="W3" s="39"/>
      <c r="X3" s="39"/>
      <c r="Y3" s="39"/>
      <c r="Z3" s="39"/>
    </row>
    <row r="4" spans="1:27" ht="13.5" thickBot="1" x14ac:dyDescent="0.25">
      <c r="A4" s="9" t="s">
        <v>3</v>
      </c>
      <c r="B4" s="13" t="s">
        <v>4</v>
      </c>
      <c r="C4" s="13" t="s">
        <v>5</v>
      </c>
      <c r="D4" s="54" t="s">
        <v>4</v>
      </c>
      <c r="E4" s="305" t="s">
        <v>514</v>
      </c>
      <c r="F4" s="305"/>
      <c r="G4" s="70" t="s">
        <v>89</v>
      </c>
      <c r="H4" s="2834">
        <v>2007</v>
      </c>
      <c r="I4" s="2834">
        <v>2008</v>
      </c>
      <c r="J4" s="2834">
        <v>2009</v>
      </c>
      <c r="K4" s="2834">
        <v>2010</v>
      </c>
      <c r="L4" s="2834">
        <v>2011</v>
      </c>
      <c r="M4" s="2835">
        <v>2012</v>
      </c>
      <c r="N4" s="2835">
        <v>2013</v>
      </c>
      <c r="O4" s="2836">
        <v>2014</v>
      </c>
      <c r="P4" s="117" t="s">
        <v>1044</v>
      </c>
      <c r="Q4" s="975" t="s">
        <v>1045</v>
      </c>
      <c r="R4" s="975" t="s">
        <v>1042</v>
      </c>
      <c r="S4" s="40"/>
      <c r="T4" s="40"/>
      <c r="U4" s="40"/>
      <c r="V4" s="40"/>
      <c r="W4" s="40"/>
      <c r="X4" s="40"/>
      <c r="Y4" s="40"/>
      <c r="Z4" s="39"/>
      <c r="AA4" s="38">
        <v>2021</v>
      </c>
    </row>
    <row r="5" spans="1:27" ht="14.25" thickTop="1" thickBot="1" x14ac:dyDescent="0.25">
      <c r="A5" s="20" t="s">
        <v>89</v>
      </c>
      <c r="B5" s="21"/>
      <c r="C5" s="21"/>
      <c r="D5" s="21"/>
      <c r="E5" s="306" t="s">
        <v>211</v>
      </c>
      <c r="F5" s="305"/>
      <c r="G5" s="70" t="s">
        <v>69</v>
      </c>
      <c r="H5" s="197"/>
      <c r="I5" s="197"/>
      <c r="J5" s="197"/>
      <c r="K5" s="197"/>
      <c r="L5" s="197"/>
      <c r="M5" s="197"/>
      <c r="N5" s="197"/>
      <c r="O5" s="1434"/>
      <c r="P5" s="2116" t="s">
        <v>98</v>
      </c>
      <c r="Q5" s="975" t="s">
        <v>1047</v>
      </c>
      <c r="R5" s="975" t="s">
        <v>1043</v>
      </c>
      <c r="S5" s="39"/>
      <c r="T5" s="39"/>
      <c r="U5" s="39"/>
      <c r="V5" s="39"/>
      <c r="W5" s="39"/>
      <c r="X5" s="39"/>
      <c r="Y5" s="39"/>
      <c r="Z5" s="39"/>
    </row>
    <row r="6" spans="1:27" ht="14.25" thickTop="1" thickBot="1" x14ac:dyDescent="0.25">
      <c r="A6" s="670" t="s">
        <v>49</v>
      </c>
      <c r="B6" s="671"/>
      <c r="C6" s="671"/>
      <c r="D6" s="671"/>
      <c r="E6" s="2837"/>
      <c r="F6" s="2837"/>
      <c r="G6" s="2838"/>
      <c r="H6" s="2839"/>
      <c r="I6" s="2839"/>
      <c r="J6" s="2839"/>
      <c r="K6" s="2839"/>
      <c r="L6" s="2839"/>
      <c r="M6" s="2839"/>
      <c r="N6" s="2839"/>
      <c r="O6" s="2840"/>
      <c r="P6" s="2841"/>
      <c r="Q6" s="2842" t="s">
        <v>1046</v>
      </c>
      <c r="R6" s="2838"/>
      <c r="S6" s="39"/>
      <c r="T6" s="39"/>
      <c r="U6" s="39"/>
      <c r="V6" s="39"/>
      <c r="W6" s="39"/>
      <c r="X6" s="39"/>
      <c r="Y6" s="39"/>
      <c r="Z6" s="39"/>
    </row>
    <row r="7" spans="1:27" x14ac:dyDescent="0.2">
      <c r="A7" s="475" t="s">
        <v>39</v>
      </c>
      <c r="B7" s="476" t="s">
        <v>7</v>
      </c>
      <c r="C7" s="476" t="s">
        <v>132</v>
      </c>
      <c r="D7" s="672" t="s">
        <v>8</v>
      </c>
      <c r="E7" s="2837"/>
      <c r="F7" s="2837"/>
      <c r="G7" s="2843"/>
      <c r="H7" s="2844"/>
      <c r="I7" s="2844"/>
      <c r="J7" s="2844"/>
      <c r="K7" s="2844"/>
      <c r="L7" s="2844"/>
      <c r="M7" s="2844"/>
      <c r="N7" s="2844"/>
      <c r="O7" s="2845"/>
      <c r="P7" s="237"/>
      <c r="Q7" s="2843"/>
      <c r="R7" s="2843"/>
      <c r="S7" s="41"/>
      <c r="T7" s="41"/>
      <c r="U7" s="41"/>
      <c r="V7" s="41"/>
      <c r="W7" s="41"/>
      <c r="X7" s="41"/>
      <c r="Y7" s="41"/>
      <c r="Z7" s="41"/>
    </row>
    <row r="8" spans="1:27" x14ac:dyDescent="0.2">
      <c r="A8" s="475" t="s">
        <v>13</v>
      </c>
      <c r="B8" s="476" t="s">
        <v>14</v>
      </c>
      <c r="C8" s="476" t="s">
        <v>132</v>
      </c>
      <c r="D8" s="672" t="s">
        <v>8</v>
      </c>
      <c r="E8" s="2837"/>
      <c r="F8" s="2837"/>
      <c r="G8" s="2843"/>
      <c r="H8" s="2844"/>
      <c r="I8" s="2844"/>
      <c r="J8" s="2844"/>
      <c r="K8" s="2844"/>
      <c r="L8" s="2844"/>
      <c r="M8" s="2844"/>
      <c r="N8" s="2844"/>
      <c r="O8" s="2845"/>
      <c r="P8" s="237"/>
      <c r="Q8" s="2843"/>
      <c r="R8" s="2843"/>
      <c r="S8" s="41"/>
      <c r="T8" s="41"/>
      <c r="U8" s="41"/>
      <c r="V8" s="41"/>
      <c r="W8" s="41"/>
      <c r="X8" s="41"/>
      <c r="Y8" s="41"/>
      <c r="Z8" s="41"/>
    </row>
    <row r="9" spans="1:27" x14ac:dyDescent="0.2">
      <c r="A9" s="475" t="s">
        <v>15</v>
      </c>
      <c r="B9" s="476" t="s">
        <v>7</v>
      </c>
      <c r="C9" s="476" t="s">
        <v>132</v>
      </c>
      <c r="D9" s="672" t="s">
        <v>8</v>
      </c>
      <c r="E9" s="2837"/>
      <c r="F9" s="2837"/>
      <c r="G9" s="2846"/>
      <c r="H9" s="2844"/>
      <c r="I9" s="2844"/>
      <c r="J9" s="2844"/>
      <c r="K9" s="2844"/>
      <c r="L9" s="2844"/>
      <c r="M9" s="2844"/>
      <c r="N9" s="2844"/>
      <c r="O9" s="2845"/>
      <c r="P9" s="237"/>
      <c r="Q9" s="2843"/>
      <c r="R9" s="2843"/>
      <c r="S9" s="41"/>
      <c r="T9" s="41"/>
      <c r="U9" s="41"/>
      <c r="V9" s="41"/>
      <c r="W9" s="41"/>
      <c r="X9" s="41"/>
      <c r="Y9" s="41"/>
      <c r="Z9" s="41"/>
    </row>
    <row r="10" spans="1:27" ht="13.5" thickBot="1" x14ac:dyDescent="0.25">
      <c r="A10" s="475" t="s">
        <v>15</v>
      </c>
      <c r="B10" s="476" t="s">
        <v>7</v>
      </c>
      <c r="C10" s="476" t="s">
        <v>132</v>
      </c>
      <c r="D10" s="672" t="s">
        <v>16</v>
      </c>
      <c r="E10" s="2837"/>
      <c r="F10" s="2837"/>
      <c r="G10" s="2846"/>
      <c r="H10" s="2844"/>
      <c r="I10" s="2844"/>
      <c r="J10" s="2844"/>
      <c r="K10" s="2844"/>
      <c r="L10" s="2844"/>
      <c r="M10" s="2844"/>
      <c r="N10" s="2844"/>
      <c r="O10" s="2845"/>
      <c r="P10" s="237"/>
      <c r="Q10" s="2843"/>
      <c r="R10" s="2843"/>
      <c r="S10" s="41"/>
      <c r="T10" s="41"/>
      <c r="U10" s="41"/>
      <c r="V10" s="41"/>
      <c r="W10" s="41"/>
      <c r="X10" s="41"/>
      <c r="Y10" s="41"/>
      <c r="Z10" s="41"/>
    </row>
    <row r="11" spans="1:27" ht="13.5" thickBot="1" x14ac:dyDescent="0.25">
      <c r="A11" s="644" t="s">
        <v>38</v>
      </c>
      <c r="B11" s="645"/>
      <c r="C11" s="645"/>
      <c r="D11" s="673"/>
      <c r="E11" s="2837"/>
      <c r="F11" s="2837"/>
      <c r="G11" s="2846"/>
      <c r="H11" s="2844"/>
      <c r="I11" s="2844"/>
      <c r="J11" s="2844"/>
      <c r="K11" s="2844"/>
      <c r="L11" s="2844"/>
      <c r="M11" s="2844"/>
      <c r="N11" s="2844"/>
      <c r="O11" s="2845"/>
      <c r="P11" s="237"/>
      <c r="Q11" s="2843"/>
      <c r="R11" s="2843"/>
      <c r="S11" s="41"/>
      <c r="T11" s="41"/>
      <c r="U11" s="41"/>
      <c r="V11" s="41"/>
      <c r="W11" s="41"/>
      <c r="X11" s="41"/>
      <c r="Y11" s="41"/>
      <c r="Z11" s="41"/>
    </row>
    <row r="12" spans="1:27" ht="14.25" thickTop="1" thickBot="1" x14ac:dyDescent="0.25">
      <c r="A12" s="11"/>
      <c r="B12" s="14"/>
      <c r="C12" s="15"/>
      <c r="D12" s="15"/>
      <c r="E12" s="2837"/>
      <c r="F12" s="2837"/>
      <c r="G12" s="2846"/>
      <c r="H12" s="2844"/>
      <c r="I12" s="2844"/>
      <c r="J12" s="2844"/>
      <c r="K12" s="2844"/>
      <c r="L12" s="2844"/>
      <c r="M12" s="2844"/>
      <c r="N12" s="2844"/>
      <c r="O12" s="2845"/>
      <c r="P12" s="237"/>
      <c r="Q12" s="2843"/>
      <c r="R12" s="2843"/>
      <c r="S12" s="41"/>
      <c r="T12" s="41"/>
      <c r="U12" s="41"/>
      <c r="V12" s="41"/>
      <c r="W12" s="41"/>
      <c r="X12" s="41"/>
      <c r="Y12" s="41"/>
      <c r="Z12" s="41"/>
    </row>
    <row r="13" spans="1:27" ht="14.25" thickTop="1" thickBot="1" x14ac:dyDescent="0.25">
      <c r="A13" s="670" t="s">
        <v>48</v>
      </c>
      <c r="B13" s="675"/>
      <c r="C13" s="675"/>
      <c r="D13" s="675"/>
      <c r="E13" s="2837"/>
      <c r="F13" s="2837"/>
      <c r="G13" s="2846"/>
      <c r="H13" s="2844"/>
      <c r="I13" s="2844"/>
      <c r="J13" s="2844"/>
      <c r="K13" s="2844"/>
      <c r="L13" s="2844"/>
      <c r="M13" s="2844"/>
      <c r="N13" s="2844"/>
      <c r="O13" s="2845"/>
      <c r="P13" s="237"/>
      <c r="Q13" s="2843"/>
      <c r="R13" s="2843"/>
      <c r="S13" s="41"/>
      <c r="T13" s="41"/>
      <c r="U13" s="41"/>
      <c r="V13" s="41"/>
      <c r="W13" s="41"/>
      <c r="X13" s="41"/>
      <c r="Y13" s="41"/>
      <c r="Z13" s="41"/>
    </row>
    <row r="14" spans="1:27" x14ac:dyDescent="0.2">
      <c r="A14" s="475" t="s">
        <v>13</v>
      </c>
      <c r="B14" s="476" t="s">
        <v>7</v>
      </c>
      <c r="C14" s="476" t="s">
        <v>132</v>
      </c>
      <c r="D14" s="672" t="s">
        <v>8</v>
      </c>
      <c r="E14" s="2837"/>
      <c r="F14" s="2837"/>
      <c r="G14" s="2846"/>
      <c r="H14" s="2847"/>
      <c r="I14" s="2847"/>
      <c r="J14" s="2847"/>
      <c r="K14" s="2847"/>
      <c r="L14" s="2847"/>
      <c r="M14" s="2847"/>
      <c r="N14" s="2847"/>
      <c r="O14" s="2848"/>
      <c r="P14" s="2849"/>
      <c r="Q14" s="2846"/>
      <c r="R14" s="2843"/>
      <c r="S14" s="41"/>
      <c r="T14" s="41"/>
      <c r="U14" s="41"/>
      <c r="V14" s="41"/>
      <c r="W14" s="41"/>
      <c r="X14" s="41"/>
      <c r="Y14" s="41"/>
      <c r="Z14" s="41"/>
    </row>
    <row r="15" spans="1:27" x14ac:dyDescent="0.2">
      <c r="A15" s="475" t="s">
        <v>50</v>
      </c>
      <c r="B15" s="476" t="s">
        <v>14</v>
      </c>
      <c r="C15" s="476" t="s">
        <v>132</v>
      </c>
      <c r="D15" s="672" t="s">
        <v>8</v>
      </c>
      <c r="E15" s="2837"/>
      <c r="F15" s="2837"/>
      <c r="G15" s="2846"/>
      <c r="H15" s="2844"/>
      <c r="I15" s="2844"/>
      <c r="J15" s="2844"/>
      <c r="K15" s="2844"/>
      <c r="L15" s="2844"/>
      <c r="M15" s="2844"/>
      <c r="N15" s="2844"/>
      <c r="O15" s="2845"/>
      <c r="P15" s="237"/>
      <c r="Q15" s="2843"/>
      <c r="R15" s="2843"/>
      <c r="S15" s="41"/>
      <c r="T15" s="41"/>
      <c r="U15" s="41"/>
      <c r="V15" s="41"/>
      <c r="W15" s="41"/>
      <c r="X15" s="41"/>
      <c r="Y15" s="41"/>
      <c r="Z15" s="41"/>
    </row>
    <row r="16" spans="1:27" x14ac:dyDescent="0.2">
      <c r="A16" s="475" t="s">
        <v>51</v>
      </c>
      <c r="B16" s="476" t="s">
        <v>14</v>
      </c>
      <c r="C16" s="476" t="s">
        <v>132</v>
      </c>
      <c r="D16" s="672" t="s">
        <v>8</v>
      </c>
      <c r="E16" s="2837"/>
      <c r="F16" s="2837"/>
      <c r="G16" s="2846"/>
      <c r="H16" s="2844"/>
      <c r="I16" s="2844"/>
      <c r="J16" s="2844"/>
      <c r="K16" s="2844"/>
      <c r="L16" s="2844"/>
      <c r="M16" s="2844"/>
      <c r="N16" s="2844"/>
      <c r="O16" s="2845"/>
      <c r="P16" s="237"/>
      <c r="Q16" s="2843"/>
      <c r="R16" s="2843"/>
      <c r="S16" s="41"/>
      <c r="T16" s="41"/>
      <c r="U16" s="41"/>
      <c r="V16" s="41"/>
      <c r="W16" s="41"/>
      <c r="X16" s="41"/>
      <c r="Y16" s="41"/>
      <c r="Z16" s="41"/>
    </row>
    <row r="17" spans="1:26" ht="13.5" thickBot="1" x14ac:dyDescent="0.25">
      <c r="A17" s="475" t="s">
        <v>52</v>
      </c>
      <c r="B17" s="476" t="s">
        <v>7</v>
      </c>
      <c r="C17" s="476" t="s">
        <v>132</v>
      </c>
      <c r="D17" s="672" t="s">
        <v>8</v>
      </c>
      <c r="E17" s="2837"/>
      <c r="F17" s="2837"/>
      <c r="G17" s="2846"/>
      <c r="H17" s="2844"/>
      <c r="I17" s="2844"/>
      <c r="J17" s="2844"/>
      <c r="K17" s="2844"/>
      <c r="L17" s="2844"/>
      <c r="M17" s="2844"/>
      <c r="N17" s="2844"/>
      <c r="O17" s="2845"/>
      <c r="P17" s="237"/>
      <c r="Q17" s="2843"/>
      <c r="R17" s="2843"/>
      <c r="S17" s="41"/>
      <c r="T17" s="41"/>
      <c r="U17" s="41"/>
      <c r="V17" s="41"/>
      <c r="W17" s="41"/>
      <c r="X17" s="41"/>
      <c r="Y17" s="41"/>
      <c r="Z17" s="41"/>
    </row>
    <row r="18" spans="1:26" ht="13.5" thickBot="1" x14ac:dyDescent="0.25">
      <c r="A18" s="644" t="s">
        <v>38</v>
      </c>
      <c r="B18" s="645"/>
      <c r="C18" s="645"/>
      <c r="D18" s="673"/>
      <c r="E18" s="2837"/>
      <c r="F18" s="2837"/>
      <c r="G18" s="2846"/>
      <c r="H18" s="2844"/>
      <c r="I18" s="2844"/>
      <c r="J18" s="2844"/>
      <c r="K18" s="2844"/>
      <c r="L18" s="2844"/>
      <c r="M18" s="2844"/>
      <c r="N18" s="2844"/>
      <c r="O18" s="2845"/>
      <c r="P18" s="237"/>
      <c r="Q18" s="2843"/>
      <c r="R18" s="2843"/>
      <c r="S18" s="41"/>
      <c r="T18" s="41"/>
      <c r="U18" s="41"/>
      <c r="V18" s="41"/>
      <c r="W18" s="41"/>
      <c r="X18" s="41"/>
      <c r="Y18" s="41"/>
      <c r="Z18" s="41"/>
    </row>
    <row r="19" spans="1:26" ht="14.25" thickTop="1" thickBot="1" x14ac:dyDescent="0.25">
      <c r="A19" s="11"/>
      <c r="B19" s="14"/>
      <c r="C19" s="15"/>
      <c r="D19" s="15"/>
      <c r="E19" s="2837"/>
      <c r="F19" s="2837"/>
      <c r="G19" s="2846"/>
      <c r="H19" s="2844"/>
      <c r="I19" s="2844"/>
      <c r="J19" s="2844"/>
      <c r="K19" s="2844"/>
      <c r="L19" s="2844"/>
      <c r="M19" s="2844"/>
      <c r="N19" s="2844"/>
      <c r="O19" s="2845"/>
      <c r="P19" s="237"/>
      <c r="Q19" s="2843"/>
      <c r="R19" s="2843"/>
      <c r="S19" s="41"/>
      <c r="T19" s="41"/>
      <c r="U19" s="41"/>
      <c r="V19" s="41"/>
      <c r="W19" s="41"/>
      <c r="X19" s="41"/>
      <c r="Y19" s="41"/>
      <c r="Z19" s="41"/>
    </row>
    <row r="20" spans="1:26" ht="14.25" thickTop="1" thickBot="1" x14ac:dyDescent="0.25">
      <c r="A20" s="670" t="s">
        <v>47</v>
      </c>
      <c r="B20" s="675"/>
      <c r="C20" s="675"/>
      <c r="D20" s="675"/>
      <c r="E20" s="2837"/>
      <c r="F20" s="2837"/>
      <c r="G20" s="2846"/>
      <c r="H20" s="2844"/>
      <c r="I20" s="2844"/>
      <c r="J20" s="2844"/>
      <c r="K20" s="2844"/>
      <c r="L20" s="2844"/>
      <c r="M20" s="2844"/>
      <c r="N20" s="2844"/>
      <c r="O20" s="2845"/>
      <c r="P20" s="237"/>
      <c r="Q20" s="2843"/>
      <c r="R20" s="2843"/>
      <c r="S20" s="41"/>
      <c r="T20" s="41"/>
      <c r="U20" s="41"/>
      <c r="V20" s="41"/>
      <c r="W20" s="41"/>
      <c r="X20" s="41"/>
      <c r="Y20" s="41"/>
      <c r="Z20" s="41"/>
    </row>
    <row r="21" spans="1:26" ht="13.5" thickBot="1" x14ac:dyDescent="0.25">
      <c r="A21" s="516" t="s">
        <v>40</v>
      </c>
      <c r="B21" s="517" t="s">
        <v>7</v>
      </c>
      <c r="C21" s="517" t="s">
        <v>46</v>
      </c>
      <c r="D21" s="681" t="s">
        <v>8</v>
      </c>
      <c r="E21" s="2837"/>
      <c r="F21" s="2837"/>
      <c r="G21" s="2846"/>
      <c r="H21" s="2844"/>
      <c r="I21" s="2844"/>
      <c r="J21" s="2844"/>
      <c r="K21" s="2844"/>
      <c r="L21" s="2844"/>
      <c r="M21" s="2844"/>
      <c r="N21" s="2844"/>
      <c r="O21" s="2845"/>
      <c r="P21" s="237"/>
      <c r="Q21" s="2843"/>
      <c r="R21" s="2843"/>
      <c r="S21" s="41"/>
      <c r="T21" s="41"/>
      <c r="U21" s="41"/>
      <c r="V21" s="41"/>
      <c r="W21" s="41"/>
      <c r="X21" s="41"/>
      <c r="Y21" s="41"/>
      <c r="Z21" s="41"/>
    </row>
    <row r="22" spans="1:26" ht="14.25" thickTop="1" thickBot="1" x14ac:dyDescent="0.25">
      <c r="A22" s="25"/>
      <c r="B22" s="26"/>
      <c r="C22" s="26"/>
      <c r="D22" s="26"/>
      <c r="E22" s="2837"/>
      <c r="F22" s="2837"/>
      <c r="G22" s="2846"/>
      <c r="H22" s="2844"/>
      <c r="I22" s="2844"/>
      <c r="J22" s="2844"/>
      <c r="K22" s="2844"/>
      <c r="L22" s="2844"/>
      <c r="M22" s="2844"/>
      <c r="N22" s="2844"/>
      <c r="O22" s="2845"/>
      <c r="P22" s="237"/>
      <c r="Q22" s="2843"/>
      <c r="R22" s="2843"/>
      <c r="S22" s="41"/>
      <c r="T22" s="41"/>
      <c r="U22" s="41"/>
      <c r="V22" s="41"/>
      <c r="W22" s="41"/>
      <c r="X22" s="41"/>
      <c r="Y22" s="41"/>
      <c r="Z22" s="41"/>
    </row>
    <row r="23" spans="1:26" ht="14.25" thickTop="1" thickBot="1" x14ac:dyDescent="0.25">
      <c r="A23" s="670" t="s">
        <v>90</v>
      </c>
      <c r="B23" s="671"/>
      <c r="C23" s="671"/>
      <c r="D23" s="671"/>
      <c r="E23" s="2837"/>
      <c r="F23" s="2837"/>
      <c r="G23" s="2846"/>
      <c r="H23" s="2844"/>
      <c r="I23" s="2844"/>
      <c r="J23" s="2844"/>
      <c r="K23" s="2844"/>
      <c r="L23" s="2844"/>
      <c r="M23" s="2844"/>
      <c r="N23" s="2844"/>
      <c r="O23" s="2845"/>
      <c r="P23" s="237"/>
      <c r="Q23" s="2843"/>
      <c r="R23" s="2843"/>
      <c r="S23" s="41"/>
      <c r="T23" s="41"/>
      <c r="U23" s="41"/>
      <c r="V23" s="41"/>
      <c r="W23" s="41"/>
      <c r="X23" s="41"/>
      <c r="Y23" s="41"/>
      <c r="Z23" s="41"/>
    </row>
    <row r="24" spans="1:26" x14ac:dyDescent="0.2">
      <c r="A24" s="527" t="s">
        <v>61</v>
      </c>
      <c r="B24" s="528" t="s">
        <v>7</v>
      </c>
      <c r="C24" s="528" t="s">
        <v>132</v>
      </c>
      <c r="D24" s="682" t="s">
        <v>8</v>
      </c>
      <c r="E24" s="2837"/>
      <c r="F24" s="2837"/>
      <c r="G24" s="2846"/>
      <c r="H24" s="2844"/>
      <c r="I24" s="2844"/>
      <c r="J24" s="2844"/>
      <c r="K24" s="2844"/>
      <c r="L24" s="2844"/>
      <c r="M24" s="2844"/>
      <c r="N24" s="2844"/>
      <c r="O24" s="2845"/>
      <c r="P24" s="237"/>
      <c r="Q24" s="2843"/>
      <c r="R24" s="2843"/>
      <c r="S24" s="41"/>
      <c r="T24" s="41"/>
      <c r="U24" s="41"/>
      <c r="V24" s="41"/>
      <c r="W24" s="41"/>
      <c r="X24" s="41"/>
      <c r="Y24" s="41"/>
      <c r="Z24" s="41"/>
    </row>
    <row r="25" spans="1:26" x14ac:dyDescent="0.2">
      <c r="A25" s="507" t="s">
        <v>62</v>
      </c>
      <c r="B25" s="508" t="s">
        <v>7</v>
      </c>
      <c r="C25" s="508" t="s">
        <v>44</v>
      </c>
      <c r="D25" s="674" t="s">
        <v>8</v>
      </c>
      <c r="E25" s="2850">
        <v>13</v>
      </c>
      <c r="F25" s="2850" t="s">
        <v>1225</v>
      </c>
      <c r="G25" s="2851">
        <f>SUM(H25:N25)</f>
        <v>80</v>
      </c>
      <c r="H25" s="2852">
        <v>18</v>
      </c>
      <c r="I25" s="2852">
        <v>29</v>
      </c>
      <c r="J25" s="2852">
        <v>15</v>
      </c>
      <c r="K25" s="2852">
        <v>11</v>
      </c>
      <c r="L25" s="2852">
        <v>7</v>
      </c>
      <c r="M25" s="2852"/>
      <c r="N25" s="2852"/>
      <c r="O25" s="2853"/>
      <c r="P25" s="2854">
        <f>SUM(E25,G25)</f>
        <v>93</v>
      </c>
      <c r="Q25" s="2851">
        <v>1</v>
      </c>
      <c r="R25" s="2843">
        <v>67</v>
      </c>
      <c r="S25" s="41"/>
      <c r="T25" s="41"/>
      <c r="U25" s="41"/>
      <c r="V25" s="41"/>
      <c r="W25" s="41"/>
      <c r="X25" s="41"/>
      <c r="Y25" s="41"/>
      <c r="Z25" s="41"/>
    </row>
    <row r="26" spans="1:26" ht="13.5" thickBot="1" x14ac:dyDescent="0.25">
      <c r="A26" s="507" t="s">
        <v>63</v>
      </c>
      <c r="B26" s="508" t="s">
        <v>7</v>
      </c>
      <c r="C26" s="508" t="s">
        <v>44</v>
      </c>
      <c r="D26" s="674" t="s">
        <v>8</v>
      </c>
      <c r="E26" s="2850">
        <v>0</v>
      </c>
      <c r="F26" s="2850" t="s">
        <v>66</v>
      </c>
      <c r="G26" s="2851">
        <f>SUM(H26:N26)</f>
        <v>24</v>
      </c>
      <c r="H26" s="2852">
        <v>10</v>
      </c>
      <c r="I26" s="2852">
        <v>4</v>
      </c>
      <c r="J26" s="2852">
        <v>4</v>
      </c>
      <c r="K26" s="2852">
        <v>3</v>
      </c>
      <c r="L26" s="2852">
        <v>3</v>
      </c>
      <c r="M26" s="2852"/>
      <c r="N26" s="2852"/>
      <c r="O26" s="2853"/>
      <c r="P26" s="2854">
        <f>SUM(E26,G26)</f>
        <v>24</v>
      </c>
      <c r="Q26" s="2851">
        <v>5</v>
      </c>
      <c r="R26" s="2843">
        <v>11</v>
      </c>
      <c r="S26" s="41"/>
      <c r="T26" s="41"/>
      <c r="U26" s="41"/>
      <c r="V26" s="41"/>
      <c r="W26" s="41"/>
      <c r="X26" s="41"/>
      <c r="Y26" s="41"/>
      <c r="Z26" s="41"/>
    </row>
    <row r="27" spans="1:26" ht="13.5" thickBot="1" x14ac:dyDescent="0.25">
      <c r="A27" s="644" t="s">
        <v>38</v>
      </c>
      <c r="B27" s="645"/>
      <c r="C27" s="645"/>
      <c r="D27" s="673"/>
      <c r="E27" s="2837"/>
      <c r="F27" s="2837"/>
      <c r="G27" s="2846"/>
      <c r="H27" s="2844"/>
      <c r="I27" s="2844"/>
      <c r="J27" s="2844"/>
      <c r="K27" s="2844"/>
      <c r="L27" s="2844"/>
      <c r="M27" s="2844"/>
      <c r="N27" s="2844"/>
      <c r="O27" s="2845"/>
      <c r="P27" s="237"/>
      <c r="Q27" s="2843"/>
      <c r="R27" s="2843"/>
      <c r="S27" s="41"/>
      <c r="T27" s="41"/>
      <c r="U27" s="41"/>
      <c r="V27" s="41"/>
      <c r="W27" s="41"/>
      <c r="X27" s="41"/>
      <c r="Y27" s="41"/>
      <c r="Z27" s="41"/>
    </row>
    <row r="28" spans="1:26" ht="14.25" thickTop="1" thickBot="1" x14ac:dyDescent="0.25">
      <c r="E28" s="2837"/>
      <c r="F28" s="2837"/>
      <c r="G28" s="2846"/>
      <c r="H28" s="2844"/>
      <c r="I28" s="2844"/>
      <c r="J28" s="2844"/>
      <c r="K28" s="2844"/>
      <c r="L28" s="2844"/>
      <c r="M28" s="2844"/>
      <c r="N28" s="2844"/>
      <c r="O28" s="2845"/>
      <c r="P28" s="2855"/>
      <c r="Q28" s="2856"/>
      <c r="R28" s="2856"/>
      <c r="S28" s="31"/>
      <c r="T28" s="31"/>
      <c r="U28" s="31"/>
      <c r="V28" s="31"/>
      <c r="W28" s="31"/>
      <c r="X28" s="31"/>
      <c r="Y28" s="31"/>
      <c r="Z28" s="31"/>
    </row>
    <row r="29" spans="1:26" ht="14.25" thickTop="1" thickBot="1" x14ac:dyDescent="0.25">
      <c r="A29" s="670" t="s">
        <v>120</v>
      </c>
      <c r="B29" s="675"/>
      <c r="C29" s="675"/>
      <c r="D29" s="675"/>
      <c r="E29" s="2837"/>
      <c r="F29" s="2837"/>
      <c r="G29" s="2846"/>
      <c r="H29" s="2844"/>
      <c r="I29" s="2844"/>
      <c r="J29" s="2844"/>
      <c r="K29" s="2844"/>
      <c r="L29" s="2844"/>
      <c r="M29" s="2844"/>
      <c r="N29" s="2844"/>
      <c r="O29" s="2845"/>
      <c r="P29" s="2855"/>
      <c r="Q29" s="2856"/>
      <c r="R29" s="2856"/>
      <c r="S29" s="31"/>
      <c r="T29" s="31"/>
      <c r="U29" s="31"/>
      <c r="V29" s="31"/>
      <c r="W29" s="31"/>
      <c r="X29" s="31"/>
      <c r="Y29" s="31"/>
      <c r="Z29" s="31"/>
    </row>
    <row r="30" spans="1:26" ht="13.5" thickBot="1" x14ac:dyDescent="0.25">
      <c r="A30" s="516" t="s">
        <v>121</v>
      </c>
      <c r="B30" s="517" t="s">
        <v>14</v>
      </c>
      <c r="C30" s="517" t="s">
        <v>132</v>
      </c>
      <c r="D30" s="681" t="s">
        <v>8</v>
      </c>
      <c r="E30" s="2837"/>
      <c r="F30" s="2837"/>
      <c r="G30" s="2846"/>
      <c r="H30" s="2844"/>
      <c r="I30" s="2844"/>
      <c r="J30" s="2844"/>
      <c r="K30" s="2844"/>
      <c r="L30" s="2844"/>
      <c r="M30" s="2844"/>
      <c r="N30" s="2844"/>
      <c r="O30" s="2845"/>
      <c r="P30" s="237"/>
      <c r="Q30" s="2843"/>
      <c r="R30" s="2856"/>
      <c r="S30" s="31"/>
      <c r="T30" s="31"/>
      <c r="U30" s="31"/>
      <c r="V30" s="31"/>
      <c r="W30" s="31"/>
      <c r="X30" s="31"/>
      <c r="Y30" s="31"/>
      <c r="Z30" s="31"/>
    </row>
    <row r="31" spans="1:26" ht="14.25" thickTop="1" thickBot="1" x14ac:dyDescent="0.25">
      <c r="A31" s="73"/>
      <c r="B31" s="73"/>
      <c r="C31" s="73"/>
      <c r="D31" s="73"/>
      <c r="E31" s="2837"/>
      <c r="F31" s="2837"/>
      <c r="G31" s="2846"/>
      <c r="H31" s="2844"/>
      <c r="I31" s="2844"/>
      <c r="J31" s="2844"/>
      <c r="K31" s="2844"/>
      <c r="L31" s="2844"/>
      <c r="M31" s="2844"/>
      <c r="N31" s="2844"/>
      <c r="O31" s="2845"/>
      <c r="P31" s="2855"/>
      <c r="Q31" s="2856"/>
      <c r="R31" s="2856"/>
      <c r="S31" s="31"/>
      <c r="T31" s="31"/>
      <c r="U31" s="31"/>
      <c r="V31" s="31"/>
      <c r="W31" s="31"/>
      <c r="X31" s="31"/>
      <c r="Y31" s="31"/>
      <c r="Z31" s="31"/>
    </row>
    <row r="32" spans="1:26" ht="14.25" thickTop="1" thickBot="1" x14ac:dyDescent="0.25">
      <c r="A32" s="676" t="s">
        <v>133</v>
      </c>
      <c r="B32" s="419"/>
      <c r="C32" s="419"/>
      <c r="D32" s="419"/>
      <c r="E32" s="2837"/>
      <c r="F32" s="2837"/>
      <c r="G32" s="2846"/>
      <c r="H32" s="2844"/>
      <c r="I32" s="2844"/>
      <c r="J32" s="2844"/>
      <c r="K32" s="2844"/>
      <c r="L32" s="2844"/>
      <c r="M32" s="2844"/>
      <c r="N32" s="2844"/>
      <c r="O32" s="2845"/>
      <c r="P32" s="2855"/>
      <c r="Q32" s="2856"/>
      <c r="R32" s="2856"/>
      <c r="S32" s="31"/>
      <c r="T32" s="31"/>
      <c r="U32" s="31"/>
      <c r="V32" s="31"/>
      <c r="W32" s="31"/>
      <c r="X32" s="31"/>
      <c r="Y32" s="31"/>
      <c r="Z32" s="31"/>
    </row>
    <row r="33" spans="1:40" ht="13.5" thickTop="1" x14ac:dyDescent="0.2">
      <c r="A33" s="475" t="s">
        <v>134</v>
      </c>
      <c r="B33" s="476" t="s">
        <v>7</v>
      </c>
      <c r="C33" s="476" t="s">
        <v>132</v>
      </c>
      <c r="D33" s="672" t="s">
        <v>8</v>
      </c>
      <c r="E33" s="2837"/>
      <c r="F33" s="2837"/>
      <c r="G33" s="2846"/>
      <c r="H33" s="2844"/>
      <c r="I33" s="2844"/>
      <c r="J33" s="2844"/>
      <c r="K33" s="2844"/>
      <c r="L33" s="2844"/>
      <c r="M33" s="2844"/>
      <c r="N33" s="2844"/>
      <c r="O33" s="2845"/>
      <c r="P33" s="237"/>
      <c r="Q33" s="2843"/>
      <c r="R33" s="2856"/>
      <c r="S33" s="31"/>
      <c r="T33" s="31"/>
      <c r="U33" s="31"/>
      <c r="V33" s="31"/>
      <c r="W33" s="31"/>
      <c r="X33" s="31"/>
      <c r="Y33" s="31"/>
      <c r="Z33" s="31"/>
    </row>
    <row r="34" spans="1:40" x14ac:dyDescent="0.2">
      <c r="A34" s="683" t="s">
        <v>50</v>
      </c>
      <c r="B34" s="684" t="s">
        <v>7</v>
      </c>
      <c r="C34" s="684" t="s">
        <v>44</v>
      </c>
      <c r="D34" s="685" t="s">
        <v>8</v>
      </c>
      <c r="E34" s="2857">
        <v>401</v>
      </c>
      <c r="F34" s="2857" t="s">
        <v>1225</v>
      </c>
      <c r="G34" s="2851">
        <f>SUM(H34:N34)</f>
        <v>270</v>
      </c>
      <c r="H34" s="2858">
        <v>10</v>
      </c>
      <c r="I34" s="2858">
        <v>65</v>
      </c>
      <c r="J34" s="2858">
        <v>65</v>
      </c>
      <c r="K34" s="2858">
        <v>65</v>
      </c>
      <c r="L34" s="2858">
        <v>65</v>
      </c>
      <c r="M34" s="2858"/>
      <c r="N34" s="2858"/>
      <c r="O34" s="2859"/>
      <c r="P34" s="2860">
        <f>SUM(E34,G34)</f>
        <v>671</v>
      </c>
      <c r="Q34" s="2861">
        <v>0</v>
      </c>
      <c r="R34" s="2856">
        <v>342</v>
      </c>
      <c r="S34" s="31"/>
      <c r="T34" s="31"/>
      <c r="U34" s="31"/>
      <c r="V34" s="31"/>
      <c r="W34" s="31"/>
      <c r="X34" s="31"/>
      <c r="Y34" s="31"/>
      <c r="Z34" s="31"/>
    </row>
    <row r="35" spans="1:40" s="39" customFormat="1" ht="13.5" thickBot="1" x14ac:dyDescent="0.25">
      <c r="A35" s="26"/>
      <c r="B35" s="26"/>
      <c r="C35" s="26"/>
      <c r="D35" s="26"/>
      <c r="E35" s="2862"/>
      <c r="F35" s="2862"/>
      <c r="G35" s="2846"/>
      <c r="H35" s="2844"/>
      <c r="I35" s="2844"/>
      <c r="J35" s="2844"/>
      <c r="K35" s="2844"/>
      <c r="L35" s="2844"/>
      <c r="M35" s="2844"/>
      <c r="N35" s="2844"/>
      <c r="O35" s="2845"/>
      <c r="P35" s="237"/>
      <c r="Q35" s="2843"/>
      <c r="R35" s="2843"/>
      <c r="S35" s="41"/>
      <c r="T35" s="41"/>
      <c r="U35" s="41"/>
      <c r="V35" s="41"/>
      <c r="W35" s="41"/>
      <c r="X35" s="41"/>
      <c r="Y35" s="41"/>
      <c r="Z35" s="41"/>
    </row>
    <row r="36" spans="1:40" ht="14.25" thickTop="1" thickBot="1" x14ac:dyDescent="0.25">
      <c r="A36" s="407" t="s">
        <v>186</v>
      </c>
      <c r="B36" s="109"/>
      <c r="C36" s="109"/>
      <c r="D36" s="677"/>
      <c r="E36" s="2862"/>
      <c r="F36" s="2862"/>
      <c r="G36" s="2846"/>
      <c r="H36" s="2844"/>
      <c r="I36" s="2844"/>
      <c r="J36" s="2844"/>
      <c r="K36" s="2844"/>
      <c r="L36" s="2844"/>
      <c r="M36" s="2844"/>
      <c r="N36" s="2844"/>
      <c r="O36" s="2845"/>
      <c r="P36" s="2855"/>
      <c r="Q36" s="2856"/>
      <c r="R36" s="2856"/>
      <c r="S36" s="31"/>
      <c r="T36" s="31"/>
      <c r="U36" s="31"/>
      <c r="V36" s="31"/>
      <c r="W36" s="31"/>
      <c r="X36" s="31"/>
      <c r="Y36" s="31"/>
      <c r="Z36" s="31"/>
    </row>
    <row r="37" spans="1:40" s="39" customFormat="1" ht="14.25" thickTop="1" thickBot="1" x14ac:dyDescent="0.25">
      <c r="A37" s="516" t="s">
        <v>188</v>
      </c>
      <c r="B37" s="517" t="s">
        <v>7</v>
      </c>
      <c r="C37" s="517" t="s">
        <v>132</v>
      </c>
      <c r="D37" s="681" t="s">
        <v>8</v>
      </c>
      <c r="E37" s="2837"/>
      <c r="F37" s="2837"/>
      <c r="G37" s="2846"/>
      <c r="H37" s="2847"/>
      <c r="I37" s="2847"/>
      <c r="J37" s="2847"/>
      <c r="K37" s="2847"/>
      <c r="L37" s="2847"/>
      <c r="M37" s="2847"/>
      <c r="N37" s="2847"/>
      <c r="O37" s="2848"/>
      <c r="P37" s="2849"/>
      <c r="Q37" s="2846"/>
      <c r="R37" s="2843"/>
      <c r="S37" s="41"/>
      <c r="T37" s="41"/>
      <c r="U37" s="41"/>
      <c r="V37" s="41"/>
      <c r="W37" s="41"/>
      <c r="X37" s="41"/>
      <c r="Y37" s="41"/>
      <c r="Z37" s="41"/>
    </row>
    <row r="38" spans="1:40" ht="14.25" thickTop="1" thickBot="1" x14ac:dyDescent="0.25">
      <c r="A38" s="26"/>
      <c r="B38" s="26"/>
      <c r="C38" s="26"/>
      <c r="D38" s="26"/>
      <c r="E38" s="2862"/>
      <c r="F38" s="2862"/>
      <c r="G38" s="2846"/>
      <c r="H38" s="237"/>
      <c r="I38" s="237"/>
      <c r="J38" s="237"/>
      <c r="K38" s="237"/>
      <c r="L38" s="237"/>
      <c r="M38" s="237"/>
      <c r="N38" s="237"/>
      <c r="O38" s="2845"/>
      <c r="P38" s="237"/>
      <c r="Q38" s="2843"/>
      <c r="R38" s="2856"/>
      <c r="S38" s="31"/>
      <c r="T38" s="31"/>
      <c r="U38" s="31"/>
      <c r="V38" s="31"/>
      <c r="W38" s="31"/>
      <c r="X38" s="31"/>
      <c r="Y38" s="31"/>
      <c r="Z38" s="31"/>
    </row>
    <row r="39" spans="1:40" ht="14.25" thickTop="1" thickBot="1" x14ac:dyDescent="0.25">
      <c r="A39" s="407" t="s">
        <v>316</v>
      </c>
      <c r="B39" s="109"/>
      <c r="C39" s="109"/>
      <c r="D39" s="677"/>
      <c r="E39" s="2862"/>
      <c r="F39" s="2862"/>
      <c r="G39" s="2846"/>
      <c r="H39" s="237"/>
      <c r="I39" s="237"/>
      <c r="J39" s="237"/>
      <c r="K39" s="237"/>
      <c r="L39" s="237"/>
      <c r="M39" s="237"/>
      <c r="N39" s="237"/>
      <c r="O39" s="2845"/>
      <c r="P39" s="237"/>
      <c r="Q39" s="2843"/>
      <c r="R39" s="2856"/>
      <c r="S39" s="31"/>
      <c r="T39" s="31"/>
      <c r="U39" s="31"/>
      <c r="V39" s="31"/>
      <c r="W39" s="31"/>
      <c r="X39" s="31"/>
      <c r="Y39" s="31"/>
      <c r="Z39" s="31"/>
    </row>
    <row r="40" spans="1:40" ht="13.5" thickTop="1" x14ac:dyDescent="0.2">
      <c r="A40" s="687" t="s">
        <v>125</v>
      </c>
      <c r="B40" s="553" t="s">
        <v>7</v>
      </c>
      <c r="C40" s="553" t="s">
        <v>44</v>
      </c>
      <c r="D40" s="688" t="s">
        <v>8</v>
      </c>
      <c r="E40" s="2850">
        <v>14</v>
      </c>
      <c r="F40" s="2850" t="s">
        <v>1225</v>
      </c>
      <c r="G40" s="2851">
        <f>SUM(H40:N40)</f>
        <v>26</v>
      </c>
      <c r="H40" s="2854">
        <v>3</v>
      </c>
      <c r="I40" s="2854">
        <v>5</v>
      </c>
      <c r="J40" s="2854">
        <v>7</v>
      </c>
      <c r="K40" s="2854">
        <v>6</v>
      </c>
      <c r="L40" s="2854">
        <v>5</v>
      </c>
      <c r="M40" s="2854"/>
      <c r="N40" s="2854"/>
      <c r="O40" s="2853"/>
      <c r="P40" s="2854">
        <f>SUM(E40,G40)</f>
        <v>40</v>
      </c>
      <c r="Q40" s="2851">
        <v>4</v>
      </c>
      <c r="R40" s="2856">
        <v>17</v>
      </c>
      <c r="S40" s="31"/>
      <c r="T40" s="31"/>
      <c r="U40" s="31"/>
      <c r="V40" s="31"/>
      <c r="W40" s="31"/>
      <c r="X40" s="31"/>
      <c r="Y40" s="31"/>
      <c r="Z40" s="31"/>
    </row>
    <row r="41" spans="1:40" x14ac:dyDescent="0.2">
      <c r="A41" s="687" t="s">
        <v>121</v>
      </c>
      <c r="B41" s="508" t="s">
        <v>7</v>
      </c>
      <c r="C41" s="508" t="s">
        <v>44</v>
      </c>
      <c r="D41" s="674" t="s">
        <v>8</v>
      </c>
      <c r="E41" s="2850">
        <v>554</v>
      </c>
      <c r="F41" s="2850" t="s">
        <v>1225</v>
      </c>
      <c r="G41" s="2851">
        <f>SUM(H41:N41)</f>
        <v>211</v>
      </c>
      <c r="H41" s="2854">
        <v>46</v>
      </c>
      <c r="I41" s="2854">
        <v>116</v>
      </c>
      <c r="J41" s="2854">
        <v>17</v>
      </c>
      <c r="K41" s="2854">
        <v>16</v>
      </c>
      <c r="L41" s="2854">
        <v>16</v>
      </c>
      <c r="M41" s="2854"/>
      <c r="N41" s="2854"/>
      <c r="O41" s="2853"/>
      <c r="P41" s="2854">
        <f>SUM(E41,G41,G42)</f>
        <v>930</v>
      </c>
      <c r="Q41" s="2851">
        <v>0</v>
      </c>
      <c r="R41" s="2856">
        <v>308</v>
      </c>
      <c r="S41" s="31"/>
      <c r="T41" s="31"/>
      <c r="U41" s="31"/>
      <c r="V41" s="31"/>
      <c r="W41" s="31"/>
      <c r="X41" s="31"/>
      <c r="Y41" s="31"/>
      <c r="Z41" s="31"/>
    </row>
    <row r="42" spans="1:40" s="39" customFormat="1" ht="12.75" customHeight="1" thickBot="1" x14ac:dyDescent="0.25">
      <c r="A42" s="1184" t="s">
        <v>300</v>
      </c>
      <c r="B42" s="1165" t="s">
        <v>14</v>
      </c>
      <c r="C42" s="1165" t="s">
        <v>132</v>
      </c>
      <c r="D42" s="1393" t="s">
        <v>8</v>
      </c>
      <c r="E42" s="2862"/>
      <c r="F42" s="2862" t="s">
        <v>1229</v>
      </c>
      <c r="G42" s="2851">
        <f>SUM(H42:N42)</f>
        <v>165</v>
      </c>
      <c r="H42" s="237">
        <v>55</v>
      </c>
      <c r="I42" s="237">
        <v>73</v>
      </c>
      <c r="J42" s="237">
        <v>5</v>
      </c>
      <c r="K42" s="237">
        <v>16</v>
      </c>
      <c r="L42" s="237">
        <v>16</v>
      </c>
      <c r="M42" s="237"/>
      <c r="N42" s="237"/>
      <c r="O42" s="2845"/>
      <c r="P42" s="237"/>
      <c r="Q42" s="2843"/>
      <c r="R42" s="2843"/>
      <c r="S42" s="41"/>
      <c r="T42" s="41"/>
      <c r="U42" s="41"/>
      <c r="V42" s="41"/>
      <c r="W42" s="41"/>
      <c r="X42" s="41"/>
      <c r="Y42" s="41"/>
      <c r="Z42" s="41"/>
    </row>
    <row r="43" spans="1:40" s="39" customFormat="1" ht="12.75" customHeight="1" thickTop="1" thickBot="1" x14ac:dyDescent="0.25">
      <c r="A43" s="260"/>
      <c r="B43" s="73"/>
      <c r="C43" s="73"/>
      <c r="D43" s="26"/>
      <c r="E43" s="2863"/>
      <c r="F43" s="2863"/>
      <c r="G43" s="2846"/>
      <c r="H43" s="237"/>
      <c r="I43" s="237"/>
      <c r="J43" s="237"/>
      <c r="K43" s="237"/>
      <c r="L43" s="237"/>
      <c r="M43" s="237"/>
      <c r="N43" s="237"/>
      <c r="O43" s="2845"/>
      <c r="P43" s="237"/>
      <c r="Q43" s="2843"/>
      <c r="R43" s="2843"/>
      <c r="S43" s="41"/>
      <c r="T43" s="41"/>
      <c r="U43" s="41"/>
      <c r="V43" s="41"/>
      <c r="W43" s="41"/>
      <c r="X43" s="41"/>
      <c r="Y43" s="41"/>
      <c r="Z43" s="41"/>
    </row>
    <row r="44" spans="1:40" s="316" customFormat="1" ht="12.75" customHeight="1" thickTop="1" thickBot="1" x14ac:dyDescent="0.25">
      <c r="A44" s="676" t="s">
        <v>389</v>
      </c>
      <c r="B44" s="419"/>
      <c r="C44" s="419"/>
      <c r="D44" s="678"/>
      <c r="E44" s="2862"/>
      <c r="F44" s="2862"/>
      <c r="G44" s="2846"/>
      <c r="H44" s="237"/>
      <c r="I44" s="237"/>
      <c r="J44" s="237"/>
      <c r="K44" s="237"/>
      <c r="L44" s="237"/>
      <c r="M44" s="237"/>
      <c r="N44" s="237"/>
      <c r="O44" s="2845"/>
      <c r="P44" s="237"/>
      <c r="Q44" s="2843"/>
      <c r="R44" s="2843"/>
      <c r="S44" s="201"/>
      <c r="T44" s="201"/>
      <c r="U44" s="201"/>
      <c r="V44" s="201"/>
      <c r="W44" s="201"/>
      <c r="X44" s="201"/>
      <c r="Y44" s="201"/>
      <c r="Z44" s="201"/>
      <c r="AA44" s="82"/>
      <c r="AB44" s="82"/>
      <c r="AC44" s="82"/>
      <c r="AD44" s="82"/>
      <c r="AE44" s="82"/>
      <c r="AF44" s="82"/>
      <c r="AG44" s="82"/>
      <c r="AH44" s="82"/>
      <c r="AI44" s="82"/>
      <c r="AJ44" s="82"/>
      <c r="AK44" s="82"/>
      <c r="AL44" s="82"/>
      <c r="AM44" s="82"/>
      <c r="AN44" s="82"/>
    </row>
    <row r="45" spans="1:40" s="944" customFormat="1" ht="12.75" customHeight="1" thickTop="1" x14ac:dyDescent="0.2">
      <c r="A45" s="1307" t="s">
        <v>383</v>
      </c>
      <c r="B45" s="1394" t="s">
        <v>14</v>
      </c>
      <c r="C45" s="1394" t="s">
        <v>132</v>
      </c>
      <c r="D45" s="1395" t="s">
        <v>8</v>
      </c>
      <c r="E45" s="2864"/>
      <c r="F45" s="2864"/>
      <c r="G45" s="2865"/>
      <c r="H45" s="2866"/>
      <c r="I45" s="2867"/>
      <c r="J45" s="2866"/>
      <c r="K45" s="2866"/>
      <c r="L45" s="2866"/>
      <c r="M45" s="2866"/>
      <c r="N45" s="2866"/>
      <c r="O45" s="2868"/>
      <c r="P45" s="2866"/>
      <c r="Q45" s="2869"/>
      <c r="R45" s="2869"/>
      <c r="S45" s="943"/>
      <c r="T45" s="943"/>
      <c r="U45" s="943"/>
      <c r="V45" s="943"/>
      <c r="W45" s="943"/>
      <c r="X45" s="943"/>
      <c r="Y45" s="943"/>
      <c r="Z45" s="943"/>
    </row>
    <row r="46" spans="1:40" s="39" customFormat="1" ht="12.75" customHeight="1" thickBot="1" x14ac:dyDescent="0.25">
      <c r="A46" s="1184" t="s">
        <v>385</v>
      </c>
      <c r="B46" s="1165" t="s">
        <v>14</v>
      </c>
      <c r="C46" s="1165" t="s">
        <v>132</v>
      </c>
      <c r="D46" s="1396" t="s">
        <v>8</v>
      </c>
      <c r="E46" s="2862"/>
      <c r="F46" s="2862"/>
      <c r="G46" s="2846"/>
      <c r="H46" s="237"/>
      <c r="I46" s="237"/>
      <c r="J46" s="237"/>
      <c r="K46" s="237"/>
      <c r="L46" s="237"/>
      <c r="M46" s="237"/>
      <c r="N46" s="237"/>
      <c r="O46" s="2845"/>
      <c r="P46" s="237"/>
      <c r="Q46" s="2843"/>
      <c r="R46" s="2843"/>
      <c r="S46" s="41"/>
      <c r="T46" s="41"/>
      <c r="U46" s="41"/>
      <c r="V46" s="41"/>
      <c r="W46" s="41"/>
      <c r="X46" s="41"/>
      <c r="Y46" s="41"/>
      <c r="Z46" s="41"/>
    </row>
    <row r="47" spans="1:40" s="39" customFormat="1" ht="12.75" customHeight="1" thickTop="1" thickBot="1" x14ac:dyDescent="0.25">
      <c r="A47" s="260"/>
      <c r="B47" s="73"/>
      <c r="C47" s="73"/>
      <c r="D47" s="26"/>
      <c r="E47" s="2863"/>
      <c r="F47" s="2863"/>
      <c r="G47" s="2846"/>
      <c r="H47" s="2844"/>
      <c r="I47" s="2844"/>
      <c r="J47" s="2844"/>
      <c r="K47" s="2844"/>
      <c r="L47" s="2844"/>
      <c r="M47" s="2844"/>
      <c r="N47" s="2844"/>
      <c r="O47" s="2845"/>
      <c r="P47" s="237"/>
      <c r="Q47" s="2843"/>
      <c r="R47" s="2843"/>
      <c r="S47" s="41"/>
      <c r="T47" s="41"/>
      <c r="U47" s="41"/>
      <c r="V47" s="41"/>
      <c r="W47" s="41"/>
      <c r="X47" s="41"/>
      <c r="Y47" s="41"/>
      <c r="Z47" s="41"/>
    </row>
    <row r="48" spans="1:40" s="39" customFormat="1" ht="12.75" customHeight="1" thickTop="1" thickBot="1" x14ac:dyDescent="0.25">
      <c r="A48" s="407" t="s">
        <v>476</v>
      </c>
      <c r="B48" s="109"/>
      <c r="C48" s="109"/>
      <c r="D48" s="678"/>
      <c r="E48" s="2863"/>
      <c r="F48" s="2863"/>
      <c r="G48" s="2846"/>
      <c r="H48" s="2844"/>
      <c r="I48" s="2844"/>
      <c r="J48" s="2844"/>
      <c r="K48" s="2844"/>
      <c r="L48" s="2844"/>
      <c r="M48" s="2844"/>
      <c r="N48" s="2844"/>
      <c r="O48" s="2845"/>
      <c r="P48" s="237"/>
      <c r="Q48" s="2843"/>
      <c r="R48" s="2843"/>
      <c r="S48" s="41"/>
      <c r="T48" s="41"/>
      <c r="U48" s="41"/>
      <c r="V48" s="41"/>
      <c r="W48" s="41"/>
      <c r="X48" s="41"/>
      <c r="Y48" s="41"/>
      <c r="Z48" s="41"/>
    </row>
    <row r="49" spans="1:26" s="39" customFormat="1" ht="12.75" customHeight="1" thickTop="1" thickBot="1" x14ac:dyDescent="0.25">
      <c r="A49" s="1236" t="s">
        <v>466</v>
      </c>
      <c r="B49" s="1165" t="s">
        <v>14</v>
      </c>
      <c r="C49" s="1165" t="s">
        <v>132</v>
      </c>
      <c r="D49" s="1397" t="s">
        <v>8</v>
      </c>
      <c r="E49" s="2863"/>
      <c r="F49" s="2863"/>
      <c r="G49" s="2846"/>
      <c r="H49" s="2839"/>
      <c r="I49" s="2844"/>
      <c r="J49" s="2844"/>
      <c r="K49" s="2844"/>
      <c r="L49" s="2844"/>
      <c r="M49" s="2844"/>
      <c r="N49" s="2844"/>
      <c r="O49" s="2845"/>
      <c r="P49" s="237"/>
      <c r="Q49" s="2843"/>
      <c r="R49" s="2843"/>
      <c r="S49" s="41"/>
      <c r="T49" s="41"/>
      <c r="U49" s="41"/>
      <c r="V49" s="41"/>
      <c r="W49" s="41"/>
      <c r="X49" s="41"/>
      <c r="Y49" s="41"/>
      <c r="Z49" s="41"/>
    </row>
    <row r="50" spans="1:26" s="39" customFormat="1" ht="12.75" customHeight="1" thickTop="1" thickBot="1" x14ac:dyDescent="0.25">
      <c r="A50" s="679"/>
      <c r="B50" s="680"/>
      <c r="C50" s="680"/>
      <c r="D50" s="58"/>
      <c r="E50" s="2863"/>
      <c r="F50" s="2863"/>
      <c r="G50" s="2846"/>
      <c r="H50" s="2839"/>
      <c r="I50" s="2844"/>
      <c r="J50" s="2844"/>
      <c r="K50" s="2844"/>
      <c r="L50" s="2844"/>
      <c r="M50" s="2844"/>
      <c r="N50" s="2844"/>
      <c r="O50" s="2845"/>
      <c r="P50" s="237"/>
      <c r="Q50" s="2843"/>
      <c r="R50" s="2843"/>
      <c r="S50" s="41"/>
      <c r="T50" s="41"/>
      <c r="U50" s="41"/>
      <c r="V50" s="41"/>
      <c r="W50" s="41"/>
      <c r="X50" s="41"/>
      <c r="Y50" s="41"/>
      <c r="Z50" s="41"/>
    </row>
    <row r="51" spans="1:26" s="39" customFormat="1" ht="12.75" customHeight="1" thickTop="1" thickBot="1" x14ac:dyDescent="0.25">
      <c r="A51" s="407" t="s">
        <v>516</v>
      </c>
      <c r="B51" s="109"/>
      <c r="C51" s="109"/>
      <c r="D51" s="678"/>
      <c r="E51" s="2863"/>
      <c r="F51" s="2863"/>
      <c r="G51" s="2846"/>
      <c r="H51" s="2844"/>
      <c r="I51" s="2844"/>
      <c r="J51" s="2844"/>
      <c r="K51" s="2844"/>
      <c r="L51" s="2844"/>
      <c r="M51" s="2844"/>
      <c r="N51" s="2844"/>
      <c r="O51" s="2845"/>
      <c r="P51" s="237"/>
      <c r="Q51" s="2843"/>
      <c r="R51" s="2843"/>
      <c r="S51" s="41"/>
      <c r="T51" s="41"/>
      <c r="U51" s="41"/>
      <c r="V51" s="41"/>
      <c r="W51" s="41"/>
      <c r="X51" s="41"/>
      <c r="Y51" s="41"/>
      <c r="Z51" s="41"/>
    </row>
    <row r="52" spans="1:26" s="1196" customFormat="1" ht="12.75" customHeight="1" thickTop="1" x14ac:dyDescent="0.2">
      <c r="A52" s="1208" t="s">
        <v>466</v>
      </c>
      <c r="B52" s="1209" t="s">
        <v>7</v>
      </c>
      <c r="C52" s="1209" t="s">
        <v>44</v>
      </c>
      <c r="D52" s="1398" t="s">
        <v>8</v>
      </c>
      <c r="E52" s="2870">
        <v>2</v>
      </c>
      <c r="F52" s="2870" t="s">
        <v>34</v>
      </c>
      <c r="G52" s="2871">
        <f>SUM(H52:N52)</f>
        <v>10</v>
      </c>
      <c r="H52" s="2872"/>
      <c r="I52" s="2872">
        <v>2</v>
      </c>
      <c r="J52" s="2872">
        <v>2</v>
      </c>
      <c r="K52" s="2872">
        <v>2</v>
      </c>
      <c r="L52" s="2872">
        <v>2</v>
      </c>
      <c r="M52" s="2872">
        <v>2</v>
      </c>
      <c r="N52" s="2872"/>
      <c r="O52" s="2873"/>
      <c r="P52" s="2870">
        <f>SUM(E52,G52)</f>
        <v>12</v>
      </c>
      <c r="Q52" s="2871">
        <v>0</v>
      </c>
      <c r="R52" s="2874">
        <v>6</v>
      </c>
      <c r="S52" s="1402"/>
      <c r="T52" s="1402"/>
      <c r="U52" s="1402"/>
      <c r="V52" s="1402"/>
      <c r="W52" s="1402"/>
      <c r="X52" s="1402"/>
      <c r="Y52" s="1402"/>
      <c r="Z52" s="1402"/>
    </row>
    <row r="53" spans="1:26" s="39" customFormat="1" ht="12.75" customHeight="1" thickBot="1" x14ac:dyDescent="0.25">
      <c r="A53" s="1185" t="s">
        <v>513</v>
      </c>
      <c r="B53" s="1165" t="s">
        <v>14</v>
      </c>
      <c r="C53" s="1165" t="s">
        <v>132</v>
      </c>
      <c r="D53" s="1396" t="s">
        <v>8</v>
      </c>
      <c r="E53" s="2863"/>
      <c r="F53" s="2863"/>
      <c r="G53" s="2846"/>
      <c r="H53" s="2844"/>
      <c r="I53" s="2844"/>
      <c r="J53" s="2844"/>
      <c r="K53" s="2844"/>
      <c r="L53" s="2844"/>
      <c r="M53" s="2844"/>
      <c r="N53" s="2844"/>
      <c r="O53" s="2845"/>
      <c r="P53" s="237"/>
      <c r="Q53" s="2843"/>
      <c r="R53" s="2843"/>
      <c r="S53" s="41"/>
      <c r="T53" s="41"/>
      <c r="U53" s="41"/>
      <c r="V53" s="41"/>
      <c r="W53" s="41"/>
      <c r="X53" s="41"/>
      <c r="Y53" s="41"/>
      <c r="Z53" s="41"/>
    </row>
    <row r="54" spans="1:26" s="39" customFormat="1" ht="13.5" customHeight="1" thickTop="1" thickBot="1" x14ac:dyDescent="0.25">
      <c r="A54" s="408"/>
      <c r="B54" s="408"/>
      <c r="C54" s="408"/>
      <c r="D54" s="408"/>
      <c r="E54" s="2863"/>
      <c r="F54" s="2863"/>
      <c r="G54" s="2846"/>
      <c r="H54" s="2844"/>
      <c r="I54" s="2844"/>
      <c r="J54" s="2844"/>
      <c r="K54" s="2844"/>
      <c r="L54" s="2844"/>
      <c r="M54" s="2844"/>
      <c r="N54" s="2844"/>
      <c r="O54" s="2845"/>
      <c r="P54" s="237"/>
      <c r="Q54" s="2843"/>
      <c r="R54" s="2843"/>
      <c r="S54" s="41"/>
      <c r="T54" s="41"/>
      <c r="U54" s="41"/>
      <c r="V54" s="41"/>
      <c r="W54" s="41"/>
      <c r="X54" s="41"/>
      <c r="Y54" s="41"/>
      <c r="Z54" s="41"/>
    </row>
    <row r="55" spans="1:26" s="39" customFormat="1" ht="12.75" customHeight="1" thickTop="1" thickBot="1" x14ac:dyDescent="0.25">
      <c r="A55" s="407" t="s">
        <v>532</v>
      </c>
      <c r="B55" s="109"/>
      <c r="C55" s="109"/>
      <c r="D55" s="678"/>
      <c r="E55" s="2863"/>
      <c r="F55" s="2863"/>
      <c r="G55" s="2846"/>
      <c r="H55" s="2844"/>
      <c r="I55" s="2844"/>
      <c r="J55" s="2844"/>
      <c r="K55" s="2844"/>
      <c r="L55" s="2844"/>
      <c r="M55" s="2844"/>
      <c r="N55" s="2844"/>
      <c r="O55" s="2845"/>
      <c r="P55" s="237"/>
      <c r="Q55" s="2843"/>
      <c r="R55" s="2843"/>
      <c r="S55" s="41"/>
      <c r="T55" s="41"/>
      <c r="U55" s="41"/>
      <c r="V55" s="41"/>
      <c r="W55" s="41"/>
      <c r="X55" s="41"/>
      <c r="Y55" s="41"/>
      <c r="Z55" s="41"/>
    </row>
    <row r="56" spans="1:26" s="39" customFormat="1" ht="12.75" customHeight="1" thickTop="1" x14ac:dyDescent="0.2">
      <c r="A56" s="1221" t="s">
        <v>518</v>
      </c>
      <c r="B56" s="1222" t="s">
        <v>14</v>
      </c>
      <c r="C56" s="1222" t="s">
        <v>132</v>
      </c>
      <c r="D56" s="1403" t="s">
        <v>8</v>
      </c>
      <c r="E56" s="2863"/>
      <c r="F56" s="2863"/>
      <c r="G56" s="2846"/>
      <c r="H56" s="2844"/>
      <c r="I56" s="2844"/>
      <c r="J56" s="2844"/>
      <c r="K56" s="2844"/>
      <c r="L56" s="2844"/>
      <c r="M56" s="2844"/>
      <c r="N56" s="2844"/>
      <c r="O56" s="2845"/>
      <c r="P56" s="237"/>
      <c r="Q56" s="2843"/>
      <c r="R56" s="2843"/>
      <c r="S56" s="41"/>
      <c r="T56" s="41"/>
      <c r="U56" s="41"/>
      <c r="V56" s="41"/>
      <c r="W56" s="41"/>
      <c r="X56" s="41"/>
      <c r="Y56" s="41"/>
      <c r="Z56" s="41"/>
    </row>
    <row r="57" spans="1:26" s="1196" customFormat="1" ht="12.75" customHeight="1" thickBot="1" x14ac:dyDescent="0.25">
      <c r="A57" s="1404" t="s">
        <v>526</v>
      </c>
      <c r="B57" s="1405" t="s">
        <v>7</v>
      </c>
      <c r="C57" s="1405" t="s">
        <v>44</v>
      </c>
      <c r="D57" s="1406" t="s">
        <v>8</v>
      </c>
      <c r="E57" s="2870">
        <v>0</v>
      </c>
      <c r="F57" s="2870" t="s">
        <v>1229</v>
      </c>
      <c r="G57" s="2871">
        <f>SUM(H57:N57)</f>
        <v>28</v>
      </c>
      <c r="H57" s="2872"/>
      <c r="I57" s="2872">
        <v>24</v>
      </c>
      <c r="J57" s="2872">
        <v>0</v>
      </c>
      <c r="K57" s="2872">
        <v>2</v>
      </c>
      <c r="L57" s="2872">
        <v>2</v>
      </c>
      <c r="M57" s="2872">
        <v>0</v>
      </c>
      <c r="N57" s="2872"/>
      <c r="O57" s="2873"/>
      <c r="P57" s="2870">
        <f>SUM(E57,G57)</f>
        <v>28</v>
      </c>
      <c r="Q57" s="2871">
        <v>10</v>
      </c>
      <c r="R57" s="2874">
        <v>27</v>
      </c>
      <c r="S57" s="1402"/>
      <c r="T57" s="1402"/>
      <c r="U57" s="1402"/>
      <c r="V57" s="1402"/>
      <c r="W57" s="1402"/>
      <c r="X57" s="1402"/>
      <c r="Y57" s="1402"/>
      <c r="Z57" s="1402"/>
    </row>
    <row r="58" spans="1:26" s="39" customFormat="1" ht="12.75" customHeight="1" thickTop="1" thickBot="1" x14ac:dyDescent="0.25">
      <c r="A58" s="26"/>
      <c r="B58" s="26"/>
      <c r="C58" s="26"/>
      <c r="D58" s="26"/>
      <c r="E58" s="2863"/>
      <c r="F58" s="2863"/>
      <c r="G58" s="2846"/>
      <c r="H58" s="2844"/>
      <c r="I58" s="2844"/>
      <c r="J58" s="2844"/>
      <c r="K58" s="2844"/>
      <c r="L58" s="2844"/>
      <c r="M58" s="2844"/>
      <c r="N58" s="2844"/>
      <c r="O58" s="2845"/>
      <c r="P58" s="237"/>
      <c r="Q58" s="2843"/>
      <c r="R58" s="2843"/>
      <c r="S58" s="41"/>
      <c r="T58" s="41"/>
      <c r="U58" s="41"/>
      <c r="V58" s="41"/>
      <c r="W58" s="41"/>
      <c r="X58" s="41"/>
      <c r="Y58" s="41"/>
      <c r="Z58" s="41"/>
    </row>
    <row r="59" spans="1:26" s="39" customFormat="1" ht="12.75" customHeight="1" thickTop="1" thickBot="1" x14ac:dyDescent="0.25">
      <c r="A59" s="407" t="s">
        <v>570</v>
      </c>
      <c r="B59" s="109"/>
      <c r="C59" s="109"/>
      <c r="D59" s="678"/>
      <c r="E59" s="2863"/>
      <c r="F59" s="2863"/>
      <c r="G59" s="2846"/>
      <c r="H59" s="2844"/>
      <c r="I59" s="2844"/>
      <c r="J59" s="2844"/>
      <c r="K59" s="2844"/>
      <c r="L59" s="2844"/>
      <c r="M59" s="2844"/>
      <c r="N59" s="2844"/>
      <c r="O59" s="2845"/>
      <c r="P59" s="237"/>
      <c r="Q59" s="2843"/>
      <c r="R59" s="2843"/>
      <c r="S59" s="41"/>
      <c r="T59" s="41"/>
      <c r="U59" s="41"/>
      <c r="V59" s="41"/>
      <c r="W59" s="41"/>
      <c r="X59" s="41"/>
      <c r="Y59" s="41"/>
      <c r="Z59" s="41"/>
    </row>
    <row r="60" spans="1:26" s="39" customFormat="1" ht="12.75" customHeight="1" thickTop="1" x14ac:dyDescent="0.2">
      <c r="A60" s="1221" t="s">
        <v>518</v>
      </c>
      <c r="B60" s="1222" t="s">
        <v>7</v>
      </c>
      <c r="C60" s="1222" t="s">
        <v>132</v>
      </c>
      <c r="D60" s="1403" t="s">
        <v>8</v>
      </c>
      <c r="E60" s="2849"/>
      <c r="F60" s="2849"/>
      <c r="G60" s="2846"/>
      <c r="H60" s="2847"/>
      <c r="I60" s="2847"/>
      <c r="J60" s="2847"/>
      <c r="K60" s="2847"/>
      <c r="L60" s="2847"/>
      <c r="M60" s="2847"/>
      <c r="N60" s="2847"/>
      <c r="O60" s="2848"/>
      <c r="P60" s="2849"/>
      <c r="Q60" s="2846"/>
      <c r="R60" s="2843"/>
      <c r="S60" s="41"/>
      <c r="T60" s="41"/>
      <c r="U60" s="41"/>
      <c r="V60" s="41"/>
      <c r="W60" s="41"/>
      <c r="X60" s="41"/>
      <c r="Y60" s="41"/>
      <c r="Z60" s="41"/>
    </row>
    <row r="61" spans="1:26" s="409" customFormat="1" ht="12.75" customHeight="1" x14ac:dyDescent="0.2">
      <c r="A61" s="1408" t="s">
        <v>563</v>
      </c>
      <c r="B61" s="1254" t="s">
        <v>14</v>
      </c>
      <c r="C61" s="1254" t="s">
        <v>132</v>
      </c>
      <c r="D61" s="1409" t="s">
        <v>8</v>
      </c>
      <c r="E61" s="2866"/>
      <c r="F61" s="2866"/>
      <c r="G61" s="2865"/>
      <c r="H61" s="2875"/>
      <c r="I61" s="2867"/>
      <c r="J61" s="2875"/>
      <c r="K61" s="2875"/>
      <c r="L61" s="2875"/>
      <c r="M61" s="2875"/>
      <c r="N61" s="2875"/>
      <c r="O61" s="2868"/>
      <c r="P61" s="2866"/>
      <c r="Q61" s="2869"/>
      <c r="R61" s="2869"/>
      <c r="S61" s="570"/>
      <c r="T61" s="570"/>
      <c r="U61" s="570"/>
      <c r="V61" s="570"/>
      <c r="W61" s="570"/>
      <c r="X61" s="570"/>
      <c r="Y61" s="570"/>
      <c r="Z61" s="570"/>
    </row>
    <row r="62" spans="1:26" s="409" customFormat="1" ht="12.75" customHeight="1" x14ac:dyDescent="0.2">
      <c r="A62" s="1228" t="s">
        <v>566</v>
      </c>
      <c r="B62" s="1218" t="s">
        <v>495</v>
      </c>
      <c r="C62" s="1218" t="s">
        <v>132</v>
      </c>
      <c r="D62" s="1407" t="s">
        <v>8</v>
      </c>
      <c r="E62" s="2866"/>
      <c r="F62" s="2866"/>
      <c r="G62" s="2846"/>
      <c r="H62" s="2875"/>
      <c r="I62" s="2875"/>
      <c r="J62" s="2875"/>
      <c r="K62" s="2875"/>
      <c r="L62" s="2875"/>
      <c r="M62" s="2875"/>
      <c r="N62" s="2875"/>
      <c r="O62" s="2868"/>
      <c r="P62" s="2866"/>
      <c r="Q62" s="2869"/>
      <c r="R62" s="2869"/>
      <c r="S62" s="570"/>
      <c r="T62" s="570"/>
      <c r="U62" s="570"/>
      <c r="V62" s="570"/>
      <c r="W62" s="570"/>
      <c r="X62" s="570"/>
      <c r="Y62" s="570"/>
      <c r="Z62" s="570"/>
    </row>
    <row r="63" spans="1:26" s="39" customFormat="1" ht="12.75" customHeight="1" thickBot="1" x14ac:dyDescent="0.25">
      <c r="A63" s="408"/>
      <c r="B63" s="408"/>
      <c r="C63" s="408"/>
      <c r="D63" s="408"/>
      <c r="E63" s="2863"/>
      <c r="F63" s="2863"/>
      <c r="G63" s="2846"/>
      <c r="H63" s="2844"/>
      <c r="I63" s="2844"/>
      <c r="J63" s="2844"/>
      <c r="K63" s="2844"/>
      <c r="L63" s="2844"/>
      <c r="M63" s="2844"/>
      <c r="N63" s="2844"/>
      <c r="O63" s="2845"/>
      <c r="P63" s="237"/>
      <c r="Q63" s="2843"/>
      <c r="R63" s="2843"/>
      <c r="S63" s="41"/>
      <c r="T63" s="41"/>
      <c r="U63" s="41"/>
      <c r="V63" s="41"/>
      <c r="W63" s="41"/>
      <c r="X63" s="41"/>
      <c r="Y63" s="41"/>
      <c r="Z63" s="41"/>
    </row>
    <row r="64" spans="1:26" s="39" customFormat="1" ht="12.75" customHeight="1" thickTop="1" thickBot="1" x14ac:dyDescent="0.25">
      <c r="A64" s="407" t="s">
        <v>595</v>
      </c>
      <c r="B64" s="109"/>
      <c r="C64" s="109"/>
      <c r="D64" s="678"/>
      <c r="E64" s="2863"/>
      <c r="F64" s="2863"/>
      <c r="G64" s="2846"/>
      <c r="H64" s="2844"/>
      <c r="I64" s="2844"/>
      <c r="J64" s="2844"/>
      <c r="K64" s="2844"/>
      <c r="L64" s="2844"/>
      <c r="M64" s="2844"/>
      <c r="N64" s="2844"/>
      <c r="O64" s="2845"/>
      <c r="P64" s="237"/>
      <c r="Q64" s="2843"/>
      <c r="R64" s="2843"/>
      <c r="S64" s="41"/>
      <c r="T64" s="41"/>
      <c r="U64" s="41"/>
      <c r="V64" s="41"/>
      <c r="W64" s="41"/>
      <c r="X64" s="41"/>
      <c r="Y64" s="41"/>
      <c r="Z64" s="41"/>
    </row>
    <row r="65" spans="1:26" s="431" customFormat="1" ht="12.75" customHeight="1" thickTop="1" thickBot="1" x14ac:dyDescent="0.25">
      <c r="A65" s="1236" t="s">
        <v>599</v>
      </c>
      <c r="B65" s="1165" t="s">
        <v>14</v>
      </c>
      <c r="C65" s="1165" t="s">
        <v>132</v>
      </c>
      <c r="D65" s="1397" t="s">
        <v>8</v>
      </c>
      <c r="E65" s="2863"/>
      <c r="F65" s="2863"/>
      <c r="G65" s="2846"/>
      <c r="H65" s="2876"/>
      <c r="I65" s="2877"/>
      <c r="J65" s="2877"/>
      <c r="K65" s="2877"/>
      <c r="L65" s="2877"/>
      <c r="M65" s="2877"/>
      <c r="N65" s="2877"/>
      <c r="O65" s="2878"/>
      <c r="P65" s="237"/>
      <c r="Q65" s="2843"/>
      <c r="R65" s="2879"/>
      <c r="S65" s="447"/>
      <c r="T65" s="447"/>
      <c r="U65" s="447"/>
      <c r="V65" s="447"/>
      <c r="W65" s="447"/>
      <c r="X65" s="447"/>
      <c r="Y65" s="447"/>
      <c r="Z65" s="447"/>
    </row>
    <row r="66" spans="1:26" s="431" customFormat="1" ht="12.75" customHeight="1" thickTop="1" thickBot="1" x14ac:dyDescent="0.25">
      <c r="A66" s="408"/>
      <c r="B66" s="408"/>
      <c r="C66" s="408"/>
      <c r="D66" s="408"/>
      <c r="E66" s="2863"/>
      <c r="F66" s="2863"/>
      <c r="G66" s="2846"/>
      <c r="H66" s="2876"/>
      <c r="I66" s="2877"/>
      <c r="J66" s="2877"/>
      <c r="K66" s="2877"/>
      <c r="L66" s="2877"/>
      <c r="M66" s="2877"/>
      <c r="N66" s="2877"/>
      <c r="O66" s="2878"/>
      <c r="P66" s="237"/>
      <c r="Q66" s="2843"/>
      <c r="R66" s="2879"/>
      <c r="S66" s="447"/>
      <c r="T66" s="447"/>
      <c r="U66" s="447"/>
      <c r="V66" s="447"/>
      <c r="W66" s="447"/>
      <c r="X66" s="447"/>
      <c r="Y66" s="447"/>
      <c r="Z66" s="447"/>
    </row>
    <row r="67" spans="1:26" s="39" customFormat="1" ht="12.75" customHeight="1" thickTop="1" thickBot="1" x14ac:dyDescent="0.25">
      <c r="A67" s="407" t="s">
        <v>610</v>
      </c>
      <c r="B67" s="109"/>
      <c r="C67" s="109"/>
      <c r="D67" s="678"/>
      <c r="E67" s="2863"/>
      <c r="F67" s="2863"/>
      <c r="G67" s="2846"/>
      <c r="H67" s="2844"/>
      <c r="I67" s="2844"/>
      <c r="J67" s="2844"/>
      <c r="K67" s="2844"/>
      <c r="L67" s="2844"/>
      <c r="M67" s="2844"/>
      <c r="N67" s="2844"/>
      <c r="O67" s="2845"/>
      <c r="P67" s="237"/>
      <c r="Q67" s="2843"/>
      <c r="R67" s="2843"/>
      <c r="S67" s="41"/>
      <c r="T67" s="41"/>
      <c r="U67" s="41"/>
      <c r="V67" s="41"/>
      <c r="W67" s="41"/>
      <c r="X67" s="41"/>
      <c r="Y67" s="41"/>
      <c r="Z67" s="41"/>
    </row>
    <row r="68" spans="1:26" s="430" customFormat="1" ht="12.75" customHeight="1" thickTop="1" x14ac:dyDescent="0.2">
      <c r="A68" s="1221" t="s">
        <v>605</v>
      </c>
      <c r="B68" s="1222" t="s">
        <v>7</v>
      </c>
      <c r="C68" s="1222" t="s">
        <v>132</v>
      </c>
      <c r="D68" s="1403" t="s">
        <v>8</v>
      </c>
      <c r="E68" s="2849"/>
      <c r="F68" s="2849"/>
      <c r="G68" s="2846"/>
      <c r="H68" s="2847"/>
      <c r="I68" s="2847"/>
      <c r="J68" s="2847"/>
      <c r="K68" s="2847"/>
      <c r="L68" s="2847"/>
      <c r="M68" s="2847"/>
      <c r="N68" s="2847"/>
      <c r="O68" s="2848"/>
      <c r="P68" s="2849"/>
      <c r="Q68" s="2846"/>
      <c r="R68" s="2846"/>
      <c r="S68" s="40"/>
      <c r="T68" s="40"/>
      <c r="U68" s="40"/>
      <c r="V68" s="40"/>
      <c r="W68" s="40"/>
      <c r="X68" s="40"/>
      <c r="Y68" s="40"/>
      <c r="Z68" s="40"/>
    </row>
    <row r="69" spans="1:26" s="1234" customFormat="1" ht="12.75" customHeight="1" thickBot="1" x14ac:dyDescent="0.25">
      <c r="A69" s="1404" t="s">
        <v>607</v>
      </c>
      <c r="B69" s="1405" t="s">
        <v>7</v>
      </c>
      <c r="C69" s="1405" t="s">
        <v>44</v>
      </c>
      <c r="D69" s="1406" t="s">
        <v>8</v>
      </c>
      <c r="E69" s="2870">
        <v>66</v>
      </c>
      <c r="F69" s="2870" t="s">
        <v>1228</v>
      </c>
      <c r="G69" s="2871">
        <f>SUM(H69:N69)</f>
        <v>26</v>
      </c>
      <c r="H69" s="2872"/>
      <c r="I69" s="2872">
        <v>2</v>
      </c>
      <c r="J69" s="2872">
        <v>6</v>
      </c>
      <c r="K69" s="2872">
        <v>6</v>
      </c>
      <c r="L69" s="2872">
        <v>6</v>
      </c>
      <c r="M69" s="2872">
        <v>6</v>
      </c>
      <c r="N69" s="2872"/>
      <c r="O69" s="2873"/>
      <c r="P69" s="2870">
        <f>SUM(E69,G69)</f>
        <v>92</v>
      </c>
      <c r="Q69" s="2871">
        <v>0</v>
      </c>
      <c r="R69" s="2871">
        <v>12</v>
      </c>
      <c r="S69" s="1401"/>
      <c r="T69" s="1401"/>
      <c r="U69" s="1401"/>
      <c r="V69" s="1401"/>
      <c r="W69" s="1401"/>
      <c r="X69" s="1401"/>
      <c r="Y69" s="1401"/>
      <c r="Z69" s="1401"/>
    </row>
    <row r="70" spans="1:26" s="430" customFormat="1" ht="12.75" customHeight="1" thickTop="1" thickBot="1" x14ac:dyDescent="0.25">
      <c r="A70" s="26"/>
      <c r="B70" s="26"/>
      <c r="C70" s="26"/>
      <c r="D70" s="26"/>
      <c r="E70" s="2863"/>
      <c r="F70" s="2863"/>
      <c r="G70" s="2846"/>
      <c r="H70" s="2877"/>
      <c r="I70" s="2877"/>
      <c r="J70" s="2877"/>
      <c r="K70" s="2877"/>
      <c r="L70" s="2877"/>
      <c r="M70" s="2877"/>
      <c r="N70" s="2877"/>
      <c r="O70" s="2878"/>
      <c r="P70" s="2863"/>
      <c r="Q70" s="2879"/>
      <c r="R70" s="2846"/>
      <c r="S70" s="40"/>
      <c r="T70" s="40"/>
      <c r="U70" s="40"/>
      <c r="V70" s="40"/>
      <c r="W70" s="40"/>
      <c r="X70" s="40"/>
      <c r="Y70" s="40"/>
      <c r="Z70" s="40"/>
    </row>
    <row r="71" spans="1:26" s="39" customFormat="1" ht="12.75" customHeight="1" thickTop="1" thickBot="1" x14ac:dyDescent="0.25">
      <c r="A71" s="407" t="s">
        <v>642</v>
      </c>
      <c r="B71" s="109"/>
      <c r="C71" s="109"/>
      <c r="D71" s="678"/>
      <c r="E71" s="2863"/>
      <c r="F71" s="2863"/>
      <c r="G71" s="2846"/>
      <c r="H71" s="2844"/>
      <c r="I71" s="2844"/>
      <c r="J71" s="2844"/>
      <c r="K71" s="2844"/>
      <c r="L71" s="2844"/>
      <c r="M71" s="2844"/>
      <c r="N71" s="2844"/>
      <c r="O71" s="2845"/>
      <c r="P71" s="237"/>
      <c r="Q71" s="2843"/>
      <c r="R71" s="2843"/>
      <c r="S71" s="41"/>
      <c r="T71" s="41"/>
      <c r="U71" s="41"/>
      <c r="V71" s="41"/>
      <c r="W71" s="41"/>
      <c r="X71" s="41"/>
      <c r="Y71" s="41"/>
      <c r="Z71" s="41"/>
    </row>
    <row r="72" spans="1:26" s="1234" customFormat="1" ht="12.75" customHeight="1" thickTop="1" x14ac:dyDescent="0.2">
      <c r="A72" s="1208" t="s">
        <v>566</v>
      </c>
      <c r="B72" s="1209" t="s">
        <v>7</v>
      </c>
      <c r="C72" s="1209" t="s">
        <v>44</v>
      </c>
      <c r="D72" s="1398" t="s">
        <v>8</v>
      </c>
      <c r="E72" s="2870">
        <v>0</v>
      </c>
      <c r="F72" s="2870" t="s">
        <v>1227</v>
      </c>
      <c r="G72" s="2871">
        <f>SUM(H72:N72)</f>
        <v>25</v>
      </c>
      <c r="H72" s="2872"/>
      <c r="I72" s="2872">
        <v>9</v>
      </c>
      <c r="J72" s="2872">
        <v>13</v>
      </c>
      <c r="K72" s="2872">
        <v>3</v>
      </c>
      <c r="L72" s="2872">
        <v>0</v>
      </c>
      <c r="M72" s="2872">
        <v>0</v>
      </c>
      <c r="N72" s="2872"/>
      <c r="O72" s="2873"/>
      <c r="P72" s="2870">
        <f>SUM(E72,G72)</f>
        <v>25</v>
      </c>
      <c r="Q72" s="2871">
        <v>0</v>
      </c>
      <c r="R72" s="2871">
        <v>19</v>
      </c>
      <c r="S72" s="1401"/>
      <c r="T72" s="1401"/>
      <c r="U72" s="1401"/>
      <c r="V72" s="1401"/>
      <c r="W72" s="1401"/>
      <c r="X72" s="1401"/>
      <c r="Y72" s="1401"/>
      <c r="Z72" s="1401"/>
    </row>
    <row r="73" spans="1:26" s="409" customFormat="1" ht="12.75" customHeight="1" thickBot="1" x14ac:dyDescent="0.25">
      <c r="A73" s="1410" t="s">
        <v>635</v>
      </c>
      <c r="B73" s="1391" t="s">
        <v>14</v>
      </c>
      <c r="C73" s="1391" t="s">
        <v>132</v>
      </c>
      <c r="D73" s="1411" t="s">
        <v>8</v>
      </c>
      <c r="E73" s="2866"/>
      <c r="F73" s="2866"/>
      <c r="G73" s="2865"/>
      <c r="H73" s="2875"/>
      <c r="I73" s="2875"/>
      <c r="J73" s="2875"/>
      <c r="K73" s="2875"/>
      <c r="L73" s="2875"/>
      <c r="M73" s="2875"/>
      <c r="N73" s="2875"/>
      <c r="O73" s="2868"/>
      <c r="P73" s="2866"/>
      <c r="Q73" s="2869"/>
      <c r="R73" s="2869"/>
      <c r="S73" s="570"/>
      <c r="T73" s="570"/>
      <c r="U73" s="570"/>
      <c r="V73" s="570"/>
      <c r="W73" s="570"/>
      <c r="X73" s="570"/>
      <c r="Y73" s="570"/>
      <c r="Z73" s="570"/>
    </row>
    <row r="74" spans="1:26" s="572" customFormat="1" ht="12.75" customHeight="1" thickTop="1" thickBot="1" x14ac:dyDescent="0.25">
      <c r="A74" s="408"/>
      <c r="B74" s="408"/>
      <c r="C74" s="408"/>
      <c r="D74" s="408"/>
      <c r="E74" s="2863"/>
      <c r="F74" s="2863"/>
      <c r="G74" s="2846"/>
      <c r="H74" s="2877"/>
      <c r="I74" s="2877"/>
      <c r="J74" s="2877"/>
      <c r="K74" s="2877"/>
      <c r="L74" s="2877"/>
      <c r="M74" s="2877"/>
      <c r="N74" s="2877"/>
      <c r="O74" s="2878"/>
      <c r="P74" s="2863"/>
      <c r="Q74" s="2879"/>
      <c r="R74" s="2879"/>
      <c r="S74" s="571"/>
      <c r="T74" s="571"/>
      <c r="U74" s="571"/>
      <c r="V74" s="571"/>
      <c r="W74" s="571"/>
      <c r="X74" s="571"/>
      <c r="Y74" s="571"/>
      <c r="Z74" s="571"/>
    </row>
    <row r="75" spans="1:26" s="572" customFormat="1" ht="12.75" customHeight="1" thickTop="1" thickBot="1" x14ac:dyDescent="0.25">
      <c r="A75" s="407" t="s">
        <v>677</v>
      </c>
      <c r="B75" s="109"/>
      <c r="C75" s="109"/>
      <c r="D75" s="678"/>
      <c r="E75" s="2863"/>
      <c r="F75" s="2863"/>
      <c r="G75" s="2846"/>
      <c r="H75" s="2877"/>
      <c r="I75" s="2877"/>
      <c r="J75" s="2877"/>
      <c r="K75" s="2877"/>
      <c r="L75" s="2877"/>
      <c r="M75" s="2877"/>
      <c r="N75" s="2877"/>
      <c r="O75" s="2878"/>
      <c r="P75" s="2863"/>
      <c r="Q75" s="2879"/>
      <c r="R75" s="2879"/>
      <c r="S75" s="571"/>
      <c r="T75" s="571"/>
      <c r="U75" s="571"/>
      <c r="V75" s="571"/>
      <c r="W75" s="571"/>
      <c r="X75" s="571"/>
      <c r="Y75" s="571"/>
      <c r="Z75" s="571"/>
    </row>
    <row r="76" spans="1:26" s="572" customFormat="1" ht="12.75" customHeight="1" thickTop="1" x14ac:dyDescent="0.2">
      <c r="A76" s="1221" t="s">
        <v>683</v>
      </c>
      <c r="B76" s="1222" t="s">
        <v>7</v>
      </c>
      <c r="C76" s="1222" t="s">
        <v>46</v>
      </c>
      <c r="D76" s="1403" t="s">
        <v>8</v>
      </c>
      <c r="E76" s="2863"/>
      <c r="F76" s="2863"/>
      <c r="G76" s="2846"/>
      <c r="H76" s="2877"/>
      <c r="I76" s="2877"/>
      <c r="J76" s="2877"/>
      <c r="K76" s="2877"/>
      <c r="L76" s="2877"/>
      <c r="M76" s="2877"/>
      <c r="N76" s="2877"/>
      <c r="O76" s="2878"/>
      <c r="P76" s="2863"/>
      <c r="Q76" s="2879"/>
      <c r="R76" s="2879"/>
      <c r="S76" s="571"/>
      <c r="T76" s="571"/>
      <c r="U76" s="571"/>
      <c r="V76" s="571"/>
      <c r="W76" s="571"/>
      <c r="X76" s="571"/>
      <c r="Y76" s="571"/>
      <c r="Z76" s="571"/>
    </row>
    <row r="77" spans="1:26" s="1415" customFormat="1" ht="12.75" customHeight="1" x14ac:dyDescent="0.2">
      <c r="A77" s="1412" t="s">
        <v>412</v>
      </c>
      <c r="B77" s="1201" t="s">
        <v>7</v>
      </c>
      <c r="C77" s="1201" t="s">
        <v>44</v>
      </c>
      <c r="D77" s="1413" t="s">
        <v>8</v>
      </c>
      <c r="E77" s="2870">
        <v>0</v>
      </c>
      <c r="F77" s="2870" t="s">
        <v>1224</v>
      </c>
      <c r="G77" s="2871">
        <f>SUM(H77:N77)</f>
        <v>14</v>
      </c>
      <c r="H77" s="2872"/>
      <c r="I77" s="2872">
        <v>4</v>
      </c>
      <c r="J77" s="2872">
        <v>4</v>
      </c>
      <c r="K77" s="2872">
        <v>3</v>
      </c>
      <c r="L77" s="2872">
        <v>2</v>
      </c>
      <c r="M77" s="2872">
        <v>1</v>
      </c>
      <c r="N77" s="2872"/>
      <c r="O77" s="2873"/>
      <c r="P77" s="2870">
        <f>SUM(E77,G77)</f>
        <v>14</v>
      </c>
      <c r="Q77" s="2871">
        <v>0</v>
      </c>
      <c r="R77" s="2880">
        <v>11</v>
      </c>
      <c r="S77" s="1414"/>
      <c r="T77" s="1414"/>
      <c r="U77" s="1414"/>
      <c r="V77" s="1414"/>
      <c r="W77" s="1414"/>
      <c r="X77" s="1414"/>
      <c r="Y77" s="1414"/>
      <c r="Z77" s="1414"/>
    </row>
    <row r="78" spans="1:26" s="409" customFormat="1" ht="12.75" customHeight="1" x14ac:dyDescent="0.2">
      <c r="A78" s="1253" t="s">
        <v>679</v>
      </c>
      <c r="B78" s="1254" t="s">
        <v>14</v>
      </c>
      <c r="C78" s="1254" t="s">
        <v>132</v>
      </c>
      <c r="D78" s="1409" t="s">
        <v>8</v>
      </c>
      <c r="E78" s="2866"/>
      <c r="F78" s="2866"/>
      <c r="G78" s="2865"/>
      <c r="H78" s="2875"/>
      <c r="I78" s="2875"/>
      <c r="J78" s="2875"/>
      <c r="K78" s="2875"/>
      <c r="L78" s="2875"/>
      <c r="M78" s="2875"/>
      <c r="N78" s="2875"/>
      <c r="O78" s="2868"/>
      <c r="P78" s="2866"/>
      <c r="Q78" s="2869"/>
      <c r="R78" s="2869"/>
      <c r="S78" s="570"/>
      <c r="T78" s="570"/>
      <c r="U78" s="570"/>
      <c r="V78" s="570"/>
      <c r="W78" s="570"/>
      <c r="X78" s="570"/>
      <c r="Y78" s="570"/>
      <c r="Z78" s="570"/>
    </row>
    <row r="79" spans="1:26" s="409" customFormat="1" ht="12.75" customHeight="1" x14ac:dyDescent="0.2">
      <c r="A79" s="1253" t="s">
        <v>685</v>
      </c>
      <c r="B79" s="1254" t="s">
        <v>14</v>
      </c>
      <c r="C79" s="1254" t="s">
        <v>132</v>
      </c>
      <c r="D79" s="1409" t="s">
        <v>8</v>
      </c>
      <c r="E79" s="2866"/>
      <c r="F79" s="2866"/>
      <c r="G79" s="2865"/>
      <c r="H79" s="2875"/>
      <c r="I79" s="2875"/>
      <c r="J79" s="2875"/>
      <c r="K79" s="2875"/>
      <c r="L79" s="2875"/>
      <c r="M79" s="2875"/>
      <c r="N79" s="2875"/>
      <c r="O79" s="2868"/>
      <c r="P79" s="2866"/>
      <c r="Q79" s="2869"/>
      <c r="R79" s="2869"/>
      <c r="S79" s="570"/>
      <c r="T79" s="570"/>
      <c r="U79" s="570"/>
      <c r="V79" s="570"/>
      <c r="W79" s="570"/>
      <c r="X79" s="570"/>
      <c r="Y79" s="570"/>
      <c r="Z79" s="570"/>
    </row>
    <row r="80" spans="1:26" s="1282" customFormat="1" ht="12.75" customHeight="1" thickBot="1" x14ac:dyDescent="0.25">
      <c r="A80" s="1364" t="s">
        <v>671</v>
      </c>
      <c r="B80" s="1417" t="s">
        <v>7</v>
      </c>
      <c r="C80" s="1418" t="s">
        <v>44</v>
      </c>
      <c r="D80" s="1419" t="s">
        <v>8</v>
      </c>
      <c r="E80" s="2881">
        <v>193</v>
      </c>
      <c r="F80" s="2881" t="s">
        <v>1225</v>
      </c>
      <c r="G80" s="2882">
        <f>SUM(H80:N80)</f>
        <v>108</v>
      </c>
      <c r="H80" s="2883"/>
      <c r="I80" s="2883"/>
      <c r="J80" s="2883">
        <v>35</v>
      </c>
      <c r="K80" s="2883">
        <v>24</v>
      </c>
      <c r="L80" s="2883">
        <v>26</v>
      </c>
      <c r="M80" s="2883">
        <v>13</v>
      </c>
      <c r="N80" s="2883">
        <v>10</v>
      </c>
      <c r="O80" s="2884"/>
      <c r="P80" s="2881">
        <f>SUM(E80,G80)</f>
        <v>301</v>
      </c>
      <c r="Q80" s="2882">
        <v>0</v>
      </c>
      <c r="R80" s="2885">
        <v>86</v>
      </c>
      <c r="S80" s="1423"/>
      <c r="T80" s="1423"/>
      <c r="U80" s="1423"/>
      <c r="V80" s="1423"/>
      <c r="W80" s="1423"/>
      <c r="X80" s="1423"/>
      <c r="Y80" s="1423"/>
      <c r="Z80" s="1423"/>
    </row>
    <row r="81" spans="1:26" s="431" customFormat="1" ht="12.75" customHeight="1" thickTop="1" thickBot="1" x14ac:dyDescent="0.25">
      <c r="A81" s="26"/>
      <c r="B81" s="26"/>
      <c r="C81" s="26"/>
      <c r="D81" s="26"/>
      <c r="E81" s="2849"/>
      <c r="F81" s="2849"/>
      <c r="G81" s="2846"/>
      <c r="H81" s="2847"/>
      <c r="I81" s="2847"/>
      <c r="J81" s="2847"/>
      <c r="K81" s="2847"/>
      <c r="L81" s="2847"/>
      <c r="M81" s="2847"/>
      <c r="N81" s="2847"/>
      <c r="O81" s="2848"/>
      <c r="P81" s="2849"/>
      <c r="Q81" s="2846"/>
      <c r="R81" s="2879"/>
      <c r="S81" s="447"/>
      <c r="T81" s="447"/>
      <c r="U81" s="447"/>
      <c r="V81" s="447"/>
      <c r="W81" s="447"/>
      <c r="X81" s="447"/>
      <c r="Y81" s="447"/>
      <c r="Z81" s="447"/>
    </row>
    <row r="82" spans="1:26" s="431" customFormat="1" ht="12.75" customHeight="1" thickTop="1" thickBot="1" x14ac:dyDescent="0.25">
      <c r="A82" s="933" t="s">
        <v>744</v>
      </c>
      <c r="B82" s="934"/>
      <c r="C82" s="934"/>
      <c r="D82" s="935"/>
      <c r="E82" s="2849"/>
      <c r="F82" s="2849"/>
      <c r="G82" s="2846"/>
      <c r="H82" s="2847"/>
      <c r="I82" s="2847"/>
      <c r="J82" s="2847"/>
      <c r="K82" s="2847"/>
      <c r="L82" s="2847"/>
      <c r="M82" s="2847"/>
      <c r="N82" s="2847"/>
      <c r="O82" s="2848"/>
      <c r="P82" s="2849"/>
      <c r="Q82" s="2846"/>
      <c r="R82" s="2879"/>
      <c r="S82" s="447"/>
      <c r="T82" s="447"/>
      <c r="U82" s="447"/>
      <c r="V82" s="447"/>
      <c r="W82" s="447"/>
      <c r="X82" s="447"/>
      <c r="Y82" s="447"/>
      <c r="Z82" s="447"/>
    </row>
    <row r="83" spans="1:26" s="1282" customFormat="1" ht="12.75" customHeight="1" x14ac:dyDescent="0.2">
      <c r="A83" s="1263" t="s">
        <v>383</v>
      </c>
      <c r="B83" s="1264" t="s">
        <v>7</v>
      </c>
      <c r="C83" s="1264" t="s">
        <v>44</v>
      </c>
      <c r="D83" s="1424" t="s">
        <v>8</v>
      </c>
      <c r="E83" s="2881">
        <v>0</v>
      </c>
      <c r="F83" s="2881" t="s">
        <v>1225</v>
      </c>
      <c r="G83" s="2882">
        <f>SUM(H83:N83)</f>
        <v>28</v>
      </c>
      <c r="H83" s="2883"/>
      <c r="I83" s="2883"/>
      <c r="J83" s="2883">
        <v>19</v>
      </c>
      <c r="K83" s="2883">
        <v>8</v>
      </c>
      <c r="L83" s="2883">
        <v>1</v>
      </c>
      <c r="M83" s="2883">
        <v>0</v>
      </c>
      <c r="N83" s="2883">
        <v>0</v>
      </c>
      <c r="O83" s="2884"/>
      <c r="P83" s="2881">
        <f>SUM(E83,G83)</f>
        <v>28</v>
      </c>
      <c r="Q83" s="2882">
        <v>0</v>
      </c>
      <c r="R83" s="2885">
        <v>18</v>
      </c>
      <c r="S83" s="1423"/>
      <c r="T83" s="1423"/>
      <c r="U83" s="1423"/>
      <c r="V83" s="1423"/>
      <c r="W83" s="1423"/>
      <c r="X83" s="1423"/>
      <c r="Y83" s="1423"/>
      <c r="Z83" s="1423"/>
    </row>
    <row r="84" spans="1:26" s="1282" customFormat="1" ht="12.75" customHeight="1" x14ac:dyDescent="0.2">
      <c r="A84" s="1263" t="s">
        <v>748</v>
      </c>
      <c r="B84" s="1264" t="s">
        <v>7</v>
      </c>
      <c r="C84" s="1264" t="s">
        <v>44</v>
      </c>
      <c r="D84" s="1425" t="s">
        <v>8</v>
      </c>
      <c r="E84" s="2881">
        <v>0</v>
      </c>
      <c r="F84" s="2881" t="s">
        <v>1225</v>
      </c>
      <c r="G84" s="2882">
        <f>SUM(H84:N84)</f>
        <v>10</v>
      </c>
      <c r="H84" s="2883"/>
      <c r="I84" s="2883"/>
      <c r="J84" s="2883">
        <v>8</v>
      </c>
      <c r="K84" s="2883">
        <v>2</v>
      </c>
      <c r="L84" s="2883">
        <v>0</v>
      </c>
      <c r="M84" s="2883">
        <v>0</v>
      </c>
      <c r="N84" s="2883">
        <v>0</v>
      </c>
      <c r="O84" s="2884"/>
      <c r="P84" s="2881">
        <f>SUM(E84,G84)</f>
        <v>10</v>
      </c>
      <c r="Q84" s="2882">
        <v>0</v>
      </c>
      <c r="R84" s="2885">
        <v>5</v>
      </c>
      <c r="S84" s="1423"/>
      <c r="T84" s="1423"/>
      <c r="U84" s="1423"/>
      <c r="V84" s="1423"/>
      <c r="W84" s="1423"/>
      <c r="X84" s="1423"/>
      <c r="Y84" s="1423"/>
      <c r="Z84" s="1423"/>
    </row>
    <row r="85" spans="1:26" s="566" customFormat="1" ht="12.75" customHeight="1" thickBot="1" x14ac:dyDescent="0.25">
      <c r="A85" s="1253" t="s">
        <v>751</v>
      </c>
      <c r="B85" s="1254" t="s">
        <v>14</v>
      </c>
      <c r="C85" s="1254" t="s">
        <v>132</v>
      </c>
      <c r="D85" s="1411" t="s">
        <v>8</v>
      </c>
      <c r="E85" s="2863"/>
      <c r="F85" s="2863"/>
      <c r="G85" s="2879"/>
      <c r="H85" s="2877"/>
      <c r="I85" s="2877"/>
      <c r="J85" s="2877"/>
      <c r="K85" s="2877"/>
      <c r="L85" s="2877"/>
      <c r="M85" s="2877"/>
      <c r="N85" s="2877"/>
      <c r="O85" s="2878"/>
      <c r="P85" s="2863"/>
      <c r="Q85" s="2879"/>
      <c r="R85" s="2879"/>
      <c r="S85" s="692"/>
      <c r="T85" s="692"/>
      <c r="U85" s="692"/>
      <c r="V85" s="692"/>
      <c r="W85" s="692"/>
      <c r="X85" s="692"/>
      <c r="Y85" s="692"/>
      <c r="Z85" s="692"/>
    </row>
    <row r="86" spans="1:26" s="938" customFormat="1" ht="12.75" customHeight="1" thickTop="1" thickBot="1" x14ac:dyDescent="0.25">
      <c r="A86" s="939"/>
      <c r="B86" s="940"/>
      <c r="C86" s="940"/>
      <c r="D86" s="613"/>
      <c r="E86" s="2886"/>
      <c r="F86" s="2886"/>
      <c r="G86" s="2887"/>
      <c r="H86" s="2888"/>
      <c r="I86" s="2888"/>
      <c r="J86" s="2888"/>
      <c r="K86" s="2888"/>
      <c r="L86" s="2888"/>
      <c r="M86" s="2888"/>
      <c r="N86" s="2888"/>
      <c r="O86" s="2889"/>
      <c r="P86" s="2886"/>
      <c r="Q86" s="2887"/>
      <c r="R86" s="2890"/>
      <c r="S86" s="937"/>
      <c r="T86" s="937"/>
      <c r="U86" s="937"/>
      <c r="V86" s="937"/>
      <c r="W86" s="937"/>
      <c r="X86" s="937"/>
      <c r="Y86" s="937"/>
      <c r="Z86" s="937"/>
    </row>
    <row r="87" spans="1:26" s="431" customFormat="1" ht="12.75" customHeight="1" thickTop="1" thickBot="1" x14ac:dyDescent="0.25">
      <c r="A87" s="933" t="s">
        <v>754</v>
      </c>
      <c r="B87" s="934"/>
      <c r="C87" s="934"/>
      <c r="D87" s="936"/>
      <c r="E87" s="2849"/>
      <c r="F87" s="2849"/>
      <c r="G87" s="2846"/>
      <c r="H87" s="2847"/>
      <c r="I87" s="2847"/>
      <c r="J87" s="2847"/>
      <c r="K87" s="2847"/>
      <c r="L87" s="2847"/>
      <c r="M87" s="2847"/>
      <c r="N87" s="2847"/>
      <c r="O87" s="2848"/>
      <c r="P87" s="2849"/>
      <c r="Q87" s="2846"/>
      <c r="R87" s="2879"/>
      <c r="S87" s="447"/>
      <c r="T87" s="447"/>
      <c r="U87" s="447"/>
      <c r="V87" s="447"/>
      <c r="W87" s="447"/>
      <c r="X87" s="447"/>
      <c r="Y87" s="447"/>
      <c r="Z87" s="447"/>
    </row>
    <row r="88" spans="1:26" s="1245" customFormat="1" ht="12.75" customHeight="1" thickBot="1" x14ac:dyDescent="0.25">
      <c r="A88" s="2076" t="s">
        <v>756</v>
      </c>
      <c r="B88" s="2077" t="s">
        <v>14</v>
      </c>
      <c r="C88" s="2077" t="s">
        <v>132</v>
      </c>
      <c r="D88" s="2078" t="s">
        <v>8</v>
      </c>
      <c r="E88" s="2891"/>
      <c r="F88" s="2891"/>
      <c r="G88" s="2865"/>
      <c r="H88" s="2892"/>
      <c r="I88" s="2892"/>
      <c r="J88" s="2892"/>
      <c r="K88" s="2892"/>
      <c r="L88" s="2892"/>
      <c r="M88" s="2892"/>
      <c r="N88" s="2892"/>
      <c r="O88" s="2893"/>
      <c r="P88" s="2891"/>
      <c r="Q88" s="2865"/>
      <c r="R88" s="2869"/>
      <c r="S88" s="1989"/>
      <c r="T88" s="1989"/>
      <c r="U88" s="1989"/>
      <c r="V88" s="1989"/>
      <c r="W88" s="1989"/>
      <c r="X88" s="1989"/>
      <c r="Y88" s="1989"/>
      <c r="Z88" s="1989"/>
    </row>
    <row r="89" spans="1:26" s="431" customFormat="1" ht="12.75" customHeight="1" thickTop="1" thickBot="1" x14ac:dyDescent="0.25">
      <c r="A89" s="26"/>
      <c r="B89" s="26"/>
      <c r="C89" s="26"/>
      <c r="D89" s="26"/>
      <c r="E89" s="2849"/>
      <c r="F89" s="2849"/>
      <c r="G89" s="2846"/>
      <c r="H89" s="2847"/>
      <c r="I89" s="2847"/>
      <c r="J89" s="2847"/>
      <c r="K89" s="2847"/>
      <c r="L89" s="2847"/>
      <c r="M89" s="2847"/>
      <c r="N89" s="2847"/>
      <c r="O89" s="2848"/>
      <c r="P89" s="2849"/>
      <c r="Q89" s="2846"/>
      <c r="R89" s="2879"/>
      <c r="S89" s="447"/>
      <c r="T89" s="447"/>
      <c r="U89" s="447"/>
      <c r="V89" s="447"/>
      <c r="W89" s="447"/>
      <c r="X89" s="447"/>
      <c r="Y89" s="447"/>
      <c r="Z89" s="447"/>
    </row>
    <row r="90" spans="1:26" s="431" customFormat="1" ht="12.75" customHeight="1" thickTop="1" thickBot="1" x14ac:dyDescent="0.25">
      <c r="A90" s="933" t="s">
        <v>814</v>
      </c>
      <c r="B90" s="934"/>
      <c r="C90" s="934"/>
      <c r="D90" s="935"/>
      <c r="E90" s="2849"/>
      <c r="F90" s="2849"/>
      <c r="G90" s="2846"/>
      <c r="H90" s="2847"/>
      <c r="I90" s="2847"/>
      <c r="J90" s="2847"/>
      <c r="K90" s="2847"/>
      <c r="L90" s="2847"/>
      <c r="M90" s="2847"/>
      <c r="N90" s="2847"/>
      <c r="O90" s="2848"/>
      <c r="P90" s="2849"/>
      <c r="Q90" s="2846"/>
      <c r="R90" s="2879"/>
      <c r="S90" s="447"/>
      <c r="T90" s="447"/>
      <c r="U90" s="447"/>
      <c r="V90" s="447"/>
      <c r="W90" s="447"/>
      <c r="X90" s="447"/>
      <c r="Y90" s="447"/>
      <c r="Z90" s="447"/>
    </row>
    <row r="91" spans="1:26" s="1282" customFormat="1" ht="12.75" customHeight="1" x14ac:dyDescent="0.2">
      <c r="A91" s="1263" t="s">
        <v>808</v>
      </c>
      <c r="B91" s="1264" t="s">
        <v>7</v>
      </c>
      <c r="C91" s="1264" t="s">
        <v>44</v>
      </c>
      <c r="D91" s="1426" t="s">
        <v>8</v>
      </c>
      <c r="E91" s="2881">
        <v>0</v>
      </c>
      <c r="F91" s="2881" t="s">
        <v>1225</v>
      </c>
      <c r="G91" s="2882">
        <f>SUM(H91:N91)</f>
        <v>95</v>
      </c>
      <c r="H91" s="2883"/>
      <c r="I91" s="2883"/>
      <c r="J91" s="2883">
        <v>15</v>
      </c>
      <c r="K91" s="2883">
        <v>20</v>
      </c>
      <c r="L91" s="2883">
        <v>30</v>
      </c>
      <c r="M91" s="2883">
        <v>30</v>
      </c>
      <c r="N91" s="2883">
        <v>0</v>
      </c>
      <c r="O91" s="2884"/>
      <c r="P91" s="2881">
        <f>SUM(E91,G91)</f>
        <v>95</v>
      </c>
      <c r="Q91" s="2882">
        <v>0</v>
      </c>
      <c r="R91" s="2885">
        <v>74</v>
      </c>
      <c r="S91" s="1423"/>
      <c r="T91" s="1423"/>
      <c r="U91" s="1423"/>
      <c r="V91" s="1423"/>
      <c r="W91" s="1423"/>
      <c r="X91" s="1423"/>
      <c r="Y91" s="1423"/>
      <c r="Z91" s="1423"/>
    </row>
    <row r="92" spans="1:26" s="1282" customFormat="1" ht="12.75" customHeight="1" x14ac:dyDescent="0.2">
      <c r="A92" s="1263" t="s">
        <v>810</v>
      </c>
      <c r="B92" s="1264" t="s">
        <v>7</v>
      </c>
      <c r="C92" s="1264" t="s">
        <v>44</v>
      </c>
      <c r="D92" s="1426" t="s">
        <v>8</v>
      </c>
      <c r="E92" s="2881">
        <v>0</v>
      </c>
      <c r="F92" s="2881" t="s">
        <v>1344</v>
      </c>
      <c r="G92" s="2882">
        <f>SUM(H92:N92)</f>
        <v>43</v>
      </c>
      <c r="H92" s="2883"/>
      <c r="I92" s="2883"/>
      <c r="J92" s="2883">
        <v>16</v>
      </c>
      <c r="K92" s="2883">
        <v>19</v>
      </c>
      <c r="L92" s="2883">
        <v>8</v>
      </c>
      <c r="M92" s="2883">
        <v>0</v>
      </c>
      <c r="N92" s="2883">
        <v>0</v>
      </c>
      <c r="O92" s="2884"/>
      <c r="P92" s="2881">
        <f>SUM(E92,G92)</f>
        <v>43</v>
      </c>
      <c r="Q92" s="2882">
        <v>0</v>
      </c>
      <c r="R92" s="2885">
        <v>33</v>
      </c>
      <c r="S92" s="1423"/>
      <c r="T92" s="1423"/>
      <c r="U92" s="1423"/>
      <c r="V92" s="1423"/>
      <c r="W92" s="1423"/>
      <c r="X92" s="1423"/>
      <c r="Y92" s="1423"/>
      <c r="Z92" s="1423"/>
    </row>
    <row r="93" spans="1:26" s="566" customFormat="1" ht="12.75" customHeight="1" thickBot="1" x14ac:dyDescent="0.25">
      <c r="A93" s="1427" t="s">
        <v>811</v>
      </c>
      <c r="B93" s="1391" t="s">
        <v>14</v>
      </c>
      <c r="C93" s="1391" t="s">
        <v>132</v>
      </c>
      <c r="D93" s="1411" t="s">
        <v>8</v>
      </c>
      <c r="E93" s="2863"/>
      <c r="F93" s="2863"/>
      <c r="G93" s="2879"/>
      <c r="H93" s="2877"/>
      <c r="I93" s="2877"/>
      <c r="J93" s="2877"/>
      <c r="K93" s="2877"/>
      <c r="L93" s="2877"/>
      <c r="M93" s="2877"/>
      <c r="N93" s="2877"/>
      <c r="O93" s="2878"/>
      <c r="P93" s="2863"/>
      <c r="Q93" s="2879"/>
      <c r="R93" s="2879"/>
      <c r="S93" s="692"/>
      <c r="T93" s="692"/>
      <c r="U93" s="692"/>
      <c r="V93" s="692"/>
      <c r="W93" s="692"/>
      <c r="X93" s="692"/>
      <c r="Y93" s="692"/>
      <c r="Z93" s="692"/>
    </row>
    <row r="94" spans="1:26" s="431" customFormat="1" ht="12.75" customHeight="1" thickTop="1" thickBot="1" x14ac:dyDescent="0.25">
      <c r="A94" s="1032"/>
      <c r="B94" s="408"/>
      <c r="C94" s="408"/>
      <c r="D94" s="408"/>
      <c r="E94" s="2863"/>
      <c r="F94" s="2863"/>
      <c r="G94" s="2879"/>
      <c r="H94" s="2877"/>
      <c r="I94" s="2877"/>
      <c r="J94" s="2877"/>
      <c r="K94" s="2877"/>
      <c r="L94" s="2877"/>
      <c r="M94" s="2877"/>
      <c r="N94" s="2863"/>
      <c r="O94" s="2878"/>
      <c r="P94" s="2863"/>
      <c r="Q94" s="2879"/>
      <c r="R94" s="2879"/>
      <c r="S94" s="447"/>
      <c r="T94" s="447"/>
      <c r="U94" s="447"/>
      <c r="V94" s="447"/>
      <c r="W94" s="447"/>
      <c r="X94" s="447"/>
      <c r="Y94" s="447"/>
      <c r="Z94" s="447"/>
    </row>
    <row r="95" spans="1:26" s="431" customFormat="1" ht="12.75" customHeight="1" thickTop="1" thickBot="1" x14ac:dyDescent="0.25">
      <c r="A95" s="933" t="s">
        <v>850</v>
      </c>
      <c r="B95" s="934"/>
      <c r="C95" s="934"/>
      <c r="D95" s="1108"/>
      <c r="E95" s="2863"/>
      <c r="F95" s="2863"/>
      <c r="G95" s="2879"/>
      <c r="H95" s="2877"/>
      <c r="I95" s="2877"/>
      <c r="J95" s="2877"/>
      <c r="K95" s="2877"/>
      <c r="L95" s="2877"/>
      <c r="M95" s="2877"/>
      <c r="N95" s="2863"/>
      <c r="O95" s="2878"/>
      <c r="P95" s="2863"/>
      <c r="Q95" s="2879"/>
      <c r="R95" s="2879"/>
      <c r="S95" s="447"/>
      <c r="T95" s="447"/>
      <c r="U95" s="447"/>
      <c r="V95" s="447"/>
      <c r="W95" s="447"/>
      <c r="X95" s="447"/>
      <c r="Y95" s="447"/>
      <c r="Z95" s="447"/>
    </row>
    <row r="96" spans="1:26" s="1271" customFormat="1" ht="12.75" customHeight="1" thickBot="1" x14ac:dyDescent="0.25">
      <c r="A96" s="1285" t="s">
        <v>751</v>
      </c>
      <c r="B96" s="1286" t="s">
        <v>7</v>
      </c>
      <c r="C96" s="1286" t="s">
        <v>44</v>
      </c>
      <c r="D96" s="1428" t="s">
        <v>8</v>
      </c>
      <c r="E96" s="2881">
        <v>0</v>
      </c>
      <c r="F96" s="2881" t="s">
        <v>1225</v>
      </c>
      <c r="G96" s="2882">
        <f>SUM(H96:N96)</f>
        <v>24</v>
      </c>
      <c r="H96" s="2883"/>
      <c r="I96" s="2883"/>
      <c r="J96" s="2883">
        <v>16</v>
      </c>
      <c r="K96" s="2883">
        <v>1</v>
      </c>
      <c r="L96" s="2883">
        <v>3</v>
      </c>
      <c r="M96" s="2883">
        <v>2</v>
      </c>
      <c r="N96" s="2881">
        <v>2</v>
      </c>
      <c r="O96" s="2884"/>
      <c r="P96" s="2881">
        <f>SUM(E96,G96)</f>
        <v>24</v>
      </c>
      <c r="Q96" s="2882">
        <v>0</v>
      </c>
      <c r="R96" s="2882">
        <v>15</v>
      </c>
      <c r="S96" s="1422"/>
      <c r="T96" s="1422"/>
      <c r="U96" s="1422"/>
      <c r="V96" s="1422"/>
      <c r="W96" s="1422"/>
      <c r="X96" s="1422"/>
      <c r="Y96" s="1422"/>
      <c r="Z96" s="1422"/>
    </row>
    <row r="97" spans="1:26" s="431" customFormat="1" ht="12.75" customHeight="1" thickTop="1" thickBot="1" x14ac:dyDescent="0.25">
      <c r="A97" s="611"/>
      <c r="B97" s="408"/>
      <c r="C97" s="408"/>
      <c r="D97" s="408"/>
      <c r="E97" s="2863"/>
      <c r="F97" s="2863"/>
      <c r="G97" s="2879"/>
      <c r="H97" s="2877"/>
      <c r="I97" s="2877"/>
      <c r="J97" s="2877"/>
      <c r="K97" s="2877"/>
      <c r="L97" s="2877"/>
      <c r="M97" s="2877"/>
      <c r="N97" s="2863"/>
      <c r="O97" s="2878"/>
      <c r="P97" s="2863"/>
      <c r="Q97" s="2879"/>
      <c r="R97" s="2879"/>
      <c r="S97" s="447"/>
      <c r="T97" s="447"/>
      <c r="U97" s="447"/>
      <c r="V97" s="447"/>
      <c r="W97" s="447"/>
      <c r="X97" s="447"/>
      <c r="Y97" s="447"/>
      <c r="Z97" s="447"/>
    </row>
    <row r="98" spans="1:26" s="431" customFormat="1" ht="12.75" customHeight="1" thickTop="1" thickBot="1" x14ac:dyDescent="0.25">
      <c r="A98" s="407" t="s">
        <v>854</v>
      </c>
      <c r="B98" s="109"/>
      <c r="C98" s="109"/>
      <c r="D98" s="1109"/>
      <c r="E98" s="2863"/>
      <c r="F98" s="2863"/>
      <c r="G98" s="2879"/>
      <c r="H98" s="2877"/>
      <c r="I98" s="2877"/>
      <c r="J98" s="2877"/>
      <c r="K98" s="2877"/>
      <c r="L98" s="2877"/>
      <c r="M98" s="2877"/>
      <c r="N98" s="2863"/>
      <c r="O98" s="2878"/>
      <c r="P98" s="2863"/>
      <c r="Q98" s="2879"/>
      <c r="R98" s="2879"/>
      <c r="S98" s="447"/>
      <c r="T98" s="447"/>
      <c r="U98" s="447"/>
      <c r="V98" s="447"/>
      <c r="W98" s="447"/>
      <c r="X98" s="447"/>
      <c r="Y98" s="447"/>
      <c r="Z98" s="447"/>
    </row>
    <row r="99" spans="1:26" s="1271" customFormat="1" ht="12.75" customHeight="1" thickTop="1" x14ac:dyDescent="0.2">
      <c r="A99" s="1292" t="s">
        <v>811</v>
      </c>
      <c r="B99" s="1293" t="s">
        <v>7</v>
      </c>
      <c r="C99" s="1293" t="s">
        <v>44</v>
      </c>
      <c r="D99" s="1426" t="s">
        <v>8</v>
      </c>
      <c r="E99" s="2881">
        <v>18</v>
      </c>
      <c r="F99" s="2881" t="s">
        <v>1224</v>
      </c>
      <c r="G99" s="2882">
        <f>SUM(H99:N99)</f>
        <v>32</v>
      </c>
      <c r="H99" s="2883"/>
      <c r="I99" s="2883"/>
      <c r="J99" s="2883">
        <v>0</v>
      </c>
      <c r="K99" s="2883">
        <v>3</v>
      </c>
      <c r="L99" s="2883">
        <v>4</v>
      </c>
      <c r="M99" s="2883">
        <v>23</v>
      </c>
      <c r="N99" s="2883">
        <v>2</v>
      </c>
      <c r="O99" s="2884"/>
      <c r="P99" s="2881">
        <f>SUM(E99,G99)</f>
        <v>50</v>
      </c>
      <c r="Q99" s="2882">
        <v>7</v>
      </c>
      <c r="R99" s="2882">
        <v>30</v>
      </c>
      <c r="S99" s="1422"/>
      <c r="T99" s="1422"/>
      <c r="U99" s="1422"/>
      <c r="V99" s="1422"/>
      <c r="W99" s="1422"/>
      <c r="X99" s="1422"/>
      <c r="Y99" s="1422"/>
      <c r="Z99" s="1422"/>
    </row>
    <row r="100" spans="1:26" s="1282" customFormat="1" ht="12.75" customHeight="1" thickBot="1" x14ac:dyDescent="0.25">
      <c r="A100" s="1278" t="s">
        <v>859</v>
      </c>
      <c r="B100" s="1279" t="s">
        <v>14</v>
      </c>
      <c r="C100" s="1279" t="s">
        <v>44</v>
      </c>
      <c r="D100" s="1431" t="s">
        <v>8</v>
      </c>
      <c r="E100" s="2863"/>
      <c r="F100" s="2863"/>
      <c r="G100" s="2879"/>
      <c r="H100" s="2877"/>
      <c r="I100" s="2877"/>
      <c r="J100" s="2877"/>
      <c r="K100" s="2877"/>
      <c r="L100" s="2877"/>
      <c r="M100" s="2877"/>
      <c r="N100" s="2877"/>
      <c r="O100" s="2878"/>
      <c r="P100" s="2863"/>
      <c r="Q100" s="2879"/>
      <c r="R100" s="2879"/>
      <c r="S100" s="1423"/>
      <c r="T100" s="1423"/>
      <c r="U100" s="1423"/>
      <c r="V100" s="1423"/>
      <c r="W100" s="1423"/>
      <c r="X100" s="1423"/>
      <c r="Y100" s="1423"/>
      <c r="Z100" s="1423"/>
    </row>
    <row r="101" spans="1:26" s="431" customFormat="1" ht="12.75" customHeight="1" thickTop="1" thickBot="1" x14ac:dyDescent="0.25">
      <c r="A101" s="1027"/>
      <c r="B101" s="961"/>
      <c r="C101" s="961"/>
      <c r="D101" s="408"/>
      <c r="E101" s="2863"/>
      <c r="F101" s="2863"/>
      <c r="G101" s="2879"/>
      <c r="H101" s="2877"/>
      <c r="I101" s="2877"/>
      <c r="J101" s="2877"/>
      <c r="K101" s="2877"/>
      <c r="L101" s="2877"/>
      <c r="M101" s="2877"/>
      <c r="N101" s="2863"/>
      <c r="O101" s="2878"/>
      <c r="P101" s="2863"/>
      <c r="Q101" s="2879"/>
      <c r="R101" s="2879"/>
      <c r="S101" s="447"/>
      <c r="T101" s="447"/>
      <c r="U101" s="447"/>
      <c r="V101" s="447"/>
      <c r="W101" s="447"/>
      <c r="X101" s="447"/>
      <c r="Y101" s="447"/>
      <c r="Z101" s="447"/>
    </row>
    <row r="102" spans="1:26" s="431" customFormat="1" ht="12.75" customHeight="1" thickTop="1" thickBot="1" x14ac:dyDescent="0.25">
      <c r="A102" s="407" t="s">
        <v>886</v>
      </c>
      <c r="B102" s="109"/>
      <c r="C102" s="109"/>
      <c r="D102" s="1109"/>
      <c r="E102" s="2863"/>
      <c r="F102" s="2863"/>
      <c r="G102" s="2879"/>
      <c r="H102" s="2877"/>
      <c r="I102" s="2877"/>
      <c r="J102" s="2877"/>
      <c r="K102" s="2877"/>
      <c r="L102" s="2877"/>
      <c r="M102" s="2877"/>
      <c r="N102" s="2863"/>
      <c r="O102" s="2878"/>
      <c r="P102" s="2863"/>
      <c r="Q102" s="2879"/>
      <c r="R102" s="2879"/>
      <c r="S102" s="447"/>
      <c r="T102" s="447"/>
      <c r="U102" s="447"/>
      <c r="V102" s="447"/>
      <c r="W102" s="447"/>
      <c r="X102" s="447"/>
      <c r="Y102" s="447"/>
      <c r="Z102" s="447"/>
    </row>
    <row r="103" spans="1:26" s="1271" customFormat="1" ht="12.75" customHeight="1" thickTop="1" x14ac:dyDescent="0.2">
      <c r="A103" s="1292" t="s">
        <v>563</v>
      </c>
      <c r="B103" s="1293" t="s">
        <v>7</v>
      </c>
      <c r="C103" s="1293" t="s">
        <v>44</v>
      </c>
      <c r="D103" s="1426" t="s">
        <v>8</v>
      </c>
      <c r="E103" s="2881">
        <v>0</v>
      </c>
      <c r="F103" s="2881" t="s">
        <v>1230</v>
      </c>
      <c r="G103" s="2882">
        <f>SUM(H103:N103)</f>
        <v>29</v>
      </c>
      <c r="H103" s="2883"/>
      <c r="I103" s="2883"/>
      <c r="J103" s="2883">
        <v>0</v>
      </c>
      <c r="K103" s="2883">
        <v>15</v>
      </c>
      <c r="L103" s="2883">
        <v>2</v>
      </c>
      <c r="M103" s="2883">
        <v>6</v>
      </c>
      <c r="N103" s="2881">
        <v>6</v>
      </c>
      <c r="O103" s="2884"/>
      <c r="P103" s="2881">
        <f>SUM(E103,G103)</f>
        <v>29</v>
      </c>
      <c r="Q103" s="2882">
        <v>0</v>
      </c>
      <c r="R103" s="2882">
        <v>19</v>
      </c>
      <c r="S103" s="1422"/>
      <c r="T103" s="1422"/>
      <c r="U103" s="1422"/>
      <c r="V103" s="1422"/>
      <c r="W103" s="1422"/>
      <c r="X103" s="1422"/>
      <c r="Y103" s="1422"/>
      <c r="Z103" s="1422"/>
    </row>
    <row r="104" spans="1:26" s="2034" customFormat="1" ht="12.75" customHeight="1" x14ac:dyDescent="0.2">
      <c r="A104" s="2054" t="s">
        <v>910</v>
      </c>
      <c r="B104" s="2018" t="s">
        <v>14</v>
      </c>
      <c r="C104" s="2018" t="s">
        <v>132</v>
      </c>
      <c r="D104" s="2055" t="s">
        <v>8</v>
      </c>
      <c r="E104" s="2866"/>
      <c r="F104" s="2866"/>
      <c r="G104" s="2869"/>
      <c r="H104" s="2875"/>
      <c r="I104" s="2875"/>
      <c r="J104" s="2875"/>
      <c r="K104" s="2875"/>
      <c r="L104" s="2875"/>
      <c r="M104" s="2875"/>
      <c r="N104" s="2866"/>
      <c r="O104" s="2868"/>
      <c r="P104" s="2866"/>
      <c r="Q104" s="2869"/>
      <c r="R104" s="2869"/>
      <c r="S104" s="2056"/>
      <c r="T104" s="2056"/>
      <c r="U104" s="2056"/>
      <c r="V104" s="2056"/>
      <c r="W104" s="2056"/>
      <c r="X104" s="2056"/>
      <c r="Y104" s="2056"/>
      <c r="Z104" s="2056"/>
    </row>
    <row r="105" spans="1:26" s="1245" customFormat="1" ht="12.75" customHeight="1" thickBot="1" x14ac:dyDescent="0.25">
      <c r="A105" s="1427" t="s">
        <v>911</v>
      </c>
      <c r="B105" s="1391" t="s">
        <v>14</v>
      </c>
      <c r="C105" s="1391" t="s">
        <v>132</v>
      </c>
      <c r="D105" s="1411" t="s">
        <v>8</v>
      </c>
      <c r="E105" s="2866"/>
      <c r="F105" s="2866"/>
      <c r="G105" s="2869"/>
      <c r="H105" s="2875"/>
      <c r="I105" s="2875"/>
      <c r="J105" s="2875"/>
      <c r="K105" s="2875"/>
      <c r="L105" s="2875"/>
      <c r="M105" s="2875"/>
      <c r="N105" s="2866"/>
      <c r="O105" s="2868"/>
      <c r="P105" s="2866"/>
      <c r="Q105" s="2869"/>
      <c r="R105" s="2869"/>
      <c r="S105" s="1989"/>
      <c r="T105" s="1989"/>
      <c r="U105" s="1989"/>
      <c r="V105" s="1989"/>
      <c r="W105" s="1989"/>
      <c r="X105" s="1989"/>
      <c r="Y105" s="1989"/>
      <c r="Z105" s="1989"/>
    </row>
    <row r="106" spans="1:26" s="431" customFormat="1" ht="12.75" customHeight="1" thickTop="1" thickBot="1" x14ac:dyDescent="0.25">
      <c r="A106" s="1032"/>
      <c r="B106" s="408"/>
      <c r="C106" s="408"/>
      <c r="D106" s="408"/>
      <c r="E106" s="2863"/>
      <c r="F106" s="2863"/>
      <c r="G106" s="2879"/>
      <c r="H106" s="2877"/>
      <c r="I106" s="2877"/>
      <c r="J106" s="2877"/>
      <c r="K106" s="2877"/>
      <c r="L106" s="2877"/>
      <c r="M106" s="2877"/>
      <c r="N106" s="2863"/>
      <c r="O106" s="2878"/>
      <c r="P106" s="2863"/>
      <c r="Q106" s="2879"/>
      <c r="R106" s="2879"/>
      <c r="S106" s="447"/>
      <c r="T106" s="447"/>
      <c r="U106" s="447"/>
      <c r="V106" s="447"/>
      <c r="W106" s="447"/>
      <c r="X106" s="447"/>
      <c r="Y106" s="447"/>
      <c r="Z106" s="447"/>
    </row>
    <row r="107" spans="1:26" s="431" customFormat="1" ht="12.75" customHeight="1" thickTop="1" thickBot="1" x14ac:dyDescent="0.25">
      <c r="A107" s="933" t="s">
        <v>895</v>
      </c>
      <c r="B107" s="934"/>
      <c r="C107" s="934"/>
      <c r="D107" s="935"/>
      <c r="E107" s="2863"/>
      <c r="F107" s="2863"/>
      <c r="G107" s="2879"/>
      <c r="H107" s="2877"/>
      <c r="I107" s="2877"/>
      <c r="J107" s="2877"/>
      <c r="K107" s="2877"/>
      <c r="L107" s="2877"/>
      <c r="M107" s="2877"/>
      <c r="N107" s="2863"/>
      <c r="O107" s="2878"/>
      <c r="P107" s="2863"/>
      <c r="Q107" s="2879"/>
      <c r="R107" s="2879"/>
      <c r="S107" s="447"/>
      <c r="T107" s="447"/>
      <c r="U107" s="447"/>
      <c r="V107" s="447"/>
      <c r="W107" s="447"/>
      <c r="X107" s="447"/>
      <c r="Y107" s="447"/>
      <c r="Z107" s="447"/>
    </row>
    <row r="108" spans="1:26" s="1245" customFormat="1" ht="12.75" customHeight="1" x14ac:dyDescent="0.2">
      <c r="A108" s="1260" t="s">
        <v>912</v>
      </c>
      <c r="B108" s="1254" t="s">
        <v>14</v>
      </c>
      <c r="C108" s="1254" t="s">
        <v>132</v>
      </c>
      <c r="D108" s="1409" t="s">
        <v>8</v>
      </c>
      <c r="E108" s="2866"/>
      <c r="F108" s="2866"/>
      <c r="G108" s="2869"/>
      <c r="H108" s="2875"/>
      <c r="I108" s="2875"/>
      <c r="J108" s="2875"/>
      <c r="K108" s="2875"/>
      <c r="L108" s="2875"/>
      <c r="M108" s="2875"/>
      <c r="N108" s="2866"/>
      <c r="O108" s="2868"/>
      <c r="P108" s="2866"/>
      <c r="Q108" s="2869"/>
      <c r="R108" s="2869"/>
      <c r="S108" s="1989"/>
      <c r="T108" s="1989"/>
      <c r="U108" s="1989"/>
      <c r="V108" s="1989"/>
      <c r="W108" s="1989"/>
      <c r="X108" s="1989"/>
      <c r="Y108" s="1989"/>
      <c r="Z108" s="1989"/>
    </row>
    <row r="109" spans="1:26" s="1245" customFormat="1" ht="12.75" customHeight="1" thickBot="1" x14ac:dyDescent="0.25">
      <c r="A109" s="1427" t="s">
        <v>129</v>
      </c>
      <c r="B109" s="1391" t="s">
        <v>14</v>
      </c>
      <c r="C109" s="1391" t="s">
        <v>132</v>
      </c>
      <c r="D109" s="1411" t="s">
        <v>8</v>
      </c>
      <c r="E109" s="2866"/>
      <c r="F109" s="2866"/>
      <c r="G109" s="2894"/>
      <c r="H109" s="2895"/>
      <c r="I109" s="2895"/>
      <c r="J109" s="2895"/>
      <c r="K109" s="2895"/>
      <c r="L109" s="2895"/>
      <c r="M109" s="2895"/>
      <c r="N109" s="2896"/>
      <c r="O109" s="2897"/>
      <c r="P109" s="2896"/>
      <c r="Q109" s="2894"/>
      <c r="R109" s="2869"/>
      <c r="S109" s="1989"/>
      <c r="T109" s="1989"/>
      <c r="U109" s="1989"/>
      <c r="V109" s="1989"/>
      <c r="W109" s="1989"/>
      <c r="X109" s="1989"/>
      <c r="Y109" s="1989"/>
      <c r="Z109" s="1989"/>
    </row>
    <row r="110" spans="1:26" s="431" customFormat="1" ht="12.75" customHeight="1" thickTop="1" thickBot="1" x14ac:dyDescent="0.25">
      <c r="A110" s="1032"/>
      <c r="B110" s="408"/>
      <c r="C110" s="408"/>
      <c r="D110" s="408"/>
      <c r="E110" s="2849"/>
      <c r="F110" s="2849"/>
      <c r="G110" s="2846"/>
      <c r="H110" s="2847"/>
      <c r="I110" s="2847"/>
      <c r="J110" s="2847"/>
      <c r="K110" s="2847"/>
      <c r="L110" s="2847"/>
      <c r="M110" s="2847"/>
      <c r="N110" s="2849"/>
      <c r="O110" s="2848"/>
      <c r="P110" s="2849"/>
      <c r="Q110" s="2846"/>
      <c r="R110" s="2879"/>
      <c r="S110" s="447"/>
      <c r="T110" s="447"/>
      <c r="U110" s="447"/>
      <c r="V110" s="447"/>
      <c r="W110" s="447"/>
      <c r="X110" s="447"/>
      <c r="Y110" s="447"/>
      <c r="Z110" s="447"/>
    </row>
    <row r="111" spans="1:26" s="431" customFormat="1" ht="12.75" customHeight="1" thickTop="1" thickBot="1" x14ac:dyDescent="0.25">
      <c r="A111" s="933" t="s">
        <v>955</v>
      </c>
      <c r="B111" s="934"/>
      <c r="C111" s="934"/>
      <c r="D111" s="1108"/>
      <c r="E111" s="2863"/>
      <c r="F111" s="2863"/>
      <c r="G111" s="2879"/>
      <c r="H111" s="2877"/>
      <c r="I111" s="2877"/>
      <c r="J111" s="2877"/>
      <c r="K111" s="2877"/>
      <c r="L111" s="2877"/>
      <c r="M111" s="2877"/>
      <c r="N111" s="2863"/>
      <c r="O111" s="2878"/>
      <c r="P111" s="2863"/>
      <c r="Q111" s="2879"/>
      <c r="R111" s="2879"/>
      <c r="S111" s="447"/>
      <c r="T111" s="447"/>
      <c r="U111" s="447"/>
      <c r="V111" s="447"/>
      <c r="W111" s="447"/>
      <c r="X111" s="447"/>
      <c r="Y111" s="447"/>
      <c r="Z111" s="447"/>
    </row>
    <row r="112" spans="1:26" s="2034" customFormat="1" ht="12.75" customHeight="1" thickBot="1" x14ac:dyDescent="0.25">
      <c r="A112" s="2036" t="s">
        <v>957</v>
      </c>
      <c r="B112" s="2037" t="s">
        <v>14</v>
      </c>
      <c r="C112" s="2037" t="s">
        <v>132</v>
      </c>
      <c r="D112" s="2057" t="s">
        <v>8</v>
      </c>
      <c r="E112" s="2866"/>
      <c r="F112" s="2866"/>
      <c r="G112" s="2869"/>
      <c r="H112" s="2875"/>
      <c r="I112" s="2875"/>
      <c r="J112" s="2875"/>
      <c r="K112" s="2875"/>
      <c r="L112" s="2875"/>
      <c r="M112" s="2875"/>
      <c r="N112" s="2866"/>
      <c r="O112" s="2868"/>
      <c r="P112" s="2866"/>
      <c r="Q112" s="2869"/>
      <c r="R112" s="2869"/>
      <c r="S112" s="2056"/>
      <c r="T112" s="2056"/>
      <c r="U112" s="2056"/>
      <c r="V112" s="2056"/>
      <c r="W112" s="2056"/>
      <c r="X112" s="2056"/>
      <c r="Y112" s="2056"/>
      <c r="Z112" s="2056"/>
    </row>
    <row r="113" spans="1:26" s="431" customFormat="1" ht="12.75" customHeight="1" thickTop="1" thickBot="1" x14ac:dyDescent="0.25">
      <c r="A113" s="1032"/>
      <c r="B113" s="408"/>
      <c r="C113" s="408"/>
      <c r="D113" s="408"/>
      <c r="E113" s="2849"/>
      <c r="F113" s="2849"/>
      <c r="G113" s="2846"/>
      <c r="H113" s="2847"/>
      <c r="I113" s="2847"/>
      <c r="J113" s="2847"/>
      <c r="K113" s="2847"/>
      <c r="L113" s="2847"/>
      <c r="M113" s="2847"/>
      <c r="N113" s="2849"/>
      <c r="O113" s="2849"/>
      <c r="P113" s="2837"/>
      <c r="Q113" s="2846"/>
      <c r="R113" s="2879"/>
      <c r="S113" s="447"/>
      <c r="T113" s="447"/>
      <c r="U113" s="447"/>
      <c r="V113" s="447"/>
      <c r="W113" s="447"/>
      <c r="X113" s="447"/>
      <c r="Y113" s="447"/>
      <c r="Z113" s="447"/>
    </row>
    <row r="114" spans="1:26" s="431" customFormat="1" ht="12.75" customHeight="1" thickTop="1" thickBot="1" x14ac:dyDescent="0.25">
      <c r="A114" s="407" t="s">
        <v>973</v>
      </c>
      <c r="B114" s="109"/>
      <c r="C114" s="109"/>
      <c r="D114" s="1109"/>
      <c r="E114" s="2863"/>
      <c r="F114" s="2863"/>
      <c r="G114" s="2879"/>
      <c r="H114" s="2877"/>
      <c r="I114" s="2877"/>
      <c r="J114" s="2877"/>
      <c r="K114" s="2877"/>
      <c r="L114" s="2877"/>
      <c r="M114" s="2877"/>
      <c r="N114" s="2863"/>
      <c r="O114" s="2878"/>
      <c r="P114" s="2863"/>
      <c r="Q114" s="2879"/>
      <c r="R114" s="2879"/>
      <c r="S114" s="447"/>
      <c r="T114" s="447"/>
      <c r="U114" s="447"/>
      <c r="V114" s="447"/>
      <c r="W114" s="447"/>
      <c r="X114" s="447"/>
      <c r="Y114" s="447"/>
      <c r="Z114" s="447"/>
    </row>
    <row r="115" spans="1:26" s="1271" customFormat="1" ht="12.75" customHeight="1" thickTop="1" thickBot="1" x14ac:dyDescent="0.25">
      <c r="A115" s="1902" t="s">
        <v>859</v>
      </c>
      <c r="B115" s="1418" t="s">
        <v>7</v>
      </c>
      <c r="C115" s="1418" t="s">
        <v>44</v>
      </c>
      <c r="D115" s="1419" t="s">
        <v>8</v>
      </c>
      <c r="E115" s="2881">
        <v>0</v>
      </c>
      <c r="F115" s="2881" t="s">
        <v>1225</v>
      </c>
      <c r="G115" s="2882">
        <f>SUM(H115:N115)</f>
        <v>35</v>
      </c>
      <c r="H115" s="2883"/>
      <c r="I115" s="2883"/>
      <c r="J115" s="2883">
        <v>9</v>
      </c>
      <c r="K115" s="2883">
        <v>15</v>
      </c>
      <c r="L115" s="2883">
        <v>4</v>
      </c>
      <c r="M115" s="2883">
        <v>7</v>
      </c>
      <c r="N115" s="2883">
        <v>0</v>
      </c>
      <c r="O115" s="2884"/>
      <c r="P115" s="2881">
        <f>SUM(E115,G115)</f>
        <v>35</v>
      </c>
      <c r="Q115" s="2882">
        <v>0</v>
      </c>
      <c r="R115" s="2882">
        <v>23</v>
      </c>
      <c r="S115" s="1422"/>
      <c r="T115" s="1422"/>
      <c r="U115" s="1422"/>
      <c r="V115" s="1422"/>
      <c r="W115" s="1422"/>
      <c r="X115" s="1422"/>
      <c r="Y115" s="1422"/>
      <c r="Z115" s="1422"/>
    </row>
    <row r="116" spans="1:26" s="431" customFormat="1" ht="12.75" customHeight="1" thickTop="1" thickBot="1" x14ac:dyDescent="0.25">
      <c r="A116" s="1900"/>
      <c r="B116" s="758"/>
      <c r="C116" s="758"/>
      <c r="D116" s="1901"/>
      <c r="E116" s="2863"/>
      <c r="F116" s="2863"/>
      <c r="G116" s="2879"/>
      <c r="H116" s="2877"/>
      <c r="I116" s="2877"/>
      <c r="J116" s="2877"/>
      <c r="K116" s="2877"/>
      <c r="L116" s="2877"/>
      <c r="M116" s="2877"/>
      <c r="N116" s="2877"/>
      <c r="O116" s="2878"/>
      <c r="P116" s="2863"/>
      <c r="Q116" s="2879"/>
      <c r="R116" s="2879"/>
      <c r="S116" s="447"/>
      <c r="T116" s="447"/>
      <c r="U116" s="447"/>
      <c r="V116" s="447"/>
      <c r="W116" s="447"/>
      <c r="X116" s="447"/>
      <c r="Y116" s="447"/>
      <c r="Z116" s="447"/>
    </row>
    <row r="117" spans="1:26" s="431" customFormat="1" ht="12.75" customHeight="1" thickTop="1" thickBot="1" x14ac:dyDescent="0.25">
      <c r="A117" s="933" t="s">
        <v>987</v>
      </c>
      <c r="B117" s="934"/>
      <c r="C117" s="934"/>
      <c r="D117" s="1108"/>
      <c r="E117" s="2863"/>
      <c r="F117" s="2863"/>
      <c r="G117" s="2879"/>
      <c r="H117" s="2877"/>
      <c r="I117" s="2877"/>
      <c r="J117" s="2877"/>
      <c r="K117" s="2877"/>
      <c r="L117" s="2877"/>
      <c r="M117" s="2877"/>
      <c r="N117" s="2863"/>
      <c r="O117" s="2878"/>
      <c r="P117" s="2863"/>
      <c r="Q117" s="2879"/>
      <c r="R117" s="2879"/>
      <c r="S117" s="447"/>
      <c r="T117" s="447"/>
      <c r="U117" s="447"/>
      <c r="V117" s="447"/>
      <c r="W117" s="447"/>
      <c r="X117" s="447"/>
      <c r="Y117" s="447"/>
      <c r="Z117" s="447"/>
    </row>
    <row r="118" spans="1:26" s="1932" customFormat="1" ht="12.75" customHeight="1" thickBot="1" x14ac:dyDescent="0.25">
      <c r="A118" s="1952" t="s">
        <v>988</v>
      </c>
      <c r="B118" s="1953" t="s">
        <v>7</v>
      </c>
      <c r="C118" s="1953" t="s">
        <v>44</v>
      </c>
      <c r="D118" s="1954" t="s">
        <v>8</v>
      </c>
      <c r="E118" s="2898">
        <v>61</v>
      </c>
      <c r="F118" s="2898" t="s">
        <v>1225</v>
      </c>
      <c r="G118" s="2899">
        <f>SUM(H118:O118)</f>
        <v>70</v>
      </c>
      <c r="H118" s="2900"/>
      <c r="I118" s="2900"/>
      <c r="J118" s="2900"/>
      <c r="K118" s="2900">
        <v>19</v>
      </c>
      <c r="L118" s="2900">
        <v>16</v>
      </c>
      <c r="M118" s="2900">
        <v>14</v>
      </c>
      <c r="N118" s="2898">
        <v>14</v>
      </c>
      <c r="O118" s="2901">
        <v>7</v>
      </c>
      <c r="P118" s="2898">
        <f>SUM(E118,G118)</f>
        <v>131</v>
      </c>
      <c r="Q118" s="2899">
        <v>0</v>
      </c>
      <c r="R118" s="2899">
        <v>36</v>
      </c>
      <c r="S118" s="1983"/>
      <c r="T118" s="1983"/>
      <c r="U118" s="1983"/>
      <c r="V118" s="1983"/>
      <c r="W118" s="1983"/>
      <c r="X118" s="1983"/>
      <c r="Y118" s="1983"/>
      <c r="Z118" s="1983"/>
    </row>
    <row r="119" spans="1:26" s="431" customFormat="1" ht="12.75" customHeight="1" thickTop="1" thickBot="1" x14ac:dyDescent="0.25">
      <c r="A119" s="1032"/>
      <c r="B119" s="408"/>
      <c r="C119" s="408"/>
      <c r="D119" s="408"/>
      <c r="E119" s="2849"/>
      <c r="F119" s="2849"/>
      <c r="G119" s="2846"/>
      <c r="H119" s="2847"/>
      <c r="I119" s="2847"/>
      <c r="J119" s="2847"/>
      <c r="K119" s="2847"/>
      <c r="L119" s="2847"/>
      <c r="M119" s="2847"/>
      <c r="N119" s="2849"/>
      <c r="O119" s="2849"/>
      <c r="P119" s="2837"/>
      <c r="Q119" s="2846"/>
      <c r="R119" s="2879"/>
      <c r="S119" s="447"/>
      <c r="T119" s="447"/>
      <c r="U119" s="447"/>
      <c r="V119" s="447"/>
      <c r="W119" s="447"/>
      <c r="X119" s="447"/>
      <c r="Y119" s="447"/>
      <c r="Z119" s="447"/>
    </row>
    <row r="120" spans="1:26" s="431" customFormat="1" ht="12.75" customHeight="1" thickTop="1" thickBot="1" x14ac:dyDescent="0.25">
      <c r="A120" s="933" t="s">
        <v>1040</v>
      </c>
      <c r="B120" s="934"/>
      <c r="C120" s="934"/>
      <c r="D120" s="935"/>
      <c r="E120" s="2863"/>
      <c r="F120" s="2863"/>
      <c r="G120" s="2879"/>
      <c r="H120" s="2877"/>
      <c r="I120" s="2877"/>
      <c r="J120" s="2877"/>
      <c r="K120" s="2877"/>
      <c r="L120" s="2877"/>
      <c r="M120" s="2877"/>
      <c r="N120" s="2863"/>
      <c r="O120" s="2878"/>
      <c r="P120" s="2863"/>
      <c r="Q120" s="2879"/>
      <c r="R120" s="2879"/>
      <c r="S120" s="447"/>
      <c r="T120" s="447"/>
      <c r="U120" s="447"/>
      <c r="V120" s="447"/>
      <c r="W120" s="447"/>
      <c r="X120" s="447"/>
      <c r="Y120" s="447"/>
      <c r="Z120" s="447"/>
    </row>
    <row r="121" spans="1:26" s="1932" customFormat="1" ht="12.75" customHeight="1" x14ac:dyDescent="0.2">
      <c r="A121" s="2051" t="s">
        <v>957</v>
      </c>
      <c r="B121" s="2052" t="s">
        <v>7</v>
      </c>
      <c r="C121" s="2052" t="s">
        <v>44</v>
      </c>
      <c r="D121" s="2053" t="s">
        <v>8</v>
      </c>
      <c r="E121" s="2898">
        <v>20</v>
      </c>
      <c r="F121" s="2898" t="s">
        <v>34</v>
      </c>
      <c r="G121" s="2899">
        <f>SUM(H121:O121)</f>
        <v>109</v>
      </c>
      <c r="H121" s="2900"/>
      <c r="I121" s="2900"/>
      <c r="J121" s="2900"/>
      <c r="K121" s="2900">
        <v>8</v>
      </c>
      <c r="L121" s="2900">
        <v>27</v>
      </c>
      <c r="M121" s="2900">
        <v>47</v>
      </c>
      <c r="N121" s="2898">
        <v>6</v>
      </c>
      <c r="O121" s="2901">
        <v>21</v>
      </c>
      <c r="P121" s="2898">
        <f t="shared" ref="P121:P127" si="0">SUM(E121,G121)</f>
        <v>129</v>
      </c>
      <c r="Q121" s="2899">
        <v>0</v>
      </c>
      <c r="R121" s="2899">
        <v>54</v>
      </c>
      <c r="S121" s="1983"/>
      <c r="T121" s="1983"/>
      <c r="U121" s="1983"/>
      <c r="V121" s="1983"/>
      <c r="W121" s="1983"/>
      <c r="X121" s="1983"/>
      <c r="Y121" s="1983"/>
      <c r="Z121" s="1983"/>
    </row>
    <row r="122" spans="1:26" s="1932" customFormat="1" ht="12.75" customHeight="1" x14ac:dyDescent="0.2">
      <c r="A122" s="1969" t="s">
        <v>910</v>
      </c>
      <c r="B122" s="1926" t="s">
        <v>7</v>
      </c>
      <c r="C122" s="1926" t="s">
        <v>44</v>
      </c>
      <c r="D122" s="1974" t="s">
        <v>8</v>
      </c>
      <c r="E122" s="2898">
        <v>33</v>
      </c>
      <c r="F122" s="2898" t="s">
        <v>1229</v>
      </c>
      <c r="G122" s="2899">
        <f>SUM(H122:O122)</f>
        <v>132</v>
      </c>
      <c r="H122" s="2900"/>
      <c r="I122" s="2900"/>
      <c r="J122" s="2900"/>
      <c r="K122" s="2900">
        <v>24</v>
      </c>
      <c r="L122" s="2900">
        <v>25</v>
      </c>
      <c r="M122" s="2900">
        <v>27</v>
      </c>
      <c r="N122" s="2898">
        <v>25</v>
      </c>
      <c r="O122" s="2901">
        <v>31</v>
      </c>
      <c r="P122" s="2898">
        <f t="shared" si="0"/>
        <v>165</v>
      </c>
      <c r="Q122" s="2899">
        <v>7</v>
      </c>
      <c r="R122" s="2899">
        <v>522</v>
      </c>
      <c r="S122" s="1983"/>
      <c r="T122" s="1983"/>
      <c r="U122" s="1983"/>
      <c r="V122" s="1983"/>
      <c r="W122" s="1983"/>
      <c r="X122" s="1983"/>
      <c r="Y122" s="1983"/>
      <c r="Z122" s="1983"/>
    </row>
    <row r="123" spans="1:26" s="1271" customFormat="1" ht="12.75" customHeight="1" x14ac:dyDescent="0.2">
      <c r="A123" s="1263" t="s">
        <v>756</v>
      </c>
      <c r="B123" s="1264" t="s">
        <v>7</v>
      </c>
      <c r="C123" s="1264" t="s">
        <v>44</v>
      </c>
      <c r="D123" s="1426" t="s">
        <v>8</v>
      </c>
      <c r="E123" s="2881">
        <v>0</v>
      </c>
      <c r="F123" s="2881" t="s">
        <v>1344</v>
      </c>
      <c r="G123" s="2882">
        <f>SUM(H123:N123)</f>
        <v>20</v>
      </c>
      <c r="H123" s="2883"/>
      <c r="I123" s="2883"/>
      <c r="J123" s="2883">
        <v>0</v>
      </c>
      <c r="K123" s="2883">
        <v>15</v>
      </c>
      <c r="L123" s="2883">
        <v>3</v>
      </c>
      <c r="M123" s="2883">
        <v>2</v>
      </c>
      <c r="N123" s="2883">
        <v>0</v>
      </c>
      <c r="O123" s="2884"/>
      <c r="P123" s="2881">
        <f t="shared" si="0"/>
        <v>20</v>
      </c>
      <c r="Q123" s="2882">
        <v>0</v>
      </c>
      <c r="R123" s="2882">
        <v>9</v>
      </c>
      <c r="S123" s="1422"/>
      <c r="T123" s="1422"/>
      <c r="U123" s="1422"/>
      <c r="V123" s="1422"/>
      <c r="W123" s="1422"/>
      <c r="X123" s="1422"/>
      <c r="Y123" s="1422"/>
      <c r="Z123" s="1422"/>
    </row>
    <row r="124" spans="1:26" s="1271" customFormat="1" ht="12.75" customHeight="1" x14ac:dyDescent="0.2">
      <c r="A124" s="1263" t="s">
        <v>911</v>
      </c>
      <c r="B124" s="1264" t="s">
        <v>7</v>
      </c>
      <c r="C124" s="1264" t="s">
        <v>44</v>
      </c>
      <c r="D124" s="1426" t="s">
        <v>8</v>
      </c>
      <c r="E124" s="2881">
        <v>0</v>
      </c>
      <c r="F124" s="2881" t="s">
        <v>1225</v>
      </c>
      <c r="G124" s="2882">
        <f>SUM(H124:N124)</f>
        <v>16</v>
      </c>
      <c r="H124" s="2883"/>
      <c r="I124" s="2883"/>
      <c r="J124" s="2883">
        <v>2</v>
      </c>
      <c r="K124" s="2883">
        <v>9</v>
      </c>
      <c r="L124" s="2883">
        <v>5</v>
      </c>
      <c r="M124" s="2883"/>
      <c r="N124" s="2881"/>
      <c r="O124" s="2884"/>
      <c r="P124" s="2881">
        <f t="shared" si="0"/>
        <v>16</v>
      </c>
      <c r="Q124" s="2882">
        <v>0</v>
      </c>
      <c r="R124" s="2882">
        <v>12</v>
      </c>
      <c r="S124" s="1422"/>
      <c r="T124" s="1422"/>
      <c r="U124" s="1422"/>
      <c r="V124" s="1422"/>
      <c r="W124" s="1422"/>
      <c r="X124" s="1422"/>
      <c r="Y124" s="1422"/>
      <c r="Z124" s="1422"/>
    </row>
    <row r="125" spans="1:26" s="1271" customFormat="1" ht="12.75" customHeight="1" x14ac:dyDescent="0.2">
      <c r="A125" s="1263" t="s">
        <v>912</v>
      </c>
      <c r="B125" s="1264" t="s">
        <v>7</v>
      </c>
      <c r="C125" s="1264" t="s">
        <v>44</v>
      </c>
      <c r="D125" s="1426" t="s">
        <v>8</v>
      </c>
      <c r="E125" s="2881">
        <v>118</v>
      </c>
      <c r="F125" s="2881" t="s">
        <v>1229</v>
      </c>
      <c r="G125" s="2882">
        <f>SUM(H125:N125)</f>
        <v>60</v>
      </c>
      <c r="H125" s="2883"/>
      <c r="I125" s="2883"/>
      <c r="J125" s="2883">
        <v>12</v>
      </c>
      <c r="K125" s="2883">
        <v>12</v>
      </c>
      <c r="L125" s="2883">
        <v>12</v>
      </c>
      <c r="M125" s="2883">
        <v>12</v>
      </c>
      <c r="N125" s="2881">
        <v>12</v>
      </c>
      <c r="O125" s="2884"/>
      <c r="P125" s="2881">
        <f t="shared" si="0"/>
        <v>178</v>
      </c>
      <c r="Q125" s="2882">
        <v>0</v>
      </c>
      <c r="R125" s="2882">
        <v>46</v>
      </c>
      <c r="S125" s="1422"/>
      <c r="T125" s="1422"/>
      <c r="U125" s="1422"/>
      <c r="V125" s="1422"/>
      <c r="W125" s="1422"/>
      <c r="X125" s="1422"/>
      <c r="Y125" s="1422"/>
      <c r="Z125" s="1422"/>
    </row>
    <row r="126" spans="1:26" s="1271" customFormat="1" ht="12.75" customHeight="1" x14ac:dyDescent="0.2">
      <c r="A126" s="1263" t="s">
        <v>129</v>
      </c>
      <c r="B126" s="1264" t="s">
        <v>7</v>
      </c>
      <c r="C126" s="1264" t="s">
        <v>44</v>
      </c>
      <c r="D126" s="1426" t="s">
        <v>8</v>
      </c>
      <c r="E126" s="2881">
        <v>698</v>
      </c>
      <c r="F126" s="2881" t="s">
        <v>1225</v>
      </c>
      <c r="G126" s="2882">
        <f>SUM(H126:N126)</f>
        <v>123</v>
      </c>
      <c r="H126" s="2883"/>
      <c r="I126" s="2883"/>
      <c r="J126" s="2883">
        <v>23</v>
      </c>
      <c r="K126" s="2883">
        <v>37</v>
      </c>
      <c r="L126" s="2883">
        <v>28</v>
      </c>
      <c r="M126" s="2883">
        <v>23</v>
      </c>
      <c r="N126" s="2881">
        <v>12</v>
      </c>
      <c r="O126" s="2884"/>
      <c r="P126" s="2881">
        <f t="shared" si="0"/>
        <v>821</v>
      </c>
      <c r="Q126" s="2882">
        <v>0</v>
      </c>
      <c r="R126" s="2882">
        <v>120</v>
      </c>
      <c r="S126" s="1422"/>
      <c r="T126" s="1422"/>
      <c r="U126" s="1422"/>
      <c r="V126" s="1422"/>
      <c r="W126" s="1422"/>
      <c r="X126" s="1422"/>
      <c r="Y126" s="1422"/>
      <c r="Z126" s="1422"/>
    </row>
    <row r="127" spans="1:26" s="1932" customFormat="1" ht="12.75" customHeight="1" thickBot="1" x14ac:dyDescent="0.25">
      <c r="A127" s="2113" t="s">
        <v>1034</v>
      </c>
      <c r="B127" s="2114" t="s">
        <v>14</v>
      </c>
      <c r="C127" s="2114" t="s">
        <v>44</v>
      </c>
      <c r="D127" s="2115" t="s">
        <v>8</v>
      </c>
      <c r="E127" s="2898">
        <v>63</v>
      </c>
      <c r="F127" s="2898" t="s">
        <v>1225</v>
      </c>
      <c r="G127" s="2899">
        <f>SUM(H127:O127)</f>
        <v>72</v>
      </c>
      <c r="H127" s="2900"/>
      <c r="I127" s="2900"/>
      <c r="J127" s="2900"/>
      <c r="K127" s="2900">
        <v>24</v>
      </c>
      <c r="L127" s="2900">
        <v>23</v>
      </c>
      <c r="M127" s="2900">
        <v>25</v>
      </c>
      <c r="N127" s="2898">
        <v>0</v>
      </c>
      <c r="O127" s="2901">
        <v>0</v>
      </c>
      <c r="P127" s="2898">
        <f t="shared" si="0"/>
        <v>135</v>
      </c>
      <c r="Q127" s="2899">
        <v>34</v>
      </c>
      <c r="R127" s="2899">
        <v>112</v>
      </c>
      <c r="S127" s="1983"/>
      <c r="T127" s="1983"/>
      <c r="U127" s="1983"/>
      <c r="V127" s="1983"/>
      <c r="W127" s="1983"/>
      <c r="X127" s="1983"/>
      <c r="Y127" s="1983"/>
      <c r="Z127" s="1983"/>
    </row>
    <row r="128" spans="1:26" s="431" customFormat="1" ht="12.75" customHeight="1" thickTop="1" x14ac:dyDescent="0.2">
      <c r="A128" s="1032"/>
      <c r="B128" s="408"/>
      <c r="C128" s="408"/>
      <c r="D128" s="408"/>
      <c r="E128" s="2849"/>
      <c r="F128" s="2849"/>
      <c r="G128" s="2846"/>
      <c r="H128" s="2847"/>
      <c r="I128" s="2847"/>
      <c r="J128" s="2847"/>
      <c r="K128" s="2847"/>
      <c r="L128" s="2847"/>
      <c r="M128" s="2847"/>
      <c r="N128" s="2849"/>
      <c r="O128" s="2848"/>
      <c r="P128" s="2849"/>
      <c r="Q128" s="2846"/>
      <c r="R128" s="2879"/>
      <c r="S128" s="447"/>
      <c r="T128" s="447"/>
      <c r="U128" s="447"/>
      <c r="V128" s="447"/>
      <c r="W128" s="447"/>
      <c r="X128" s="447"/>
      <c r="Y128" s="447"/>
      <c r="Z128" s="447"/>
    </row>
    <row r="129" spans="1:26" s="431" customFormat="1" ht="12.75" customHeight="1" x14ac:dyDescent="0.2">
      <c r="A129" s="1032"/>
      <c r="B129" s="408"/>
      <c r="C129" s="408"/>
      <c r="D129" s="408"/>
      <c r="E129" s="2849"/>
      <c r="F129" s="2849"/>
      <c r="G129" s="2846"/>
      <c r="H129" s="2847"/>
      <c r="I129" s="2847"/>
      <c r="J129" s="2847"/>
      <c r="K129" s="2847"/>
      <c r="L129" s="2847"/>
      <c r="M129" s="2847"/>
      <c r="N129" s="2849"/>
      <c r="O129" s="2849"/>
      <c r="P129" s="2837"/>
      <c r="Q129" s="2846"/>
      <c r="R129" s="2879"/>
      <c r="S129" s="447"/>
      <c r="T129" s="447"/>
      <c r="U129" s="447"/>
      <c r="V129" s="447"/>
      <c r="W129" s="447"/>
      <c r="X129" s="447"/>
      <c r="Y129" s="447"/>
      <c r="Z129" s="447"/>
    </row>
    <row r="130" spans="1:26" s="431" customFormat="1" ht="12.75" customHeight="1" x14ac:dyDescent="0.2">
      <c r="A130" s="1032"/>
      <c r="B130" s="408"/>
      <c r="C130" s="408"/>
      <c r="D130" s="408"/>
      <c r="E130" s="2849"/>
      <c r="F130" s="2849"/>
      <c r="G130" s="2846"/>
      <c r="H130" s="2847"/>
      <c r="I130" s="2847"/>
      <c r="J130" s="2847"/>
      <c r="K130" s="2847"/>
      <c r="L130" s="2847"/>
      <c r="M130" s="2847"/>
      <c r="N130" s="2849"/>
      <c r="O130" s="2849"/>
      <c r="P130" s="2837"/>
      <c r="Q130" s="2846"/>
      <c r="R130" s="2879"/>
      <c r="S130" s="447"/>
      <c r="T130" s="447"/>
      <c r="U130" s="447"/>
      <c r="V130" s="447"/>
      <c r="W130" s="447"/>
      <c r="X130" s="447"/>
      <c r="Y130" s="447"/>
      <c r="Z130" s="447"/>
    </row>
    <row r="131" spans="1:26" x14ac:dyDescent="0.2">
      <c r="A131" s="260"/>
      <c r="E131" s="83">
        <f>SUM(E7:E130)</f>
        <v>2254</v>
      </c>
      <c r="F131" s="83"/>
      <c r="G131" s="2856">
        <f t="shared" ref="G131:R131" si="1">SUM(G7:G130)</f>
        <v>1885</v>
      </c>
      <c r="H131" s="83">
        <f t="shared" si="1"/>
        <v>142</v>
      </c>
      <c r="I131" s="83">
        <f>SUM(I7:I130)</f>
        <v>333</v>
      </c>
      <c r="J131" s="83">
        <f t="shared" si="1"/>
        <v>293</v>
      </c>
      <c r="K131" s="83">
        <f t="shared" si="1"/>
        <v>388</v>
      </c>
      <c r="L131" s="83">
        <f t="shared" si="1"/>
        <v>341</v>
      </c>
      <c r="M131" s="83">
        <f t="shared" si="1"/>
        <v>240</v>
      </c>
      <c r="N131" s="83">
        <f t="shared" si="1"/>
        <v>89</v>
      </c>
      <c r="O131" s="83">
        <f t="shared" si="1"/>
        <v>59</v>
      </c>
      <c r="P131" s="2902">
        <f t="shared" si="1"/>
        <v>4139</v>
      </c>
      <c r="Q131" s="2856">
        <f t="shared" si="1"/>
        <v>68</v>
      </c>
      <c r="R131" s="2856">
        <f t="shared" si="1"/>
        <v>2034</v>
      </c>
      <c r="S131" s="31"/>
      <c r="T131" s="31"/>
      <c r="U131" s="31"/>
      <c r="V131" s="31"/>
      <c r="W131" s="31"/>
      <c r="X131" s="31"/>
      <c r="Y131" s="31"/>
      <c r="Z131" s="31"/>
    </row>
    <row r="132" spans="1:26" x14ac:dyDescent="0.2">
      <c r="A132" s="26" t="s">
        <v>104</v>
      </c>
      <c r="E132" s="2903">
        <f>P132-G132</f>
        <v>2254</v>
      </c>
      <c r="F132" s="2903"/>
      <c r="G132" s="2856">
        <f>SUM(H131:O131)</f>
        <v>1885</v>
      </c>
      <c r="H132" s="83" t="s">
        <v>105</v>
      </c>
      <c r="I132" s="83"/>
      <c r="J132" s="83"/>
      <c r="K132" s="83"/>
      <c r="L132" s="83"/>
      <c r="M132" s="83"/>
      <c r="N132" s="83"/>
      <c r="O132" s="2904" t="s">
        <v>105</v>
      </c>
      <c r="P132" s="2855">
        <f>E131+SUM(H131:O131)</f>
        <v>4139</v>
      </c>
      <c r="Q132" s="2856"/>
      <c r="R132" s="2905"/>
      <c r="S132" s="31"/>
      <c r="T132" s="31"/>
      <c r="U132" s="31"/>
      <c r="V132" s="31"/>
      <c r="W132" s="31"/>
      <c r="X132" s="31"/>
      <c r="Y132" s="31"/>
      <c r="Z132" s="31"/>
    </row>
    <row r="133" spans="1:26" x14ac:dyDescent="0.2">
      <c r="D133" s="5"/>
      <c r="E133" s="2906"/>
      <c r="F133" s="2906"/>
      <c r="G133" s="2856"/>
      <c r="H133" s="83"/>
      <c r="I133" s="83"/>
      <c r="J133" s="83"/>
      <c r="K133" s="83"/>
      <c r="L133" s="83"/>
      <c r="M133" s="83"/>
      <c r="N133" s="83"/>
      <c r="O133" s="2904"/>
      <c r="P133" s="2855"/>
      <c r="Q133" s="2856"/>
      <c r="R133" s="2856"/>
      <c r="S133" s="31"/>
      <c r="T133" s="31"/>
      <c r="U133" s="31"/>
      <c r="V133" s="31"/>
      <c r="W133" s="31"/>
      <c r="X133" s="31"/>
      <c r="Y133" s="31"/>
      <c r="Z133" s="31"/>
    </row>
    <row r="134" spans="1:26" x14ac:dyDescent="0.2">
      <c r="A134" s="89" t="s">
        <v>1237</v>
      </c>
      <c r="E134" s="2906"/>
      <c r="F134" s="2906"/>
      <c r="G134" s="2856"/>
      <c r="H134" s="83"/>
      <c r="I134" s="83"/>
      <c r="J134" s="83"/>
      <c r="K134" s="83"/>
      <c r="L134" s="83"/>
      <c r="M134" s="83"/>
      <c r="N134" s="83"/>
      <c r="O134" s="2904"/>
      <c r="P134" s="2855"/>
      <c r="Q134" s="2856"/>
      <c r="R134" s="2856"/>
      <c r="S134" s="31"/>
      <c r="T134" s="31"/>
      <c r="U134" s="31"/>
      <c r="V134" s="31"/>
      <c r="W134" s="31"/>
      <c r="X134" s="31"/>
      <c r="Y134" s="31"/>
      <c r="Z134" s="31"/>
    </row>
    <row r="135" spans="1:26" x14ac:dyDescent="0.2">
      <c r="A135" s="2934">
        <v>2007</v>
      </c>
      <c r="C135" s="5"/>
      <c r="E135" s="2906"/>
      <c r="F135" s="2906"/>
      <c r="G135" s="2856"/>
      <c r="H135" s="83">
        <f>SUM(H7:H42)</f>
        <v>142</v>
      </c>
      <c r="I135" s="83">
        <f t="shared" ref="I135:O135" si="2">SUM(I7:I41)</f>
        <v>219</v>
      </c>
      <c r="J135" s="83">
        <f t="shared" si="2"/>
        <v>108</v>
      </c>
      <c r="K135" s="83">
        <f t="shared" si="2"/>
        <v>101</v>
      </c>
      <c r="L135" s="83">
        <f t="shared" si="2"/>
        <v>96</v>
      </c>
      <c r="M135" s="83">
        <f t="shared" si="2"/>
        <v>0</v>
      </c>
      <c r="N135" s="83">
        <f t="shared" si="2"/>
        <v>0</v>
      </c>
      <c r="O135" s="83">
        <f t="shared" si="2"/>
        <v>0</v>
      </c>
      <c r="P135" s="2855"/>
      <c r="Q135" s="2856"/>
      <c r="R135" s="2856"/>
      <c r="S135" s="31"/>
      <c r="T135" s="31"/>
      <c r="U135" s="31"/>
      <c r="V135" s="31"/>
      <c r="W135" s="31"/>
      <c r="X135" s="31"/>
      <c r="Y135" s="31"/>
      <c r="Z135" s="31"/>
    </row>
    <row r="136" spans="1:26" x14ac:dyDescent="0.2">
      <c r="A136" s="2934">
        <v>2008</v>
      </c>
      <c r="E136" s="2906"/>
      <c r="F136" s="2906"/>
      <c r="G136" s="2856"/>
      <c r="H136" s="83"/>
      <c r="I136" s="83">
        <f>SUM(I52:I77)</f>
        <v>41</v>
      </c>
      <c r="J136" s="83">
        <f t="shared" ref="J136:O136" si="3">SUM(J52:J77)</f>
        <v>25</v>
      </c>
      <c r="K136" s="83">
        <f t="shared" si="3"/>
        <v>16</v>
      </c>
      <c r="L136" s="83">
        <f t="shared" si="3"/>
        <v>12</v>
      </c>
      <c r="M136" s="83">
        <f t="shared" si="3"/>
        <v>9</v>
      </c>
      <c r="N136" s="83">
        <f t="shared" si="3"/>
        <v>0</v>
      </c>
      <c r="O136" s="83">
        <f t="shared" si="3"/>
        <v>0</v>
      </c>
      <c r="P136" s="2855"/>
      <c r="Q136" s="2856"/>
      <c r="R136" s="2856"/>
      <c r="S136" s="31"/>
      <c r="T136" s="31"/>
      <c r="U136" s="31"/>
      <c r="V136" s="31"/>
      <c r="W136" s="31"/>
      <c r="X136" s="31"/>
      <c r="Y136" s="31"/>
      <c r="Z136" s="31"/>
    </row>
    <row r="137" spans="1:26" x14ac:dyDescent="0.2">
      <c r="G137" s="196"/>
      <c r="H137" s="31"/>
      <c r="I137" s="31"/>
      <c r="J137" s="31"/>
      <c r="K137" s="31"/>
      <c r="L137" s="31"/>
      <c r="M137" s="31"/>
      <c r="N137" s="31"/>
      <c r="O137" s="1031"/>
      <c r="P137" s="206"/>
      <c r="Q137" s="196"/>
      <c r="R137" s="196"/>
      <c r="S137" s="31"/>
      <c r="T137" s="31"/>
      <c r="U137" s="31"/>
      <c r="V137" s="31"/>
      <c r="W137" s="31"/>
      <c r="X137" s="31"/>
      <c r="Y137" s="31"/>
      <c r="Z137" s="31"/>
    </row>
    <row r="138" spans="1:26" x14ac:dyDescent="0.2">
      <c r="A138" s="77" t="s">
        <v>1345</v>
      </c>
      <c r="G138" s="196"/>
      <c r="H138" s="31"/>
      <c r="I138" s="31"/>
      <c r="J138" s="31"/>
      <c r="K138" s="31"/>
      <c r="L138" s="31"/>
      <c r="M138" s="31"/>
      <c r="N138" s="31"/>
      <c r="O138" s="1031"/>
      <c r="P138" s="206"/>
      <c r="Q138" s="196"/>
      <c r="R138" s="196"/>
      <c r="S138" s="31"/>
      <c r="T138" s="31"/>
      <c r="U138" s="31"/>
      <c r="V138" s="31"/>
      <c r="W138" s="31"/>
      <c r="X138" s="31"/>
      <c r="Y138" s="31"/>
      <c r="Z138" s="31"/>
    </row>
    <row r="139" spans="1:26" x14ac:dyDescent="0.2">
      <c r="A139" t="s">
        <v>17</v>
      </c>
      <c r="B139" s="2935">
        <f>SUMIF($F$7:$F$127,"Addison",$G$7:$G$127)</f>
        <v>46</v>
      </c>
      <c r="G139" s="196"/>
      <c r="H139" s="31"/>
      <c r="I139" s="31"/>
      <c r="J139" s="31"/>
      <c r="K139" s="31"/>
      <c r="L139" s="31"/>
      <c r="M139" s="31"/>
      <c r="N139" s="31"/>
      <c r="O139" s="1031"/>
      <c r="P139" s="206"/>
      <c r="Q139" s="196"/>
      <c r="R139" s="196"/>
      <c r="S139" s="31"/>
      <c r="T139" s="31"/>
      <c r="U139" s="31"/>
      <c r="V139" s="31"/>
      <c r="W139" s="31"/>
      <c r="X139" s="31"/>
      <c r="Y139" s="31"/>
      <c r="Z139" s="31"/>
    </row>
    <row r="140" spans="1:26" x14ac:dyDescent="0.2">
      <c r="A140" t="s">
        <v>18</v>
      </c>
      <c r="B140" s="2935">
        <f>SUMIF($F$7:$F$127,"Bennington",$G$7:$G$127)</f>
        <v>24</v>
      </c>
      <c r="G140" s="196"/>
      <c r="H140" s="31"/>
      <c r="I140" s="31"/>
      <c r="J140" s="31"/>
      <c r="K140" s="31"/>
      <c r="L140" s="31"/>
      <c r="M140" s="31"/>
      <c r="N140" s="31"/>
      <c r="O140" s="1031"/>
      <c r="P140" s="206"/>
      <c r="Q140" s="196"/>
      <c r="R140" s="196"/>
      <c r="S140" s="31"/>
      <c r="T140" s="31"/>
      <c r="U140" s="31"/>
      <c r="V140" s="31"/>
      <c r="W140" s="31"/>
      <c r="X140" s="31"/>
      <c r="Y140" s="31"/>
      <c r="Z140" s="31"/>
    </row>
    <row r="141" spans="1:26" x14ac:dyDescent="0.2">
      <c r="A141" t="s">
        <v>19</v>
      </c>
      <c r="B141" s="2935">
        <f>SUMIF($F$7:$F$127,"Chittenden",$G$7:$G$127)</f>
        <v>1168</v>
      </c>
      <c r="G141" s="196"/>
      <c r="H141" s="31"/>
      <c r="I141" s="31"/>
      <c r="J141" s="31"/>
      <c r="K141" s="31"/>
      <c r="L141" s="31"/>
      <c r="M141" s="31"/>
      <c r="N141" s="31"/>
      <c r="O141" s="1031"/>
      <c r="P141" s="206"/>
      <c r="Q141" s="196"/>
      <c r="R141" s="196"/>
      <c r="S141" s="31"/>
      <c r="T141" s="31"/>
      <c r="U141" s="31"/>
      <c r="V141" s="31"/>
      <c r="W141" s="31"/>
      <c r="X141" s="31"/>
      <c r="Y141" s="31"/>
      <c r="Z141" s="31"/>
    </row>
    <row r="142" spans="1:26" x14ac:dyDescent="0.2">
      <c r="A142" t="s">
        <v>22</v>
      </c>
      <c r="B142" s="2935">
        <f>SUMIF($F$7:$F$127,"Franklin",$G$7:$G$127)</f>
        <v>63</v>
      </c>
      <c r="G142" s="196"/>
      <c r="H142" s="31"/>
      <c r="I142" s="31"/>
      <c r="J142" s="31"/>
      <c r="K142" s="31"/>
      <c r="L142" s="31"/>
      <c r="M142" s="31"/>
      <c r="N142" s="31"/>
      <c r="O142" s="1031"/>
      <c r="P142" s="206"/>
      <c r="Q142" s="196"/>
      <c r="R142" s="196"/>
      <c r="S142" s="31"/>
      <c r="T142" s="31"/>
      <c r="U142" s="31"/>
      <c r="V142" s="31"/>
      <c r="W142" s="31"/>
      <c r="X142" s="31"/>
      <c r="Y142" s="31"/>
      <c r="Z142" s="31"/>
    </row>
    <row r="143" spans="1:26" x14ac:dyDescent="0.2">
      <c r="A143" t="s">
        <v>23</v>
      </c>
      <c r="B143" s="2935">
        <f>SUMIF($F$7:$F$127,"Lamoille",$G$7:$G$127)</f>
        <v>25</v>
      </c>
      <c r="G143" s="196"/>
      <c r="H143" s="31"/>
      <c r="I143" s="31"/>
      <c r="J143" s="31"/>
      <c r="K143" s="31"/>
      <c r="L143" s="31"/>
      <c r="M143" s="31"/>
      <c r="N143" s="31"/>
      <c r="O143" s="1031"/>
      <c r="P143" s="206"/>
      <c r="Q143" s="196"/>
      <c r="R143" s="196"/>
      <c r="S143" s="31"/>
      <c r="T143" s="31"/>
      <c r="U143" s="31"/>
      <c r="V143" s="31"/>
      <c r="W143" s="31"/>
      <c r="X143" s="31"/>
      <c r="Y143" s="31"/>
      <c r="Z143" s="31"/>
    </row>
    <row r="144" spans="1:26" x14ac:dyDescent="0.2">
      <c r="A144" t="s">
        <v>30</v>
      </c>
      <c r="B144" s="2935">
        <f>SUMIF($F$7:$F$127,"Caledonia",$G$7:$G$127)</f>
        <v>0</v>
      </c>
      <c r="G144" s="196"/>
      <c r="H144" s="2818"/>
      <c r="I144" s="2818"/>
      <c r="J144" s="2818"/>
      <c r="K144" s="2818"/>
      <c r="L144" s="2818"/>
      <c r="M144" s="2818"/>
      <c r="N144" s="2818"/>
      <c r="O144" s="2819"/>
      <c r="P144" s="2821"/>
      <c r="Q144" s="196"/>
      <c r="R144" s="196"/>
      <c r="S144" s="2818"/>
      <c r="T144" s="2818"/>
      <c r="U144" s="2818"/>
      <c r="V144" s="2818"/>
      <c r="W144" s="2818"/>
      <c r="X144" s="2818"/>
      <c r="Y144" s="2818"/>
      <c r="Z144" s="2818"/>
    </row>
    <row r="145" spans="1:26" x14ac:dyDescent="0.2">
      <c r="A145" t="s">
        <v>24</v>
      </c>
      <c r="B145" s="2935">
        <f>SUMIF($F$7:$F$127,"Orange",$G$7:$G$127)</f>
        <v>26</v>
      </c>
      <c r="G145" s="196"/>
      <c r="H145" s="31"/>
      <c r="I145" s="31"/>
      <c r="J145" s="31"/>
      <c r="K145" s="31"/>
      <c r="L145" s="31"/>
      <c r="M145" s="31"/>
      <c r="N145" s="31"/>
      <c r="O145" s="1031"/>
      <c r="P145" s="206"/>
      <c r="Q145" s="196"/>
      <c r="R145" s="196"/>
      <c r="S145" s="31"/>
      <c r="T145" s="31"/>
      <c r="U145" s="31"/>
      <c r="V145" s="31"/>
      <c r="W145" s="31"/>
      <c r="X145" s="31"/>
      <c r="Y145" s="31"/>
      <c r="Z145" s="31"/>
    </row>
    <row r="146" spans="1:26" x14ac:dyDescent="0.2">
      <c r="A146" t="s">
        <v>26</v>
      </c>
      <c r="B146" s="2935">
        <f>SUMIF($F$7:$F$127,"Rutland",$G$7:$G$127)</f>
        <v>0</v>
      </c>
    </row>
    <row r="147" spans="1:26" x14ac:dyDescent="0.2">
      <c r="A147" t="s">
        <v>27</v>
      </c>
      <c r="B147" s="2935">
        <f>SUMIF($F$7:$F$127,"Washington",$G$7:$G$127)</f>
        <v>385</v>
      </c>
    </row>
    <row r="148" spans="1:26" x14ac:dyDescent="0.2">
      <c r="A148" t="s">
        <v>28</v>
      </c>
      <c r="B148" s="2935">
        <f>SUMIF($F$7:$F$127,"Windham",$G$7:$G$127)</f>
        <v>29</v>
      </c>
    </row>
    <row r="149" spans="1:26" x14ac:dyDescent="0.2">
      <c r="A149" t="s">
        <v>29</v>
      </c>
      <c r="B149" s="2935">
        <f>SUMIF($F$7:$F$127,"Windsor",$G$7:$G$127)</f>
        <v>119</v>
      </c>
    </row>
    <row r="150" spans="1:26" x14ac:dyDescent="0.2">
      <c r="B150" s="288">
        <f>SUM(B139:B149)</f>
        <v>1885</v>
      </c>
    </row>
  </sheetData>
  <mergeCells count="1">
    <mergeCell ref="A1:P2"/>
  </mergeCells>
  <phoneticPr fontId="9" type="noConversion"/>
  <printOptions gridLines="1"/>
  <pageMargins left="0.75" right="0.75" top="1" bottom="1" header="0.5" footer="0.5"/>
  <pageSetup paperSize="17" scale="5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dimension ref="A1:S136"/>
  <sheetViews>
    <sheetView workbookViewId="0"/>
  </sheetViews>
  <sheetFormatPr defaultRowHeight="12.75" x14ac:dyDescent="0.2"/>
  <cols>
    <col min="1" max="1" width="34.42578125" customWidth="1"/>
    <col min="5" max="5" width="27.28515625" bestFit="1" customWidth="1"/>
    <col min="6" max="6" width="14" style="76" bestFit="1" customWidth="1"/>
    <col min="7" max="7" width="14.140625" style="76" bestFit="1" customWidth="1"/>
    <col min="8" max="8" width="12.7109375" style="76" bestFit="1" customWidth="1"/>
    <col min="9" max="9" width="13" style="76" bestFit="1" customWidth="1"/>
    <col min="10" max="10" width="12.28515625" style="76" bestFit="1" customWidth="1"/>
    <col min="11" max="12" width="11.7109375" style="76" customWidth="1"/>
    <col min="13" max="13" width="11.7109375" style="1487" customWidth="1"/>
    <col min="14" max="14" width="9.42578125" style="83" bestFit="1" customWidth="1"/>
    <col min="15" max="15" width="9.28515625" style="85" bestFit="1" customWidth="1"/>
    <col min="16" max="17" width="9.28515625" style="150" bestFit="1" customWidth="1"/>
    <col min="18" max="18" width="9.28515625" bestFit="1" customWidth="1"/>
    <col min="19" max="19" width="13.42578125" style="315" bestFit="1" customWidth="1"/>
  </cols>
  <sheetData>
    <row r="1" spans="1:19" ht="12.75" customHeight="1" x14ac:dyDescent="0.3">
      <c r="A1" s="2820" t="s">
        <v>351</v>
      </c>
      <c r="B1" s="2822"/>
      <c r="C1" s="2822"/>
      <c r="D1" s="2822"/>
      <c r="E1" s="2822"/>
      <c r="F1" s="2822"/>
      <c r="G1" s="2822"/>
      <c r="H1" s="2822"/>
      <c r="I1" s="2822"/>
      <c r="J1" s="2822"/>
      <c r="K1" s="2822"/>
      <c r="L1" s="2822"/>
      <c r="M1" s="2822"/>
      <c r="N1" s="2907"/>
      <c r="O1" s="2822"/>
      <c r="P1" s="2822"/>
      <c r="Q1" s="2822"/>
      <c r="R1" s="2823"/>
    </row>
    <row r="2" spans="1:19" ht="13.5" customHeight="1" thickBot="1" x14ac:dyDescent="0.35">
      <c r="A2" s="2824"/>
      <c r="B2" s="2825"/>
      <c r="C2" s="2825"/>
      <c r="D2" s="2825"/>
      <c r="E2" s="2825"/>
      <c r="F2" s="2825"/>
      <c r="G2" s="2825"/>
      <c r="H2" s="2825"/>
      <c r="I2" s="2825"/>
      <c r="J2" s="2825"/>
      <c r="K2" s="2825"/>
      <c r="L2" s="2825"/>
      <c r="M2" s="2825"/>
      <c r="N2" s="2908"/>
      <c r="O2" s="2825"/>
      <c r="P2" s="2825"/>
      <c r="Q2" s="2825"/>
      <c r="R2" s="2826"/>
    </row>
    <row r="3" spans="1:19" ht="14.25" thickTop="1" thickBot="1" x14ac:dyDescent="0.25">
      <c r="A3" s="8" t="s">
        <v>2</v>
      </c>
      <c r="B3" s="12" t="s">
        <v>42</v>
      </c>
      <c r="C3" s="12"/>
      <c r="D3" s="53" t="s">
        <v>43</v>
      </c>
      <c r="E3" s="67" t="s">
        <v>91</v>
      </c>
      <c r="F3" s="295"/>
      <c r="G3" s="295"/>
      <c r="H3" s="295"/>
      <c r="I3" s="295"/>
      <c r="J3" s="295"/>
      <c r="K3" s="295"/>
      <c r="L3" s="295"/>
      <c r="M3" s="1488"/>
      <c r="N3" s="2909" t="s">
        <v>96</v>
      </c>
      <c r="O3" s="86" t="s">
        <v>78</v>
      </c>
      <c r="P3" s="86" t="s">
        <v>78</v>
      </c>
      <c r="Q3" s="86" t="s">
        <v>78</v>
      </c>
      <c r="R3" s="152" t="s">
        <v>210</v>
      </c>
      <c r="S3" s="913" t="s">
        <v>742</v>
      </c>
    </row>
    <row r="4" spans="1:19" ht="13.5" thickBot="1" x14ac:dyDescent="0.25">
      <c r="A4" s="9" t="s">
        <v>3</v>
      </c>
      <c r="B4" s="13" t="s">
        <v>4</v>
      </c>
      <c r="C4" s="13" t="s">
        <v>5</v>
      </c>
      <c r="D4" s="54" t="s">
        <v>4</v>
      </c>
      <c r="E4" s="68" t="s">
        <v>69</v>
      </c>
      <c r="F4" s="1489">
        <v>2007</v>
      </c>
      <c r="G4" s="1490">
        <v>2008</v>
      </c>
      <c r="H4" s="1490">
        <v>2009</v>
      </c>
      <c r="I4" s="1490">
        <v>2010</v>
      </c>
      <c r="J4" s="1491">
        <v>2011</v>
      </c>
      <c r="K4" s="1491">
        <v>2012</v>
      </c>
      <c r="L4" s="1491">
        <v>2013</v>
      </c>
      <c r="M4" s="1492">
        <v>2014</v>
      </c>
      <c r="N4" s="2910" t="s">
        <v>97</v>
      </c>
      <c r="O4" s="87" t="s">
        <v>136</v>
      </c>
      <c r="P4" s="87" t="s">
        <v>358</v>
      </c>
      <c r="Q4" s="87" t="s">
        <v>358</v>
      </c>
      <c r="R4" s="70" t="s">
        <v>78</v>
      </c>
      <c r="S4" s="913" t="s">
        <v>143</v>
      </c>
    </row>
    <row r="5" spans="1:19" ht="14.25" thickTop="1" thickBot="1" x14ac:dyDescent="0.25">
      <c r="A5" s="20" t="s">
        <v>89</v>
      </c>
      <c r="B5" s="21"/>
      <c r="C5" s="21"/>
      <c r="D5" s="21"/>
      <c r="E5" s="69"/>
      <c r="F5" s="296"/>
      <c r="G5" s="297"/>
      <c r="H5" s="297"/>
      <c r="I5" s="297"/>
      <c r="J5" s="298"/>
      <c r="K5" s="298"/>
      <c r="L5" s="298"/>
      <c r="M5" s="299"/>
      <c r="N5" s="2911" t="s">
        <v>98</v>
      </c>
      <c r="O5" s="87" t="s">
        <v>137</v>
      </c>
      <c r="P5" s="87" t="s">
        <v>359</v>
      </c>
      <c r="Q5" s="87" t="s">
        <v>360</v>
      </c>
      <c r="R5" s="151" t="s">
        <v>100</v>
      </c>
      <c r="S5" s="913" t="s">
        <v>743</v>
      </c>
    </row>
    <row r="6" spans="1:19" ht="14.25" thickTop="1" thickBot="1" x14ac:dyDescent="0.25">
      <c r="A6" s="670" t="s">
        <v>49</v>
      </c>
      <c r="B6" s="671"/>
      <c r="C6" s="671"/>
      <c r="D6" s="671"/>
      <c r="E6" s="194"/>
      <c r="F6" s="700"/>
      <c r="G6" s="701"/>
      <c r="H6" s="701"/>
      <c r="I6" s="701"/>
      <c r="J6" s="702"/>
      <c r="K6" s="703"/>
      <c r="L6" s="702"/>
      <c r="M6" s="704"/>
      <c r="N6" s="2845"/>
      <c r="O6" s="729"/>
      <c r="P6" s="730"/>
      <c r="Q6" s="730"/>
      <c r="R6" s="731"/>
    </row>
    <row r="7" spans="1:19" x14ac:dyDescent="0.2">
      <c r="A7" s="475" t="s">
        <v>39</v>
      </c>
      <c r="B7" s="476" t="s">
        <v>7</v>
      </c>
      <c r="C7" s="476" t="s">
        <v>132</v>
      </c>
      <c r="D7" s="672" t="s">
        <v>8</v>
      </c>
      <c r="E7" s="254"/>
      <c r="F7" s="705"/>
      <c r="G7" s="247"/>
      <c r="H7" s="247"/>
      <c r="I7" s="247"/>
      <c r="J7" s="354"/>
      <c r="K7" s="354"/>
      <c r="L7" s="354"/>
      <c r="M7" s="706"/>
      <c r="N7" s="2845"/>
      <c r="O7" s="732"/>
      <c r="P7" s="732"/>
      <c r="Q7" s="732"/>
      <c r="R7" s="732"/>
    </row>
    <row r="8" spans="1:19" x14ac:dyDescent="0.2">
      <c r="A8" s="475" t="s">
        <v>13</v>
      </c>
      <c r="B8" s="476" t="s">
        <v>14</v>
      </c>
      <c r="C8" s="476" t="s">
        <v>132</v>
      </c>
      <c r="D8" s="672" t="s">
        <v>8</v>
      </c>
      <c r="E8" s="254"/>
      <c r="F8" s="705"/>
      <c r="G8" s="247"/>
      <c r="H8" s="247"/>
      <c r="I8" s="247"/>
      <c r="J8" s="354"/>
      <c r="K8" s="354"/>
      <c r="L8" s="354"/>
      <c r="M8" s="706"/>
      <c r="N8" s="2845"/>
      <c r="O8" s="732"/>
      <c r="P8" s="732"/>
      <c r="Q8" s="732"/>
      <c r="R8" s="732"/>
    </row>
    <row r="9" spans="1:19" x14ac:dyDescent="0.2">
      <c r="A9" s="475" t="s">
        <v>15</v>
      </c>
      <c r="B9" s="476" t="s">
        <v>7</v>
      </c>
      <c r="C9" s="476" t="s">
        <v>132</v>
      </c>
      <c r="D9" s="672" t="s">
        <v>8</v>
      </c>
      <c r="E9" s="254"/>
      <c r="F9" s="705"/>
      <c r="G9" s="247"/>
      <c r="H9" s="247"/>
      <c r="I9" s="247"/>
      <c r="J9" s="354"/>
      <c r="K9" s="354"/>
      <c r="L9" s="354"/>
      <c r="M9" s="706"/>
      <c r="N9" s="2845"/>
      <c r="O9" s="732"/>
      <c r="P9" s="732"/>
      <c r="Q9" s="732"/>
      <c r="R9" s="732"/>
    </row>
    <row r="10" spans="1:19" x14ac:dyDescent="0.2">
      <c r="A10" s="475" t="s">
        <v>15</v>
      </c>
      <c r="B10" s="476" t="s">
        <v>7</v>
      </c>
      <c r="C10" s="476" t="s">
        <v>132</v>
      </c>
      <c r="D10" s="672" t="s">
        <v>16</v>
      </c>
      <c r="E10" s="254"/>
      <c r="F10" s="705"/>
      <c r="G10" s="247"/>
      <c r="H10" s="247"/>
      <c r="I10" s="247"/>
      <c r="J10" s="354"/>
      <c r="K10" s="354"/>
      <c r="L10" s="354"/>
      <c r="M10" s="706"/>
      <c r="N10" s="2845"/>
      <c r="O10" s="732"/>
      <c r="P10" s="732"/>
      <c r="Q10" s="732"/>
      <c r="R10" s="732"/>
    </row>
    <row r="11" spans="1:19" ht="13.5" thickBot="1" x14ac:dyDescent="0.25">
      <c r="A11" s="495"/>
      <c r="B11" s="496"/>
      <c r="C11" s="496"/>
      <c r="D11" s="699"/>
      <c r="E11" s="254"/>
      <c r="F11" s="705"/>
      <c r="G11" s="247"/>
      <c r="H11" s="247"/>
      <c r="I11" s="247"/>
      <c r="J11" s="354"/>
      <c r="K11" s="354"/>
      <c r="L11" s="354"/>
      <c r="M11" s="706"/>
      <c r="N11" s="2845"/>
      <c r="O11" s="732"/>
      <c r="P11" s="732"/>
      <c r="Q11" s="732"/>
      <c r="R11" s="732"/>
    </row>
    <row r="12" spans="1:19" ht="14.25" thickTop="1" thickBot="1" x14ac:dyDescent="0.25">
      <c r="A12" s="707"/>
      <c r="B12" s="14"/>
      <c r="C12" s="15"/>
      <c r="D12" s="15"/>
      <c r="E12" s="254"/>
      <c r="F12" s="705"/>
      <c r="G12" s="247"/>
      <c r="H12" s="247"/>
      <c r="I12" s="247"/>
      <c r="J12" s="354"/>
      <c r="K12" s="354"/>
      <c r="L12" s="354"/>
      <c r="M12" s="706"/>
      <c r="N12" s="2845"/>
      <c r="O12" s="732"/>
      <c r="P12" s="732"/>
      <c r="Q12" s="732"/>
      <c r="R12" s="732"/>
    </row>
    <row r="13" spans="1:19" ht="14.25" thickTop="1" thickBot="1" x14ac:dyDescent="0.25">
      <c r="A13" s="670" t="s">
        <v>48</v>
      </c>
      <c r="B13" s="675"/>
      <c r="C13" s="675"/>
      <c r="D13" s="675"/>
      <c r="E13" s="254"/>
      <c r="F13" s="705"/>
      <c r="G13" s="247"/>
      <c r="H13" s="247"/>
      <c r="I13" s="247"/>
      <c r="J13" s="354"/>
      <c r="K13" s="354"/>
      <c r="L13" s="354"/>
      <c r="M13" s="706"/>
      <c r="N13" s="2845"/>
      <c r="O13" s="732"/>
      <c r="P13" s="732"/>
      <c r="Q13" s="732"/>
      <c r="R13" s="732"/>
    </row>
    <row r="14" spans="1:19" s="410" customFormat="1" x14ac:dyDescent="0.2">
      <c r="A14" s="475" t="s">
        <v>13</v>
      </c>
      <c r="B14" s="476" t="s">
        <v>7</v>
      </c>
      <c r="C14" s="476" t="s">
        <v>132</v>
      </c>
      <c r="D14" s="672" t="s">
        <v>8</v>
      </c>
      <c r="E14" s="823"/>
      <c r="F14" s="948"/>
      <c r="G14" s="721"/>
      <c r="H14" s="721"/>
      <c r="I14" s="721"/>
      <c r="J14" s="722"/>
      <c r="K14" s="722"/>
      <c r="L14" s="722"/>
      <c r="M14" s="723"/>
      <c r="N14" s="2868"/>
      <c r="O14" s="734"/>
      <c r="P14" s="734"/>
      <c r="Q14" s="734"/>
      <c r="R14" s="734"/>
      <c r="S14" s="2124"/>
    </row>
    <row r="15" spans="1:19" x14ac:dyDescent="0.2">
      <c r="A15" s="475" t="s">
        <v>50</v>
      </c>
      <c r="B15" s="476" t="s">
        <v>14</v>
      </c>
      <c r="C15" s="476" t="s">
        <v>132</v>
      </c>
      <c r="D15" s="672" t="s">
        <v>8</v>
      </c>
      <c r="E15" s="254"/>
      <c r="F15" s="705"/>
      <c r="G15" s="247"/>
      <c r="H15" s="247"/>
      <c r="I15" s="247"/>
      <c r="J15" s="354"/>
      <c r="K15" s="354"/>
      <c r="L15" s="354"/>
      <c r="M15" s="706"/>
      <c r="N15" s="2845"/>
      <c r="O15" s="732"/>
      <c r="P15" s="732"/>
      <c r="Q15" s="732"/>
      <c r="R15" s="732"/>
    </row>
    <row r="16" spans="1:19" x14ac:dyDescent="0.2">
      <c r="A16" s="475" t="s">
        <v>51</v>
      </c>
      <c r="B16" s="476" t="s">
        <v>14</v>
      </c>
      <c r="C16" s="476" t="s">
        <v>132</v>
      </c>
      <c r="D16" s="672" t="s">
        <v>8</v>
      </c>
      <c r="E16" s="254"/>
      <c r="F16" s="705"/>
      <c r="G16" s="247"/>
      <c r="H16" s="247"/>
      <c r="I16" s="247"/>
      <c r="J16" s="354"/>
      <c r="K16" s="354"/>
      <c r="L16" s="354"/>
      <c r="M16" s="706"/>
      <c r="N16" s="2845"/>
      <c r="O16" s="732"/>
      <c r="P16" s="732"/>
      <c r="Q16" s="732"/>
      <c r="R16" s="732"/>
    </row>
    <row r="17" spans="1:19" ht="13.5" thickBot="1" x14ac:dyDescent="0.25">
      <c r="A17" s="475" t="s">
        <v>52</v>
      </c>
      <c r="B17" s="476" t="s">
        <v>7</v>
      </c>
      <c r="C17" s="476" t="s">
        <v>132</v>
      </c>
      <c r="D17" s="672" t="s">
        <v>8</v>
      </c>
      <c r="E17" s="254"/>
      <c r="F17" s="705"/>
      <c r="G17" s="247"/>
      <c r="H17" s="247"/>
      <c r="I17" s="247"/>
      <c r="J17" s="354"/>
      <c r="K17" s="354"/>
      <c r="L17" s="354"/>
      <c r="M17" s="706"/>
      <c r="N17" s="2845"/>
      <c r="O17" s="732"/>
      <c r="P17" s="732"/>
      <c r="Q17" s="732"/>
      <c r="R17" s="732"/>
    </row>
    <row r="18" spans="1:19" ht="14.25" thickTop="1" thickBot="1" x14ac:dyDescent="0.25">
      <c r="A18" s="707"/>
      <c r="B18" s="14"/>
      <c r="C18" s="15"/>
      <c r="D18" s="15"/>
      <c r="E18" s="254"/>
      <c r="F18" s="705"/>
      <c r="G18" s="247"/>
      <c r="H18" s="247"/>
      <c r="I18" s="247"/>
      <c r="J18" s="354"/>
      <c r="K18" s="354"/>
      <c r="L18" s="354"/>
      <c r="M18" s="706"/>
      <c r="N18" s="2845"/>
      <c r="O18" s="732"/>
      <c r="P18" s="732"/>
      <c r="Q18" s="732"/>
      <c r="R18" s="732"/>
    </row>
    <row r="19" spans="1:19" ht="14.25" thickTop="1" thickBot="1" x14ac:dyDescent="0.25">
      <c r="A19" s="670" t="s">
        <v>47</v>
      </c>
      <c r="B19" s="675"/>
      <c r="C19" s="675"/>
      <c r="D19" s="675"/>
      <c r="E19" s="254"/>
      <c r="F19" s="705"/>
      <c r="G19" s="247"/>
      <c r="H19" s="247"/>
      <c r="I19" s="247"/>
      <c r="J19" s="354"/>
      <c r="K19" s="354"/>
      <c r="L19" s="354"/>
      <c r="M19" s="706"/>
      <c r="N19" s="2845"/>
      <c r="O19" s="732"/>
      <c r="P19" s="732"/>
      <c r="Q19" s="732"/>
      <c r="R19" s="732"/>
    </row>
    <row r="20" spans="1:19" ht="13.5" thickBot="1" x14ac:dyDescent="0.25">
      <c r="A20" s="516" t="s">
        <v>40</v>
      </c>
      <c r="B20" s="517" t="s">
        <v>7</v>
      </c>
      <c r="C20" s="517" t="s">
        <v>46</v>
      </c>
      <c r="D20" s="681" t="s">
        <v>8</v>
      </c>
      <c r="E20" s="254"/>
      <c r="F20" s="705"/>
      <c r="G20" s="247"/>
      <c r="H20" s="247"/>
      <c r="I20" s="247"/>
      <c r="J20" s="354"/>
      <c r="K20" s="354"/>
      <c r="L20" s="354"/>
      <c r="M20" s="706"/>
      <c r="N20" s="2845"/>
      <c r="O20" s="732"/>
      <c r="P20" s="732"/>
      <c r="Q20" s="732"/>
      <c r="R20" s="732"/>
    </row>
    <row r="21" spans="1:19" ht="14.25" thickTop="1" thickBot="1" x14ac:dyDescent="0.25">
      <c r="A21" s="25"/>
      <c r="B21" s="26"/>
      <c r="C21" s="26"/>
      <c r="D21" s="26"/>
      <c r="E21" s="254"/>
      <c r="F21" s="705"/>
      <c r="G21" s="247"/>
      <c r="H21" s="247"/>
      <c r="I21" s="247"/>
      <c r="J21" s="354"/>
      <c r="K21" s="354"/>
      <c r="L21" s="354"/>
      <c r="M21" s="706"/>
      <c r="N21" s="2845"/>
      <c r="O21" s="732"/>
      <c r="P21" s="732"/>
      <c r="Q21" s="732"/>
      <c r="R21" s="732"/>
    </row>
    <row r="22" spans="1:19" ht="14.25" thickTop="1" thickBot="1" x14ac:dyDescent="0.25">
      <c r="A22" s="670" t="s">
        <v>90</v>
      </c>
      <c r="B22" s="671"/>
      <c r="C22" s="671"/>
      <c r="D22" s="671"/>
      <c r="E22" s="254"/>
      <c r="F22" s="705"/>
      <c r="G22" s="247"/>
      <c r="H22" s="247"/>
      <c r="I22" s="247"/>
      <c r="J22" s="354"/>
      <c r="K22" s="354"/>
      <c r="L22" s="354"/>
      <c r="M22" s="706"/>
      <c r="N22" s="2845"/>
      <c r="O22" s="732"/>
      <c r="P22" s="732"/>
      <c r="Q22" s="732"/>
      <c r="R22" s="732"/>
    </row>
    <row r="23" spans="1:19" x14ac:dyDescent="0.2">
      <c r="A23" s="527" t="s">
        <v>61</v>
      </c>
      <c r="B23" s="528" t="s">
        <v>7</v>
      </c>
      <c r="C23" s="528" t="s">
        <v>132</v>
      </c>
      <c r="D23" s="682" t="s">
        <v>8</v>
      </c>
      <c r="E23" s="254"/>
      <c r="F23" s="705"/>
      <c r="G23" s="247"/>
      <c r="H23" s="247"/>
      <c r="I23" s="247"/>
      <c r="J23" s="354"/>
      <c r="K23" s="354"/>
      <c r="L23" s="354"/>
      <c r="M23" s="706"/>
      <c r="N23" s="2845"/>
      <c r="O23" s="732"/>
      <c r="P23" s="732"/>
      <c r="Q23" s="732"/>
      <c r="R23" s="732"/>
    </row>
    <row r="24" spans="1:19" x14ac:dyDescent="0.2">
      <c r="A24" s="507" t="s">
        <v>62</v>
      </c>
      <c r="B24" s="508" t="s">
        <v>7</v>
      </c>
      <c r="C24" s="508" t="s">
        <v>44</v>
      </c>
      <c r="D24" s="674" t="s">
        <v>8</v>
      </c>
      <c r="E24" s="742">
        <f>SUM(F24:L24)</f>
        <v>2477520</v>
      </c>
      <c r="F24" s="708">
        <v>623440</v>
      </c>
      <c r="G24" s="498">
        <v>889920</v>
      </c>
      <c r="H24" s="498">
        <v>459480</v>
      </c>
      <c r="I24" s="498">
        <v>315400</v>
      </c>
      <c r="J24" s="709">
        <v>189280</v>
      </c>
      <c r="K24" s="709"/>
      <c r="L24" s="709"/>
      <c r="M24" s="710"/>
      <c r="N24" s="2912">
        <f>'4. Jobs'!$G$25</f>
        <v>80</v>
      </c>
      <c r="O24" s="737">
        <v>0.5</v>
      </c>
      <c r="P24" s="737">
        <v>0.95</v>
      </c>
      <c r="Q24" s="737">
        <v>0.95</v>
      </c>
      <c r="R24" s="737">
        <v>0.26</v>
      </c>
      <c r="S24" s="315">
        <v>93000</v>
      </c>
    </row>
    <row r="25" spans="1:19" x14ac:dyDescent="0.2">
      <c r="A25" s="507" t="s">
        <v>63</v>
      </c>
      <c r="B25" s="508" t="s">
        <v>7</v>
      </c>
      <c r="C25" s="508" t="s">
        <v>44</v>
      </c>
      <c r="D25" s="674" t="s">
        <v>8</v>
      </c>
      <c r="E25" s="742">
        <f>SUM(F25:L25)</f>
        <v>687760</v>
      </c>
      <c r="F25" s="708">
        <v>329280</v>
      </c>
      <c r="G25" s="498">
        <v>107840</v>
      </c>
      <c r="H25" s="498">
        <v>100256</v>
      </c>
      <c r="I25" s="498">
        <v>75192</v>
      </c>
      <c r="J25" s="709">
        <v>75192</v>
      </c>
      <c r="K25" s="709"/>
      <c r="L25" s="709"/>
      <c r="M25" s="710"/>
      <c r="N25" s="2912">
        <f>'4. Jobs'!$G$26</f>
        <v>24</v>
      </c>
      <c r="O25" s="737">
        <v>0.33</v>
      </c>
      <c r="P25" s="737">
        <v>0</v>
      </c>
      <c r="Q25" s="737">
        <v>0.4</v>
      </c>
      <c r="R25" s="737">
        <v>0.13</v>
      </c>
      <c r="S25" s="315">
        <v>966415</v>
      </c>
    </row>
    <row r="26" spans="1:19" ht="13.5" thickBot="1" x14ac:dyDescent="0.25">
      <c r="E26" s="194"/>
      <c r="F26" s="715"/>
      <c r="G26" s="701"/>
      <c r="H26" s="701"/>
      <c r="I26" s="701"/>
      <c r="J26" s="702"/>
      <c r="K26" s="702"/>
      <c r="L26" s="702"/>
      <c r="M26" s="704"/>
      <c r="N26" s="2845"/>
      <c r="O26" s="731"/>
      <c r="P26" s="732"/>
      <c r="Q26" s="732"/>
      <c r="R26" s="731"/>
    </row>
    <row r="27" spans="1:19" ht="14.25" thickTop="1" thickBot="1" x14ac:dyDescent="0.25">
      <c r="A27" s="670" t="s">
        <v>120</v>
      </c>
      <c r="B27" s="675"/>
      <c r="C27" s="675"/>
      <c r="D27" s="675"/>
      <c r="E27" s="194"/>
      <c r="F27" s="715"/>
      <c r="G27" s="701"/>
      <c r="H27" s="701"/>
      <c r="I27" s="701"/>
      <c r="J27" s="702"/>
      <c r="K27" s="702"/>
      <c r="L27" s="702"/>
      <c r="M27" s="704"/>
      <c r="N27" s="2845"/>
      <c r="O27" s="731"/>
      <c r="P27" s="732"/>
      <c r="Q27" s="732"/>
      <c r="R27" s="731"/>
    </row>
    <row r="28" spans="1:19" ht="13.5" thickBot="1" x14ac:dyDescent="0.25">
      <c r="A28" s="516" t="s">
        <v>121</v>
      </c>
      <c r="B28" s="517" t="s">
        <v>14</v>
      </c>
      <c r="C28" s="517" t="s">
        <v>132</v>
      </c>
      <c r="D28" s="681" t="s">
        <v>8</v>
      </c>
      <c r="E28" s="739"/>
      <c r="F28" s="716"/>
      <c r="G28" s="717"/>
      <c r="H28" s="717"/>
      <c r="I28" s="717"/>
      <c r="J28" s="718"/>
      <c r="K28" s="718"/>
      <c r="L28" s="718"/>
      <c r="M28" s="719"/>
      <c r="N28" s="2845"/>
      <c r="O28" s="731"/>
      <c r="P28" s="732"/>
      <c r="Q28" s="732"/>
      <c r="R28" s="731"/>
    </row>
    <row r="29" spans="1:19" ht="14.25" thickTop="1" thickBot="1" x14ac:dyDescent="0.25">
      <c r="A29" s="73"/>
      <c r="B29" s="73"/>
      <c r="C29" s="73"/>
      <c r="D29" s="73"/>
      <c r="E29" s="740"/>
      <c r="F29" s="716"/>
      <c r="G29" s="717"/>
      <c r="H29" s="717"/>
      <c r="I29" s="717"/>
      <c r="J29" s="718"/>
      <c r="K29" s="718"/>
      <c r="L29" s="718"/>
      <c r="M29" s="719"/>
      <c r="N29" s="2845"/>
      <c r="O29" s="731"/>
      <c r="P29" s="732"/>
      <c r="Q29" s="732"/>
      <c r="R29" s="731"/>
    </row>
    <row r="30" spans="1:19" ht="14.25" thickTop="1" thickBot="1" x14ac:dyDescent="0.25">
      <c r="A30" s="676" t="s">
        <v>133</v>
      </c>
      <c r="B30" s="419"/>
      <c r="C30" s="419"/>
      <c r="D30" s="419"/>
      <c r="E30" s="740"/>
      <c r="F30" s="716"/>
      <c r="G30" s="717"/>
      <c r="H30" s="717"/>
      <c r="I30" s="717"/>
      <c r="J30" s="718"/>
      <c r="K30" s="718"/>
      <c r="L30" s="718"/>
      <c r="M30" s="719"/>
      <c r="N30" s="2845"/>
      <c r="O30" s="731"/>
      <c r="P30" s="732"/>
      <c r="Q30" s="732"/>
      <c r="R30" s="731"/>
    </row>
    <row r="31" spans="1:19" ht="13.5" thickTop="1" x14ac:dyDescent="0.2">
      <c r="A31" s="475" t="s">
        <v>134</v>
      </c>
      <c r="B31" s="476" t="s">
        <v>7</v>
      </c>
      <c r="C31" s="476" t="s">
        <v>132</v>
      </c>
      <c r="D31" s="672" t="s">
        <v>8</v>
      </c>
      <c r="E31" s="739"/>
      <c r="F31" s="716"/>
      <c r="G31" s="717"/>
      <c r="H31" s="717"/>
      <c r="I31" s="717"/>
      <c r="J31" s="718"/>
      <c r="K31" s="718"/>
      <c r="L31" s="718"/>
      <c r="M31" s="719"/>
      <c r="N31" s="2845"/>
      <c r="O31" s="731"/>
      <c r="P31" s="732"/>
      <c r="Q31" s="732"/>
      <c r="R31" s="731"/>
    </row>
    <row r="32" spans="1:19" ht="13.5" thickBot="1" x14ac:dyDescent="0.25">
      <c r="A32" s="550" t="s">
        <v>50</v>
      </c>
      <c r="B32" s="551" t="s">
        <v>7</v>
      </c>
      <c r="C32" s="551" t="s">
        <v>44</v>
      </c>
      <c r="D32" s="686" t="s">
        <v>8</v>
      </c>
      <c r="E32" s="743">
        <f>SUM(F32:L32)</f>
        <v>13687472</v>
      </c>
      <c r="F32" s="711">
        <v>450000</v>
      </c>
      <c r="G32" s="712">
        <v>3071250</v>
      </c>
      <c r="H32" s="712">
        <v>3224813</v>
      </c>
      <c r="I32" s="712">
        <v>3386053</v>
      </c>
      <c r="J32" s="713">
        <v>3555356</v>
      </c>
      <c r="K32" s="713"/>
      <c r="L32" s="713"/>
      <c r="M32" s="714"/>
      <c r="N32" s="2912">
        <f>'4. Jobs'!$G$34</f>
        <v>270</v>
      </c>
      <c r="O32" s="738">
        <v>0.65</v>
      </c>
      <c r="P32" s="737">
        <v>0.98</v>
      </c>
      <c r="Q32" s="737">
        <v>1</v>
      </c>
      <c r="R32" s="738">
        <v>0.2</v>
      </c>
      <c r="S32" s="315">
        <v>18000000</v>
      </c>
    </row>
    <row r="33" spans="1:19" ht="14.25" thickTop="1" thickBot="1" x14ac:dyDescent="0.25">
      <c r="A33" s="73"/>
      <c r="B33" s="73"/>
      <c r="C33" s="73"/>
      <c r="D33" s="73"/>
      <c r="E33" s="195"/>
      <c r="F33" s="700"/>
      <c r="G33" s="701"/>
      <c r="H33" s="701"/>
      <c r="I33" s="701"/>
      <c r="J33" s="702"/>
      <c r="K33" s="702"/>
      <c r="L33" s="702"/>
      <c r="M33" s="704"/>
      <c r="N33" s="2845"/>
      <c r="O33" s="731"/>
      <c r="P33" s="732"/>
      <c r="Q33" s="732"/>
      <c r="R33" s="731"/>
    </row>
    <row r="34" spans="1:19" ht="14.25" thickTop="1" thickBot="1" x14ac:dyDescent="0.25">
      <c r="A34" s="694" t="s">
        <v>186</v>
      </c>
      <c r="B34" s="419"/>
      <c r="C34" s="419"/>
      <c r="D34" s="695"/>
      <c r="E34" s="195"/>
      <c r="F34" s="700"/>
      <c r="G34" s="701"/>
      <c r="H34" s="701"/>
      <c r="I34" s="701"/>
      <c r="J34" s="702"/>
      <c r="K34" s="702"/>
      <c r="L34" s="702"/>
      <c r="M34" s="704"/>
      <c r="N34" s="2845"/>
      <c r="O34" s="731"/>
      <c r="P34" s="732"/>
      <c r="Q34" s="732"/>
      <c r="R34" s="731"/>
    </row>
    <row r="35" spans="1:19" ht="14.25" thickTop="1" thickBot="1" x14ac:dyDescent="0.25">
      <c r="A35" s="516" t="s">
        <v>188</v>
      </c>
      <c r="B35" s="517" t="s">
        <v>7</v>
      </c>
      <c r="C35" s="517" t="s">
        <v>132</v>
      </c>
      <c r="D35" s="681" t="s">
        <v>8</v>
      </c>
      <c r="E35" s="739"/>
      <c r="F35" s="705"/>
      <c r="G35" s="247"/>
      <c r="H35" s="247"/>
      <c r="I35" s="247"/>
      <c r="J35" s="354"/>
      <c r="K35" s="354"/>
      <c r="L35" s="354"/>
      <c r="M35" s="706"/>
      <c r="N35" s="2845"/>
      <c r="O35" s="731"/>
      <c r="P35" s="732"/>
      <c r="Q35" s="732"/>
      <c r="R35" s="731"/>
      <c r="S35" s="75"/>
    </row>
    <row r="36" spans="1:19" ht="14.25" thickTop="1" thickBot="1" x14ac:dyDescent="0.25">
      <c r="A36" s="73"/>
      <c r="B36" s="73"/>
      <c r="C36" s="73"/>
      <c r="D36" s="73"/>
      <c r="E36" s="195"/>
      <c r="F36" s="700"/>
      <c r="G36" s="701"/>
      <c r="H36" s="701"/>
      <c r="I36" s="701"/>
      <c r="J36" s="702"/>
      <c r="K36" s="702"/>
      <c r="L36" s="702"/>
      <c r="M36" s="704"/>
      <c r="N36" s="2845"/>
      <c r="O36" s="731"/>
      <c r="P36" s="732"/>
      <c r="Q36" s="732"/>
      <c r="R36" s="194"/>
    </row>
    <row r="37" spans="1:19" ht="14.25" thickTop="1" thickBot="1" x14ac:dyDescent="0.25">
      <c r="A37" s="676" t="s">
        <v>316</v>
      </c>
      <c r="B37" s="419"/>
      <c r="C37" s="419"/>
      <c r="D37" s="695"/>
      <c r="E37" s="739"/>
      <c r="F37" s="705"/>
      <c r="G37" s="247"/>
      <c r="H37" s="247"/>
      <c r="I37" s="247"/>
      <c r="J37" s="354"/>
      <c r="K37" s="354"/>
      <c r="L37" s="354"/>
      <c r="M37" s="706"/>
      <c r="N37" s="2845"/>
      <c r="O37" s="731"/>
      <c r="P37" s="732"/>
      <c r="Q37" s="732"/>
      <c r="R37" s="731"/>
    </row>
    <row r="38" spans="1:19" ht="13.5" thickTop="1" x14ac:dyDescent="0.2">
      <c r="A38" s="687" t="s">
        <v>125</v>
      </c>
      <c r="B38" s="553" t="s">
        <v>7</v>
      </c>
      <c r="C38" s="553" t="s">
        <v>44</v>
      </c>
      <c r="D38" s="688" t="s">
        <v>8</v>
      </c>
      <c r="E38" s="743">
        <f>SUM(F38:L38)</f>
        <v>1361960</v>
      </c>
      <c r="F38" s="708">
        <v>137800</v>
      </c>
      <c r="G38" s="498">
        <v>288400</v>
      </c>
      <c r="H38" s="498">
        <v>374480</v>
      </c>
      <c r="I38" s="498">
        <v>316800</v>
      </c>
      <c r="J38" s="709">
        <v>244480</v>
      </c>
      <c r="K38" s="709"/>
      <c r="L38" s="709"/>
      <c r="M38" s="710"/>
      <c r="N38" s="2912">
        <f>'4. Jobs'!$G$40</f>
        <v>26</v>
      </c>
      <c r="O38" s="738">
        <v>0.8</v>
      </c>
      <c r="P38" s="737">
        <v>0.81</v>
      </c>
      <c r="Q38" s="737">
        <v>0.78</v>
      </c>
      <c r="R38" s="738">
        <v>0.42</v>
      </c>
      <c r="S38" s="315">
        <v>1200000</v>
      </c>
    </row>
    <row r="39" spans="1:19" x14ac:dyDescent="0.2">
      <c r="A39" s="687" t="s">
        <v>121</v>
      </c>
      <c r="B39" s="508" t="s">
        <v>7</v>
      </c>
      <c r="C39" s="508" t="s">
        <v>44</v>
      </c>
      <c r="D39" s="674" t="s">
        <v>8</v>
      </c>
      <c r="E39" s="743">
        <f>SUM(F39:L39)</f>
        <v>11274508</v>
      </c>
      <c r="F39" s="708">
        <v>3375508</v>
      </c>
      <c r="G39" s="498">
        <v>5515000</v>
      </c>
      <c r="H39" s="498">
        <v>656000</v>
      </c>
      <c r="I39" s="498">
        <v>864000</v>
      </c>
      <c r="J39" s="709">
        <v>864000</v>
      </c>
      <c r="K39" s="709"/>
      <c r="L39" s="709"/>
      <c r="M39" s="710"/>
      <c r="N39" s="2912">
        <f>'4. Jobs'!$G$41</f>
        <v>211</v>
      </c>
      <c r="O39" s="738">
        <v>0.9</v>
      </c>
      <c r="P39" s="737">
        <v>1</v>
      </c>
      <c r="Q39" s="737">
        <v>1</v>
      </c>
      <c r="R39" s="738">
        <v>0.21</v>
      </c>
      <c r="S39" s="315">
        <v>20000000</v>
      </c>
    </row>
    <row r="40" spans="1:19" ht="13.5" thickBot="1" x14ac:dyDescent="0.25">
      <c r="A40" s="1184" t="s">
        <v>300</v>
      </c>
      <c r="B40" s="1165" t="s">
        <v>14</v>
      </c>
      <c r="C40" s="1165" t="s">
        <v>132</v>
      </c>
      <c r="D40" s="1393" t="s">
        <v>8</v>
      </c>
      <c r="E40" s="741"/>
      <c r="F40" s="705"/>
      <c r="G40" s="247"/>
      <c r="H40" s="247"/>
      <c r="I40" s="247"/>
      <c r="J40" s="354"/>
      <c r="K40" s="354"/>
      <c r="L40" s="354"/>
      <c r="M40" s="706"/>
      <c r="N40" s="2845"/>
      <c r="O40" s="731"/>
      <c r="P40" s="732"/>
      <c r="Q40" s="732"/>
      <c r="R40" s="731"/>
    </row>
    <row r="41" spans="1:19" ht="14.25" thickTop="1" thickBot="1" x14ac:dyDescent="0.25">
      <c r="A41" s="73"/>
      <c r="B41" s="73"/>
      <c r="C41" s="73"/>
      <c r="D41" s="73"/>
      <c r="E41" s="741"/>
      <c r="F41" s="705"/>
      <c r="G41" s="247"/>
      <c r="H41" s="247"/>
      <c r="I41" s="247"/>
      <c r="J41" s="354"/>
      <c r="K41" s="354"/>
      <c r="L41" s="354"/>
      <c r="M41" s="706"/>
      <c r="N41" s="2845"/>
      <c r="O41" s="731"/>
      <c r="P41" s="732"/>
      <c r="Q41" s="732"/>
      <c r="R41" s="731"/>
    </row>
    <row r="42" spans="1:19" ht="14.25" thickTop="1" thickBot="1" x14ac:dyDescent="0.25">
      <c r="A42" s="676" t="s">
        <v>389</v>
      </c>
      <c r="B42" s="696"/>
      <c r="C42" s="696"/>
      <c r="D42" s="697"/>
      <c r="E42" s="741"/>
      <c r="F42" s="705"/>
      <c r="G42" s="247"/>
      <c r="H42" s="247"/>
      <c r="I42" s="247"/>
      <c r="J42" s="354"/>
      <c r="K42" s="354"/>
      <c r="L42" s="354"/>
      <c r="M42" s="706"/>
      <c r="N42" s="2845"/>
      <c r="O42" s="731"/>
      <c r="P42" s="732"/>
      <c r="Q42" s="732"/>
      <c r="R42" s="731"/>
    </row>
    <row r="43" spans="1:19" s="410" customFormat="1" ht="13.5" thickTop="1" x14ac:dyDescent="0.2">
      <c r="A43" s="1435" t="s">
        <v>383</v>
      </c>
      <c r="B43" s="1436" t="s">
        <v>14</v>
      </c>
      <c r="C43" s="1436" t="s">
        <v>132</v>
      </c>
      <c r="D43" s="1437" t="s">
        <v>8</v>
      </c>
      <c r="E43" s="749"/>
      <c r="F43" s="948"/>
      <c r="G43" s="949"/>
      <c r="H43" s="721"/>
      <c r="I43" s="721"/>
      <c r="J43" s="721"/>
      <c r="K43" s="722"/>
      <c r="L43" s="722"/>
      <c r="M43" s="723"/>
      <c r="N43" s="2868"/>
      <c r="O43" s="733"/>
      <c r="P43" s="734"/>
      <c r="Q43" s="734"/>
      <c r="R43" s="733"/>
      <c r="S43" s="914"/>
    </row>
    <row r="44" spans="1:19" s="39" customFormat="1" ht="13.5" thickBot="1" x14ac:dyDescent="0.25">
      <c r="A44" s="1438" t="s">
        <v>385</v>
      </c>
      <c r="B44" s="1185" t="s">
        <v>14</v>
      </c>
      <c r="C44" s="1185" t="s">
        <v>132</v>
      </c>
      <c r="D44" s="1439" t="s">
        <v>8</v>
      </c>
      <c r="E44" s="741"/>
      <c r="F44" s="700"/>
      <c r="G44" s="353"/>
      <c r="H44" s="247"/>
      <c r="I44" s="247"/>
      <c r="J44" s="247"/>
      <c r="K44" s="354"/>
      <c r="L44" s="354"/>
      <c r="M44" s="706"/>
      <c r="N44" s="2845"/>
      <c r="O44" s="731"/>
      <c r="P44" s="732"/>
      <c r="Q44" s="238"/>
      <c r="R44" s="731"/>
      <c r="S44" s="75"/>
    </row>
    <row r="45" spans="1:19" ht="14.25" thickTop="1" thickBot="1" x14ac:dyDescent="0.25">
      <c r="A45" s="73"/>
      <c r="B45" s="73"/>
      <c r="C45" s="73"/>
      <c r="D45" s="26"/>
      <c r="E45" s="741"/>
      <c r="F45" s="715"/>
      <c r="G45" s="247"/>
      <c r="H45" s="247"/>
      <c r="I45" s="247"/>
      <c r="J45" s="247"/>
      <c r="K45" s="354"/>
      <c r="L45" s="354"/>
      <c r="M45" s="706"/>
      <c r="N45" s="2845"/>
      <c r="O45" s="731"/>
      <c r="P45" s="732"/>
      <c r="Q45" s="732"/>
      <c r="R45" s="731"/>
    </row>
    <row r="46" spans="1:19" ht="14.25" thickTop="1" thickBot="1" x14ac:dyDescent="0.25">
      <c r="A46" s="676" t="s">
        <v>476</v>
      </c>
      <c r="B46" s="419"/>
      <c r="C46" s="419"/>
      <c r="D46" s="419"/>
      <c r="E46" s="741"/>
      <c r="F46" s="715"/>
      <c r="G46" s="247"/>
      <c r="H46" s="247"/>
      <c r="I46" s="247"/>
      <c r="J46" s="247"/>
      <c r="K46" s="354"/>
      <c r="L46" s="354"/>
      <c r="M46" s="706"/>
      <c r="N46" s="2845"/>
      <c r="O46" s="731"/>
      <c r="P46" s="732"/>
      <c r="Q46" s="732"/>
      <c r="R46" s="731"/>
    </row>
    <row r="47" spans="1:19" ht="14.25" thickTop="1" thickBot="1" x14ac:dyDescent="0.25">
      <c r="A47" s="1236" t="s">
        <v>466</v>
      </c>
      <c r="B47" s="1165" t="s">
        <v>14</v>
      </c>
      <c r="C47" s="1165" t="s">
        <v>132</v>
      </c>
      <c r="D47" s="1440" t="s">
        <v>8</v>
      </c>
      <c r="E47" s="741"/>
      <c r="F47" s="745"/>
      <c r="G47" s="701"/>
      <c r="H47" s="247"/>
      <c r="I47" s="247"/>
      <c r="J47" s="247"/>
      <c r="K47" s="354"/>
      <c r="L47" s="354"/>
      <c r="M47" s="706"/>
      <c r="N47" s="2845"/>
      <c r="O47" s="731"/>
      <c r="P47" s="732"/>
      <c r="Q47" s="732"/>
      <c r="R47" s="731"/>
    </row>
    <row r="48" spans="1:19" ht="14.25" thickTop="1" thickBot="1" x14ac:dyDescent="0.25">
      <c r="A48" s="73"/>
      <c r="B48" s="73"/>
      <c r="C48" s="73"/>
      <c r="D48" s="73"/>
      <c r="E48" s="741"/>
      <c r="F48" s="745"/>
      <c r="G48" s="701"/>
      <c r="H48" s="247"/>
      <c r="I48" s="247"/>
      <c r="J48" s="247"/>
      <c r="K48" s="354"/>
      <c r="L48" s="354"/>
      <c r="M48" s="706"/>
      <c r="N48" s="2845"/>
      <c r="O48" s="731"/>
      <c r="P48" s="732"/>
      <c r="Q48" s="732"/>
      <c r="R48" s="731"/>
    </row>
    <row r="49" spans="1:19" ht="14.25" thickTop="1" thickBot="1" x14ac:dyDescent="0.25">
      <c r="A49" s="419" t="s">
        <v>516</v>
      </c>
      <c r="B49" s="696"/>
      <c r="C49" s="696"/>
      <c r="D49" s="696"/>
      <c r="E49" s="741"/>
      <c r="F49" s="745"/>
      <c r="G49" s="701"/>
      <c r="H49" s="247"/>
      <c r="I49" s="247"/>
      <c r="J49" s="247"/>
      <c r="K49" s="354"/>
      <c r="L49" s="354"/>
      <c r="M49" s="706"/>
      <c r="N49" s="2845"/>
      <c r="O49" s="731"/>
      <c r="P49" s="732"/>
      <c r="Q49" s="732"/>
      <c r="R49" s="731"/>
    </row>
    <row r="50" spans="1:19" s="1196" customFormat="1" ht="13.5" thickTop="1" x14ac:dyDescent="0.2">
      <c r="A50" s="1235" t="s">
        <v>466</v>
      </c>
      <c r="B50" s="1209" t="s">
        <v>7</v>
      </c>
      <c r="C50" s="1209" t="s">
        <v>44</v>
      </c>
      <c r="D50" s="1441" t="s">
        <v>8</v>
      </c>
      <c r="E50" s="1442">
        <f>SUM(F50:L50)</f>
        <v>480000</v>
      </c>
      <c r="F50" s="1443"/>
      <c r="G50" s="1444">
        <v>75000</v>
      </c>
      <c r="H50" s="1445">
        <v>100000</v>
      </c>
      <c r="I50" s="1445">
        <v>75000</v>
      </c>
      <c r="J50" s="1445">
        <v>130000</v>
      </c>
      <c r="K50" s="1446">
        <v>100000</v>
      </c>
      <c r="L50" s="1446"/>
      <c r="M50" s="1447"/>
      <c r="N50" s="2913">
        <f>'4. Jobs'!$G$52</f>
        <v>10</v>
      </c>
      <c r="O50" s="1448">
        <v>0.5</v>
      </c>
      <c r="P50" s="1449">
        <v>0.8</v>
      </c>
      <c r="Q50" s="1449">
        <v>0.75</v>
      </c>
      <c r="R50" s="1448">
        <v>0.11</v>
      </c>
      <c r="S50" s="1450">
        <v>223000</v>
      </c>
    </row>
    <row r="51" spans="1:19" ht="13.5" thickBot="1" x14ac:dyDescent="0.25">
      <c r="A51" s="1185" t="s">
        <v>513</v>
      </c>
      <c r="B51" s="1165" t="s">
        <v>14</v>
      </c>
      <c r="C51" s="1165" t="s">
        <v>132</v>
      </c>
      <c r="D51" s="1393" t="s">
        <v>8</v>
      </c>
      <c r="E51" s="741"/>
      <c r="F51" s="745"/>
      <c r="G51" s="701"/>
      <c r="H51" s="247"/>
      <c r="I51" s="247"/>
      <c r="J51" s="247"/>
      <c r="K51" s="354"/>
      <c r="L51" s="354"/>
      <c r="M51" s="706"/>
      <c r="N51" s="2845"/>
      <c r="O51" s="731"/>
      <c r="P51" s="732"/>
      <c r="Q51" s="732"/>
      <c r="R51" s="731"/>
    </row>
    <row r="52" spans="1:19" ht="14.25" thickTop="1" thickBot="1" x14ac:dyDescent="0.25">
      <c r="A52" s="408"/>
      <c r="B52" s="408"/>
      <c r="C52" s="408"/>
      <c r="D52" s="408"/>
      <c r="E52" s="741"/>
      <c r="F52" s="746"/>
      <c r="G52" s="717"/>
      <c r="H52" s="247"/>
      <c r="I52" s="247"/>
      <c r="J52" s="247"/>
      <c r="K52" s="354"/>
      <c r="L52" s="354"/>
      <c r="M52" s="706"/>
      <c r="N52" s="237"/>
      <c r="O52" s="731"/>
      <c r="P52" s="732"/>
      <c r="Q52" s="732"/>
      <c r="R52" s="731"/>
    </row>
    <row r="53" spans="1:19" ht="14.25" thickTop="1" thickBot="1" x14ac:dyDescent="0.25">
      <c r="A53" s="698" t="s">
        <v>578</v>
      </c>
      <c r="B53" s="696"/>
      <c r="C53" s="696"/>
      <c r="D53" s="696"/>
      <c r="E53" s="741"/>
      <c r="F53" s="746"/>
      <c r="G53" s="717"/>
      <c r="H53" s="247"/>
      <c r="I53" s="247"/>
      <c r="J53" s="247"/>
      <c r="K53" s="354"/>
      <c r="L53" s="354"/>
      <c r="M53" s="706"/>
      <c r="N53" s="237"/>
      <c r="O53" s="731"/>
      <c r="P53" s="732"/>
      <c r="Q53" s="732"/>
      <c r="R53" s="731"/>
    </row>
    <row r="54" spans="1:19" ht="13.5" thickTop="1" x14ac:dyDescent="0.2">
      <c r="A54" s="1174" t="s">
        <v>519</v>
      </c>
      <c r="B54" s="1222" t="s">
        <v>14</v>
      </c>
      <c r="C54" s="1222" t="s">
        <v>132</v>
      </c>
      <c r="D54" s="1451" t="s">
        <v>8</v>
      </c>
      <c r="E54" s="741"/>
      <c r="F54" s="746"/>
      <c r="G54" s="717"/>
      <c r="H54" s="247"/>
      <c r="I54" s="247"/>
      <c r="J54" s="247"/>
      <c r="K54" s="354"/>
      <c r="L54" s="354"/>
      <c r="M54" s="706"/>
      <c r="N54" s="2845"/>
      <c r="O54" s="731"/>
      <c r="P54" s="732"/>
      <c r="Q54" s="732"/>
      <c r="R54" s="731"/>
    </row>
    <row r="55" spans="1:19" s="1196" customFormat="1" ht="13.5" thickBot="1" x14ac:dyDescent="0.25">
      <c r="A55" s="1404" t="s">
        <v>579</v>
      </c>
      <c r="B55" s="1405" t="s">
        <v>7</v>
      </c>
      <c r="C55" s="1405" t="s">
        <v>44</v>
      </c>
      <c r="D55" s="1416" t="s">
        <v>8</v>
      </c>
      <c r="E55" s="1442">
        <f>SUM(F55:L55)</f>
        <v>1189837</v>
      </c>
      <c r="F55" s="1452"/>
      <c r="G55" s="1453">
        <v>1065837</v>
      </c>
      <c r="H55" s="1445">
        <v>0</v>
      </c>
      <c r="I55" s="1445">
        <v>64000</v>
      </c>
      <c r="J55" s="1445">
        <v>60000</v>
      </c>
      <c r="K55" s="1446">
        <v>0</v>
      </c>
      <c r="L55" s="1446"/>
      <c r="M55" s="1447"/>
      <c r="N55" s="2913">
        <f>'4. Jobs'!$G$57</f>
        <v>28</v>
      </c>
      <c r="O55" s="1448">
        <v>0.85</v>
      </c>
      <c r="P55" s="1449">
        <v>0</v>
      </c>
      <c r="Q55" s="1449">
        <v>1</v>
      </c>
      <c r="R55" s="1448">
        <v>0.15</v>
      </c>
      <c r="S55" s="1450">
        <v>1000000</v>
      </c>
    </row>
    <row r="56" spans="1:19" ht="14.25" thickTop="1" thickBot="1" x14ac:dyDescent="0.25">
      <c r="A56" s="26"/>
      <c r="B56" s="26"/>
      <c r="C56" s="26"/>
      <c r="D56" s="26"/>
      <c r="E56" s="741"/>
      <c r="F56" s="746"/>
      <c r="G56" s="717"/>
      <c r="H56" s="247"/>
      <c r="I56" s="247"/>
      <c r="J56" s="247"/>
      <c r="K56" s="354"/>
      <c r="L56" s="354"/>
      <c r="M56" s="706"/>
      <c r="N56" s="2845"/>
      <c r="O56" s="731"/>
      <c r="P56" s="732"/>
      <c r="Q56" s="732"/>
      <c r="R56" s="731"/>
    </row>
    <row r="57" spans="1:19" ht="14.25" thickTop="1" thickBot="1" x14ac:dyDescent="0.25">
      <c r="A57" s="698" t="s">
        <v>559</v>
      </c>
      <c r="B57" s="696"/>
      <c r="C57" s="696"/>
      <c r="D57" s="696"/>
      <c r="E57" s="741"/>
      <c r="F57" s="746"/>
      <c r="G57" s="717"/>
      <c r="H57" s="247"/>
      <c r="I57" s="247"/>
      <c r="J57" s="247"/>
      <c r="K57" s="354"/>
      <c r="L57" s="354"/>
      <c r="M57" s="706"/>
      <c r="N57" s="2845"/>
      <c r="O57" s="731"/>
      <c r="P57" s="732"/>
      <c r="Q57" s="732"/>
      <c r="R57" s="731"/>
    </row>
    <row r="58" spans="1:19" ht="13.5" thickTop="1" x14ac:dyDescent="0.2">
      <c r="A58" s="1174" t="s">
        <v>519</v>
      </c>
      <c r="B58" s="1222" t="s">
        <v>7</v>
      </c>
      <c r="C58" s="1222" t="s">
        <v>132</v>
      </c>
      <c r="D58" s="1451" t="s">
        <v>8</v>
      </c>
      <c r="E58" s="741"/>
      <c r="F58" s="746"/>
      <c r="G58" s="717"/>
      <c r="H58" s="247"/>
      <c r="I58" s="247"/>
      <c r="J58" s="247"/>
      <c r="K58" s="354"/>
      <c r="L58" s="354"/>
      <c r="M58" s="706"/>
      <c r="N58" s="2845"/>
      <c r="O58" s="731"/>
      <c r="P58" s="732"/>
      <c r="Q58" s="732"/>
      <c r="R58" s="731"/>
      <c r="S58" s="75"/>
    </row>
    <row r="59" spans="1:19" s="409" customFormat="1" x14ac:dyDescent="0.2">
      <c r="A59" s="1243" t="s">
        <v>580</v>
      </c>
      <c r="B59" s="1254" t="s">
        <v>14</v>
      </c>
      <c r="C59" s="1254" t="s">
        <v>132</v>
      </c>
      <c r="D59" s="1455" t="s">
        <v>8</v>
      </c>
      <c r="E59" s="749"/>
      <c r="F59" s="747"/>
      <c r="G59" s="949"/>
      <c r="H59" s="720"/>
      <c r="I59" s="721"/>
      <c r="J59" s="721"/>
      <c r="K59" s="721"/>
      <c r="L59" s="722"/>
      <c r="M59" s="723"/>
      <c r="N59" s="2868"/>
      <c r="O59" s="733"/>
      <c r="P59" s="734"/>
      <c r="Q59" s="734"/>
      <c r="R59" s="733"/>
      <c r="S59" s="951"/>
    </row>
    <row r="60" spans="1:19" s="410" customFormat="1" ht="13.5" thickBot="1" x14ac:dyDescent="0.25">
      <c r="A60" s="1456" t="s">
        <v>581</v>
      </c>
      <c r="B60" s="1218" t="s">
        <v>14</v>
      </c>
      <c r="C60" s="1218" t="s">
        <v>132</v>
      </c>
      <c r="D60" s="1454" t="s">
        <v>8</v>
      </c>
      <c r="E60" s="749"/>
      <c r="F60" s="747"/>
      <c r="G60" s="720"/>
      <c r="H60" s="721"/>
      <c r="I60" s="721"/>
      <c r="J60" s="721"/>
      <c r="K60" s="722"/>
      <c r="L60" s="722"/>
      <c r="M60" s="723"/>
      <c r="N60" s="2868"/>
      <c r="O60" s="733"/>
      <c r="P60" s="734"/>
      <c r="Q60" s="734"/>
      <c r="R60" s="733"/>
      <c r="S60" s="914"/>
    </row>
    <row r="61" spans="1:19" ht="14.25" thickTop="1" thickBot="1" x14ac:dyDescent="0.25">
      <c r="A61" s="419"/>
      <c r="B61" s="419"/>
      <c r="C61" s="419"/>
      <c r="D61" s="419"/>
      <c r="E61" s="741"/>
      <c r="F61" s="746"/>
      <c r="G61" s="717"/>
      <c r="H61" s="247"/>
      <c r="I61" s="247"/>
      <c r="J61" s="247"/>
      <c r="K61" s="354"/>
      <c r="L61" s="354"/>
      <c r="M61" s="706"/>
      <c r="N61" s="2845"/>
      <c r="O61" s="731"/>
      <c r="P61" s="732"/>
      <c r="Q61" s="732"/>
      <c r="R61" s="731"/>
    </row>
    <row r="62" spans="1:19" ht="14.25" thickTop="1" thickBot="1" x14ac:dyDescent="0.25">
      <c r="A62" s="676" t="s">
        <v>595</v>
      </c>
      <c r="B62" s="419"/>
      <c r="C62" s="419"/>
      <c r="D62" s="419"/>
      <c r="E62" s="741"/>
      <c r="F62" s="716"/>
      <c r="G62" s="717"/>
      <c r="H62" s="247"/>
      <c r="I62" s="247"/>
      <c r="J62" s="247"/>
      <c r="K62" s="354"/>
      <c r="L62" s="354"/>
      <c r="M62" s="706"/>
      <c r="N62" s="2845"/>
      <c r="O62" s="731"/>
      <c r="P62" s="732"/>
      <c r="Q62" s="732"/>
      <c r="R62" s="731"/>
    </row>
    <row r="63" spans="1:19" s="413" customFormat="1" ht="14.25" thickTop="1" thickBot="1" x14ac:dyDescent="0.25">
      <c r="A63" s="1236" t="s">
        <v>600</v>
      </c>
      <c r="B63" s="1165" t="s">
        <v>14</v>
      </c>
      <c r="C63" s="1165" t="s">
        <v>132</v>
      </c>
      <c r="D63" s="1440" t="s">
        <v>8</v>
      </c>
      <c r="E63" s="750"/>
      <c r="F63" s="748"/>
      <c r="G63" s="725"/>
      <c r="H63" s="726"/>
      <c r="I63" s="726"/>
      <c r="J63" s="726"/>
      <c r="K63" s="727"/>
      <c r="L63" s="727"/>
      <c r="M63" s="728"/>
      <c r="N63" s="2878"/>
      <c r="O63" s="735"/>
      <c r="P63" s="736"/>
      <c r="Q63" s="736"/>
      <c r="R63" s="735"/>
      <c r="S63" s="915"/>
    </row>
    <row r="64" spans="1:19" s="413" customFormat="1" ht="14.25" thickTop="1" thickBot="1" x14ac:dyDescent="0.25">
      <c r="A64" s="408"/>
      <c r="B64" s="408"/>
      <c r="C64" s="408"/>
      <c r="D64" s="408"/>
      <c r="E64" s="750"/>
      <c r="F64" s="748"/>
      <c r="G64" s="725"/>
      <c r="H64" s="726"/>
      <c r="I64" s="726"/>
      <c r="J64" s="726"/>
      <c r="K64" s="727"/>
      <c r="L64" s="727"/>
      <c r="M64" s="728"/>
      <c r="N64" s="2878"/>
      <c r="O64" s="735"/>
      <c r="P64" s="736"/>
      <c r="Q64" s="736"/>
      <c r="R64" s="735"/>
      <c r="S64" s="915"/>
    </row>
    <row r="65" spans="1:19" ht="14.25" thickTop="1" thickBot="1" x14ac:dyDescent="0.25">
      <c r="A65" s="698" t="s">
        <v>610</v>
      </c>
      <c r="B65" s="696"/>
      <c r="C65" s="696"/>
      <c r="D65" s="696"/>
      <c r="E65" s="741"/>
      <c r="F65" s="746"/>
      <c r="G65" s="717"/>
      <c r="H65" s="247"/>
      <c r="I65" s="247"/>
      <c r="J65" s="247"/>
      <c r="K65" s="354"/>
      <c r="L65" s="354"/>
      <c r="M65" s="706"/>
      <c r="N65" s="237"/>
      <c r="O65" s="731"/>
      <c r="P65" s="732"/>
      <c r="Q65" s="732"/>
      <c r="R65" s="731"/>
    </row>
    <row r="66" spans="1:19" s="77" customFormat="1" ht="13.5" thickTop="1" x14ac:dyDescent="0.2">
      <c r="A66" s="1174" t="s">
        <v>616</v>
      </c>
      <c r="B66" s="1222" t="s">
        <v>7</v>
      </c>
      <c r="C66" s="1222" t="s">
        <v>132</v>
      </c>
      <c r="D66" s="1451" t="s">
        <v>8</v>
      </c>
      <c r="E66" s="750"/>
      <c r="F66" s="748"/>
      <c r="G66" s="725"/>
      <c r="H66" s="726"/>
      <c r="I66" s="726"/>
      <c r="J66" s="726"/>
      <c r="K66" s="727"/>
      <c r="L66" s="727"/>
      <c r="M66" s="728"/>
      <c r="N66" s="2878"/>
      <c r="O66" s="735"/>
      <c r="P66" s="736"/>
      <c r="Q66" s="736"/>
      <c r="R66" s="735"/>
      <c r="S66" s="1110"/>
    </row>
    <row r="67" spans="1:19" s="1196" customFormat="1" ht="13.5" thickBot="1" x14ac:dyDescent="0.25">
      <c r="A67" s="1404" t="s">
        <v>617</v>
      </c>
      <c r="B67" s="1405" t="s">
        <v>7</v>
      </c>
      <c r="C67" s="1405" t="s">
        <v>44</v>
      </c>
      <c r="D67" s="1416" t="s">
        <v>8</v>
      </c>
      <c r="E67" s="1442">
        <f>SUM(F67:L67)</f>
        <v>1370000</v>
      </c>
      <c r="F67" s="1452"/>
      <c r="G67" s="1453">
        <v>100000</v>
      </c>
      <c r="H67" s="1445">
        <v>295000</v>
      </c>
      <c r="I67" s="1445">
        <v>340000</v>
      </c>
      <c r="J67" s="1445">
        <v>295000</v>
      </c>
      <c r="K67" s="1446">
        <v>340000</v>
      </c>
      <c r="L67" s="1446"/>
      <c r="M67" s="1447"/>
      <c r="N67" s="2913">
        <f>'4. Jobs'!$G$69</f>
        <v>26</v>
      </c>
      <c r="O67" s="1448">
        <v>0.8</v>
      </c>
      <c r="P67" s="1449">
        <v>0.99</v>
      </c>
      <c r="Q67" s="1449">
        <v>1</v>
      </c>
      <c r="R67" s="1448">
        <v>0.28999999999999998</v>
      </c>
      <c r="S67" s="1450">
        <v>1200000</v>
      </c>
    </row>
    <row r="68" spans="1:19" ht="14.25" thickTop="1" thickBot="1" x14ac:dyDescent="0.25">
      <c r="A68" s="26"/>
      <c r="B68" s="26"/>
      <c r="C68" s="26"/>
      <c r="D68" s="26"/>
      <c r="E68" s="741"/>
      <c r="F68" s="746"/>
      <c r="G68" s="717"/>
      <c r="H68" s="247"/>
      <c r="I68" s="247"/>
      <c r="J68" s="247"/>
      <c r="K68" s="354"/>
      <c r="L68" s="354"/>
      <c r="M68" s="706"/>
      <c r="N68" s="2845"/>
      <c r="O68" s="731"/>
      <c r="P68" s="732"/>
      <c r="Q68" s="732"/>
      <c r="R68" s="731"/>
    </row>
    <row r="69" spans="1:19" ht="14.25" thickTop="1" thickBot="1" x14ac:dyDescent="0.25">
      <c r="A69" s="698" t="s">
        <v>643</v>
      </c>
      <c r="B69" s="696"/>
      <c r="C69" s="696"/>
      <c r="D69" s="696"/>
      <c r="E69" s="741"/>
      <c r="F69" s="746"/>
      <c r="G69" s="717"/>
      <c r="H69" s="247"/>
      <c r="I69" s="247"/>
      <c r="J69" s="247"/>
      <c r="K69" s="354"/>
      <c r="L69" s="354"/>
      <c r="M69" s="706"/>
      <c r="N69" s="237"/>
      <c r="O69" s="731"/>
      <c r="P69" s="732"/>
      <c r="Q69" s="732"/>
      <c r="R69" s="731"/>
    </row>
    <row r="70" spans="1:19" s="1234" customFormat="1" ht="13.5" thickTop="1" x14ac:dyDescent="0.2">
      <c r="A70" s="1235" t="s">
        <v>556</v>
      </c>
      <c r="B70" s="1209" t="s">
        <v>7</v>
      </c>
      <c r="C70" s="1209" t="s">
        <v>44</v>
      </c>
      <c r="D70" s="1441" t="s">
        <v>8</v>
      </c>
      <c r="E70" s="1457">
        <f>SUM(F70:L70)</f>
        <v>1710000</v>
      </c>
      <c r="F70" s="1458"/>
      <c r="G70" s="1459">
        <v>820000</v>
      </c>
      <c r="H70" s="1460">
        <v>740000</v>
      </c>
      <c r="I70" s="1460">
        <v>150000</v>
      </c>
      <c r="J70" s="1460">
        <v>0</v>
      </c>
      <c r="K70" s="1461">
        <v>0</v>
      </c>
      <c r="L70" s="1461"/>
      <c r="M70" s="1462"/>
      <c r="N70" s="2914">
        <f>'4. Jobs'!$G$72</f>
        <v>25</v>
      </c>
      <c r="O70" s="1463">
        <v>0.75</v>
      </c>
      <c r="P70" s="1464">
        <v>0</v>
      </c>
      <c r="Q70" s="1464">
        <v>1</v>
      </c>
      <c r="R70" s="1463">
        <v>0.13</v>
      </c>
      <c r="S70" s="1380">
        <v>400000</v>
      </c>
    </row>
    <row r="71" spans="1:19" s="410" customFormat="1" ht="13.5" thickBot="1" x14ac:dyDescent="0.25">
      <c r="A71" s="1410" t="s">
        <v>626</v>
      </c>
      <c r="B71" s="1391" t="s">
        <v>14</v>
      </c>
      <c r="C71" s="1391" t="s">
        <v>132</v>
      </c>
      <c r="D71" s="1392" t="s">
        <v>8</v>
      </c>
      <c r="E71" s="749"/>
      <c r="F71" s="747"/>
      <c r="G71" s="720"/>
      <c r="H71" s="721"/>
      <c r="I71" s="721"/>
      <c r="J71" s="721"/>
      <c r="K71" s="722"/>
      <c r="L71" s="722"/>
      <c r="M71" s="723"/>
      <c r="N71" s="2868"/>
      <c r="O71" s="733"/>
      <c r="P71" s="734"/>
      <c r="Q71" s="734"/>
      <c r="R71" s="733"/>
      <c r="S71" s="951"/>
    </row>
    <row r="72" spans="1:19" s="413" customFormat="1" ht="14.25" thickTop="1" thickBot="1" x14ac:dyDescent="0.25">
      <c r="A72" s="408"/>
      <c r="B72" s="408"/>
      <c r="C72" s="408"/>
      <c r="D72" s="408"/>
      <c r="E72" s="750"/>
      <c r="F72" s="724"/>
      <c r="G72" s="725"/>
      <c r="H72" s="726"/>
      <c r="I72" s="726"/>
      <c r="J72" s="726"/>
      <c r="K72" s="726"/>
      <c r="L72" s="727"/>
      <c r="M72" s="728"/>
      <c r="N72" s="2878"/>
      <c r="O72" s="735"/>
      <c r="P72" s="736"/>
      <c r="Q72" s="736"/>
      <c r="R72" s="735"/>
      <c r="S72" s="915"/>
    </row>
    <row r="73" spans="1:19" s="413" customFormat="1" ht="14.25" thickTop="1" thickBot="1" x14ac:dyDescent="0.25">
      <c r="A73" s="698" t="s">
        <v>677</v>
      </c>
      <c r="B73" s="696"/>
      <c r="C73" s="696"/>
      <c r="D73" s="696"/>
      <c r="E73" s="750"/>
      <c r="F73" s="724"/>
      <c r="G73" s="725"/>
      <c r="H73" s="726"/>
      <c r="I73" s="726"/>
      <c r="J73" s="726"/>
      <c r="K73" s="726"/>
      <c r="L73" s="727"/>
      <c r="M73" s="728"/>
      <c r="N73" s="2878"/>
      <c r="O73" s="735"/>
      <c r="P73" s="736"/>
      <c r="Q73" s="736"/>
      <c r="R73" s="735"/>
      <c r="S73" s="915"/>
    </row>
    <row r="74" spans="1:19" s="413" customFormat="1" ht="13.5" thickTop="1" x14ac:dyDescent="0.2">
      <c r="A74" s="1221" t="s">
        <v>683</v>
      </c>
      <c r="B74" s="1222" t="s">
        <v>7</v>
      </c>
      <c r="C74" s="1222" t="s">
        <v>46</v>
      </c>
      <c r="D74" s="1451" t="s">
        <v>8</v>
      </c>
      <c r="E74" s="750"/>
      <c r="F74" s="724"/>
      <c r="G74" s="725"/>
      <c r="H74" s="726"/>
      <c r="I74" s="726"/>
      <c r="J74" s="726"/>
      <c r="K74" s="726"/>
      <c r="L74" s="727"/>
      <c r="M74" s="728"/>
      <c r="N74" s="2878"/>
      <c r="O74" s="735"/>
      <c r="P74" s="736"/>
      <c r="Q74" s="736"/>
      <c r="R74" s="735"/>
      <c r="S74" s="915"/>
    </row>
    <row r="75" spans="1:19" s="1415" customFormat="1" x14ac:dyDescent="0.2">
      <c r="A75" s="1412" t="s">
        <v>412</v>
      </c>
      <c r="B75" s="1201" t="s">
        <v>7</v>
      </c>
      <c r="C75" s="1201" t="s">
        <v>44</v>
      </c>
      <c r="D75" s="1465" t="s">
        <v>8</v>
      </c>
      <c r="E75" s="1457">
        <f>SUM(F75:L75)</f>
        <v>615000</v>
      </c>
      <c r="F75" s="1466"/>
      <c r="G75" s="1459">
        <v>128000</v>
      </c>
      <c r="H75" s="1460">
        <v>182000</v>
      </c>
      <c r="I75" s="1460">
        <v>115000</v>
      </c>
      <c r="J75" s="1460">
        <v>100000</v>
      </c>
      <c r="K75" s="1460">
        <v>90000</v>
      </c>
      <c r="L75" s="1461"/>
      <c r="M75" s="1462"/>
      <c r="N75" s="2914">
        <f>'4. Jobs'!$G$77</f>
        <v>14</v>
      </c>
      <c r="O75" s="1463">
        <v>0.5</v>
      </c>
      <c r="P75" s="1464">
        <v>0</v>
      </c>
      <c r="Q75" s="1464">
        <v>0.9</v>
      </c>
      <c r="R75" s="1463">
        <v>0.33</v>
      </c>
      <c r="S75" s="1467">
        <v>0</v>
      </c>
    </row>
    <row r="76" spans="1:19" s="409" customFormat="1" x14ac:dyDescent="0.2">
      <c r="A76" s="1253" t="s">
        <v>679</v>
      </c>
      <c r="B76" s="1254" t="s">
        <v>14</v>
      </c>
      <c r="C76" s="1254" t="s">
        <v>132</v>
      </c>
      <c r="D76" s="1455" t="s">
        <v>8</v>
      </c>
      <c r="E76" s="749"/>
      <c r="F76" s="1034"/>
      <c r="G76" s="720"/>
      <c r="H76" s="721"/>
      <c r="I76" s="721"/>
      <c r="J76" s="721"/>
      <c r="K76" s="721"/>
      <c r="L76" s="722"/>
      <c r="M76" s="723"/>
      <c r="N76" s="2868"/>
      <c r="O76" s="733"/>
      <c r="P76" s="734"/>
      <c r="Q76" s="734"/>
      <c r="R76" s="733"/>
      <c r="S76" s="951"/>
    </row>
    <row r="77" spans="1:19" s="409" customFormat="1" x14ac:dyDescent="0.2">
      <c r="A77" s="1253" t="s">
        <v>685</v>
      </c>
      <c r="B77" s="1254" t="s">
        <v>14</v>
      </c>
      <c r="C77" s="1254" t="s">
        <v>132</v>
      </c>
      <c r="D77" s="1455" t="s">
        <v>8</v>
      </c>
      <c r="E77" s="749"/>
      <c r="F77" s="1034"/>
      <c r="G77" s="720"/>
      <c r="H77" s="721"/>
      <c r="I77" s="721"/>
      <c r="J77" s="721"/>
      <c r="K77" s="721"/>
      <c r="L77" s="722"/>
      <c r="M77" s="723"/>
      <c r="N77" s="2868"/>
      <c r="O77" s="733"/>
      <c r="P77" s="734"/>
      <c r="Q77" s="734"/>
      <c r="R77" s="733"/>
      <c r="S77" s="951"/>
    </row>
    <row r="78" spans="1:19" s="1282" customFormat="1" ht="13.5" thickBot="1" x14ac:dyDescent="0.25">
      <c r="A78" s="1364" t="s">
        <v>671</v>
      </c>
      <c r="B78" s="1417" t="s">
        <v>7</v>
      </c>
      <c r="C78" s="1418" t="s">
        <v>44</v>
      </c>
      <c r="D78" s="1417" t="s">
        <v>8</v>
      </c>
      <c r="E78" s="1468">
        <f>SUM(F78:L78)</f>
        <v>5963160</v>
      </c>
      <c r="F78" s="1469"/>
      <c r="G78" s="1470"/>
      <c r="H78" s="1471">
        <v>1870600</v>
      </c>
      <c r="I78" s="1471">
        <v>1386080</v>
      </c>
      <c r="J78" s="1471">
        <v>1556280</v>
      </c>
      <c r="K78" s="1471">
        <v>624200</v>
      </c>
      <c r="L78" s="1486">
        <v>526000</v>
      </c>
      <c r="M78" s="1472"/>
      <c r="N78" s="2915">
        <f>'4. Jobs'!$G$80</f>
        <v>108</v>
      </c>
      <c r="O78" s="1473">
        <v>0.9</v>
      </c>
      <c r="P78" s="1474">
        <v>0.79</v>
      </c>
      <c r="Q78" s="1474">
        <v>0.74</v>
      </c>
      <c r="R78" s="1473">
        <v>0.39</v>
      </c>
      <c r="S78" s="1475">
        <v>3800000</v>
      </c>
    </row>
    <row r="79" spans="1:19" s="431" customFormat="1" ht="14.25" thickTop="1" thickBot="1" x14ac:dyDescent="0.25">
      <c r="A79" s="26"/>
      <c r="B79" s="26"/>
      <c r="C79" s="26"/>
      <c r="D79" s="26"/>
      <c r="E79" s="750"/>
      <c r="F79" s="724"/>
      <c r="G79" s="725"/>
      <c r="H79" s="726"/>
      <c r="I79" s="726"/>
      <c r="J79" s="726"/>
      <c r="K79" s="726"/>
      <c r="L79" s="727"/>
      <c r="M79" s="728"/>
      <c r="N79" s="2878"/>
      <c r="O79" s="735"/>
      <c r="P79" s="736"/>
      <c r="Q79" s="736"/>
      <c r="R79" s="735"/>
      <c r="S79" s="942"/>
    </row>
    <row r="80" spans="1:19" s="431" customFormat="1" ht="14.25" thickTop="1" thickBot="1" x14ac:dyDescent="0.25">
      <c r="A80" s="933" t="s">
        <v>744</v>
      </c>
      <c r="B80" s="934"/>
      <c r="C80" s="934"/>
      <c r="D80" s="941"/>
      <c r="E80" s="750"/>
      <c r="F80" s="724"/>
      <c r="G80" s="725"/>
      <c r="H80" s="726"/>
      <c r="I80" s="726"/>
      <c r="J80" s="726"/>
      <c r="K80" s="726"/>
      <c r="L80" s="727"/>
      <c r="M80" s="728"/>
      <c r="N80" s="2878"/>
      <c r="O80" s="735"/>
      <c r="P80" s="736"/>
      <c r="Q80" s="736"/>
      <c r="R80" s="735"/>
      <c r="S80" s="942"/>
    </row>
    <row r="81" spans="1:19" s="1282" customFormat="1" x14ac:dyDescent="0.2">
      <c r="A81" s="1263" t="s">
        <v>383</v>
      </c>
      <c r="B81" s="1264" t="s">
        <v>7</v>
      </c>
      <c r="C81" s="1264" t="s">
        <v>44</v>
      </c>
      <c r="D81" s="1476" t="s">
        <v>8</v>
      </c>
      <c r="E81" s="1468">
        <f>SUM(F81:L81)</f>
        <v>2034000</v>
      </c>
      <c r="F81" s="1469"/>
      <c r="G81" s="1470"/>
      <c r="H81" s="1471">
        <v>1392000</v>
      </c>
      <c r="I81" s="1471">
        <v>550000</v>
      </c>
      <c r="J81" s="1471">
        <v>92000</v>
      </c>
      <c r="K81" s="1471">
        <v>0</v>
      </c>
      <c r="L81" s="1486">
        <v>0</v>
      </c>
      <c r="M81" s="1472"/>
      <c r="N81" s="2915">
        <f>'4. Jobs'!$G$83</f>
        <v>28</v>
      </c>
      <c r="O81" s="1473">
        <v>0.77</v>
      </c>
      <c r="P81" s="1474">
        <v>0</v>
      </c>
      <c r="Q81" s="1474">
        <v>0.95</v>
      </c>
      <c r="R81" s="1473">
        <v>0.28000000000000003</v>
      </c>
      <c r="S81" s="1477">
        <v>20000</v>
      </c>
    </row>
    <row r="82" spans="1:19" s="1282" customFormat="1" ht="12" customHeight="1" x14ac:dyDescent="0.2">
      <c r="A82" s="1263" t="s">
        <v>748</v>
      </c>
      <c r="B82" s="1264" t="s">
        <v>7</v>
      </c>
      <c r="C82" s="1264" t="s">
        <v>44</v>
      </c>
      <c r="D82" s="1478" t="s">
        <v>8</v>
      </c>
      <c r="E82" s="1468">
        <f>SUM(F82:L82)</f>
        <v>381000</v>
      </c>
      <c r="F82" s="1469"/>
      <c r="G82" s="1470"/>
      <c r="H82" s="1471">
        <v>299500</v>
      </c>
      <c r="I82" s="1471">
        <v>81500</v>
      </c>
      <c r="J82" s="1471">
        <v>0</v>
      </c>
      <c r="K82" s="1471">
        <v>0</v>
      </c>
      <c r="L82" s="1486">
        <v>0</v>
      </c>
      <c r="M82" s="1472"/>
      <c r="N82" s="2915">
        <f>'4. Jobs'!$G$84</f>
        <v>10</v>
      </c>
      <c r="O82" s="1473">
        <v>0.77</v>
      </c>
      <c r="P82" s="1474">
        <v>0</v>
      </c>
      <c r="Q82" s="1474">
        <v>1</v>
      </c>
      <c r="R82" s="1473">
        <v>0.2</v>
      </c>
      <c r="S82" s="1477">
        <v>25000</v>
      </c>
    </row>
    <row r="83" spans="1:19" s="566" customFormat="1" ht="13.5" thickBot="1" x14ac:dyDescent="0.25">
      <c r="A83" s="1253" t="s">
        <v>751</v>
      </c>
      <c r="B83" s="1254" t="s">
        <v>14</v>
      </c>
      <c r="C83" s="1254" t="s">
        <v>132</v>
      </c>
      <c r="D83" s="1392" t="s">
        <v>8</v>
      </c>
      <c r="E83" s="460"/>
      <c r="F83" s="977"/>
      <c r="G83" s="758"/>
      <c r="H83" s="758"/>
      <c r="I83" s="758"/>
      <c r="J83" s="758"/>
      <c r="K83" s="758"/>
      <c r="L83" s="576"/>
      <c r="M83" s="455"/>
      <c r="N83" s="2916"/>
      <c r="O83" s="460"/>
      <c r="P83" s="460"/>
      <c r="Q83" s="460"/>
      <c r="R83" s="460"/>
      <c r="S83" s="460"/>
    </row>
    <row r="84" spans="1:19" s="431" customFormat="1" ht="14.25" thickTop="1" thickBot="1" x14ac:dyDescent="0.25">
      <c r="A84" s="939"/>
      <c r="B84" s="940"/>
      <c r="C84" s="940"/>
      <c r="D84" s="613"/>
      <c r="E84" s="750"/>
      <c r="F84" s="724"/>
      <c r="G84" s="725"/>
      <c r="H84" s="726"/>
      <c r="I84" s="726"/>
      <c r="J84" s="726"/>
      <c r="K84" s="726"/>
      <c r="L84" s="727"/>
      <c r="M84" s="728"/>
      <c r="N84" s="2878"/>
      <c r="O84" s="735"/>
      <c r="P84" s="736"/>
      <c r="Q84" s="736"/>
      <c r="R84" s="735"/>
      <c r="S84" s="942"/>
    </row>
    <row r="85" spans="1:19" s="431" customFormat="1" ht="14.25" thickTop="1" thickBot="1" x14ac:dyDescent="0.25">
      <c r="A85" s="933" t="s">
        <v>754</v>
      </c>
      <c r="B85" s="934"/>
      <c r="C85" s="934"/>
      <c r="D85" s="756"/>
      <c r="E85" s="750"/>
      <c r="F85" s="724"/>
      <c r="G85" s="725"/>
      <c r="H85" s="726"/>
      <c r="I85" s="726"/>
      <c r="J85" s="726"/>
      <c r="K85" s="726"/>
      <c r="L85" s="727"/>
      <c r="M85" s="728"/>
      <c r="N85" s="2878"/>
      <c r="O85" s="735"/>
      <c r="P85" s="736"/>
      <c r="Q85" s="736"/>
      <c r="R85" s="735"/>
      <c r="S85" s="942"/>
    </row>
    <row r="86" spans="1:19" s="1245" customFormat="1" ht="13.5" thickBot="1" x14ac:dyDescent="0.25">
      <c r="A86" s="2076" t="s">
        <v>756</v>
      </c>
      <c r="B86" s="2077" t="s">
        <v>14</v>
      </c>
      <c r="C86" s="2077" t="s">
        <v>132</v>
      </c>
      <c r="D86" s="2079" t="s">
        <v>8</v>
      </c>
      <c r="E86" s="749"/>
      <c r="F86" s="1034"/>
      <c r="G86" s="720"/>
      <c r="H86" s="721"/>
      <c r="I86" s="721"/>
      <c r="J86" s="721"/>
      <c r="K86" s="721"/>
      <c r="L86" s="722"/>
      <c r="M86" s="723"/>
      <c r="N86" s="2868"/>
      <c r="O86" s="733"/>
      <c r="P86" s="734"/>
      <c r="Q86" s="734"/>
      <c r="R86" s="733"/>
      <c r="S86" s="1993"/>
    </row>
    <row r="87" spans="1:19" s="431" customFormat="1" ht="14.25" thickTop="1" thickBot="1" x14ac:dyDescent="0.25">
      <c r="A87" s="26"/>
      <c r="B87" s="26"/>
      <c r="C87" s="26"/>
      <c r="D87" s="26"/>
      <c r="E87" s="750"/>
      <c r="F87" s="724"/>
      <c r="G87" s="725"/>
      <c r="H87" s="726"/>
      <c r="I87" s="726"/>
      <c r="J87" s="726"/>
      <c r="K87" s="726"/>
      <c r="L87" s="727"/>
      <c r="M87" s="728"/>
      <c r="N87" s="2878"/>
      <c r="O87" s="735"/>
      <c r="P87" s="736"/>
      <c r="Q87" s="736"/>
      <c r="R87" s="735"/>
      <c r="S87" s="942"/>
    </row>
    <row r="88" spans="1:19" s="431" customFormat="1" ht="14.25" thickTop="1" thickBot="1" x14ac:dyDescent="0.25">
      <c r="A88" s="933" t="s">
        <v>814</v>
      </c>
      <c r="B88" s="934"/>
      <c r="C88" s="934"/>
      <c r="D88" s="941"/>
      <c r="E88" s="750"/>
      <c r="F88" s="724"/>
      <c r="G88" s="725"/>
      <c r="H88" s="726"/>
      <c r="I88" s="726"/>
      <c r="J88" s="726"/>
      <c r="K88" s="726"/>
      <c r="L88" s="727"/>
      <c r="M88" s="728"/>
      <c r="N88" s="2878"/>
      <c r="O88" s="735"/>
      <c r="P88" s="736"/>
      <c r="Q88" s="736"/>
      <c r="R88" s="735"/>
      <c r="S88" s="942"/>
    </row>
    <row r="89" spans="1:19" s="1282" customFormat="1" x14ac:dyDescent="0.2">
      <c r="A89" s="1263" t="s">
        <v>808</v>
      </c>
      <c r="B89" s="1264" t="s">
        <v>7</v>
      </c>
      <c r="C89" s="1264" t="s">
        <v>44</v>
      </c>
      <c r="D89" s="1479" t="s">
        <v>8</v>
      </c>
      <c r="E89" s="1468">
        <f>SUM(F89:L89)</f>
        <v>3757226</v>
      </c>
      <c r="F89" s="1469"/>
      <c r="G89" s="1470"/>
      <c r="H89" s="1471">
        <v>570000</v>
      </c>
      <c r="I89" s="1471">
        <v>782800</v>
      </c>
      <c r="J89" s="1471">
        <v>1209426</v>
      </c>
      <c r="K89" s="1471">
        <v>1195000</v>
      </c>
      <c r="L89" s="1486">
        <v>0</v>
      </c>
      <c r="M89" s="1472"/>
      <c r="N89" s="2915">
        <f>'4. Jobs'!$G$91</f>
        <v>95</v>
      </c>
      <c r="O89" s="1473">
        <v>0.6</v>
      </c>
      <c r="P89" s="1474">
        <v>0</v>
      </c>
      <c r="Q89" s="1474">
        <v>0.95</v>
      </c>
      <c r="R89" s="1473">
        <v>0.2</v>
      </c>
      <c r="S89" s="1477">
        <v>2100000</v>
      </c>
    </row>
    <row r="90" spans="1:19" s="1282" customFormat="1" x14ac:dyDescent="0.2">
      <c r="A90" s="1263" t="s">
        <v>810</v>
      </c>
      <c r="B90" s="1264" t="s">
        <v>7</v>
      </c>
      <c r="C90" s="1264" t="s">
        <v>44</v>
      </c>
      <c r="D90" s="1479" t="s">
        <v>8</v>
      </c>
      <c r="E90" s="1468">
        <f>SUM(F90:L90)</f>
        <v>1309432</v>
      </c>
      <c r="F90" s="1469"/>
      <c r="G90" s="1470"/>
      <c r="H90" s="1471">
        <v>487172</v>
      </c>
      <c r="I90" s="1471">
        <v>577200</v>
      </c>
      <c r="J90" s="1471">
        <v>245060</v>
      </c>
      <c r="K90" s="1471">
        <v>0</v>
      </c>
      <c r="L90" s="1486">
        <v>0</v>
      </c>
      <c r="M90" s="1472"/>
      <c r="N90" s="2915">
        <f>'4. Jobs'!$G$92</f>
        <v>43</v>
      </c>
      <c r="O90" s="1473">
        <v>0.5</v>
      </c>
      <c r="P90" s="1474">
        <v>0</v>
      </c>
      <c r="Q90" s="1474">
        <v>0.95</v>
      </c>
      <c r="R90" s="1473">
        <v>0.12</v>
      </c>
      <c r="S90" s="1477">
        <v>241000</v>
      </c>
    </row>
    <row r="91" spans="1:19" s="566" customFormat="1" ht="13.5" thickBot="1" x14ac:dyDescent="0.25">
      <c r="A91" s="1427" t="s">
        <v>811</v>
      </c>
      <c r="B91" s="1391" t="s">
        <v>14</v>
      </c>
      <c r="C91" s="1391" t="s">
        <v>132</v>
      </c>
      <c r="D91" s="1392" t="s">
        <v>8</v>
      </c>
      <c r="E91" s="750"/>
      <c r="F91" s="724"/>
      <c r="G91" s="725"/>
      <c r="H91" s="726"/>
      <c r="I91" s="726"/>
      <c r="J91" s="726"/>
      <c r="K91" s="726"/>
      <c r="L91" s="727"/>
      <c r="M91" s="728"/>
      <c r="N91" s="2878"/>
      <c r="O91" s="735"/>
      <c r="P91" s="736"/>
      <c r="Q91" s="736"/>
      <c r="R91" s="735"/>
      <c r="S91" s="942"/>
    </row>
    <row r="92" spans="1:19" s="431" customFormat="1" ht="14.25" thickTop="1" thickBot="1" x14ac:dyDescent="0.25">
      <c r="A92" s="26"/>
      <c r="B92" s="26"/>
      <c r="C92" s="26"/>
      <c r="D92" s="26"/>
      <c r="E92" s="750"/>
      <c r="F92" s="748"/>
      <c r="G92" s="725"/>
      <c r="H92" s="726"/>
      <c r="I92" s="726"/>
      <c r="J92" s="726"/>
      <c r="K92" s="726"/>
      <c r="L92" s="727"/>
      <c r="M92" s="728"/>
      <c r="N92" s="2878"/>
      <c r="O92" s="735"/>
      <c r="P92" s="736"/>
      <c r="Q92" s="736"/>
      <c r="R92" s="735"/>
      <c r="S92" s="942"/>
    </row>
    <row r="93" spans="1:19" s="431" customFormat="1" ht="14.25" thickTop="1" thickBot="1" x14ac:dyDescent="0.25">
      <c r="A93" s="933" t="s">
        <v>850</v>
      </c>
      <c r="B93" s="934"/>
      <c r="C93" s="934"/>
      <c r="D93" s="1480"/>
      <c r="E93" s="750"/>
      <c r="F93" s="748"/>
      <c r="G93" s="725"/>
      <c r="H93" s="726"/>
      <c r="I93" s="726"/>
      <c r="J93" s="726"/>
      <c r="K93" s="726"/>
      <c r="L93" s="727"/>
      <c r="M93" s="728"/>
      <c r="N93" s="2878"/>
      <c r="O93" s="735"/>
      <c r="P93" s="736"/>
      <c r="Q93" s="736"/>
      <c r="R93" s="735"/>
      <c r="S93" s="942"/>
    </row>
    <row r="94" spans="1:19" s="1282" customFormat="1" ht="13.5" thickBot="1" x14ac:dyDescent="0.25">
      <c r="A94" s="1285" t="s">
        <v>751</v>
      </c>
      <c r="B94" s="1286" t="s">
        <v>7</v>
      </c>
      <c r="C94" s="1286" t="s">
        <v>44</v>
      </c>
      <c r="D94" s="1481" t="s">
        <v>8</v>
      </c>
      <c r="E94" s="1468">
        <f>SUM(F94:L94)</f>
        <v>932999</v>
      </c>
      <c r="F94" s="1485"/>
      <c r="G94" s="1470"/>
      <c r="H94" s="1471">
        <v>680064</v>
      </c>
      <c r="I94" s="1471">
        <v>28629</v>
      </c>
      <c r="J94" s="1471">
        <v>73629</v>
      </c>
      <c r="K94" s="1471">
        <v>59532</v>
      </c>
      <c r="L94" s="1486">
        <v>91145</v>
      </c>
      <c r="M94" s="1472"/>
      <c r="N94" s="2915">
        <f>'4. Jobs'!$G$96</f>
        <v>24</v>
      </c>
      <c r="O94" s="1473">
        <v>0.5</v>
      </c>
      <c r="P94" s="1474">
        <v>0</v>
      </c>
      <c r="Q94" s="1474">
        <v>1</v>
      </c>
      <c r="R94" s="1473">
        <v>0.13</v>
      </c>
      <c r="S94" s="1477">
        <v>300000</v>
      </c>
    </row>
    <row r="95" spans="1:19" s="431" customFormat="1" ht="14.25" thickTop="1" thickBot="1" x14ac:dyDescent="0.25">
      <c r="A95" s="611"/>
      <c r="B95" s="408"/>
      <c r="C95" s="408"/>
      <c r="D95" s="408"/>
      <c r="E95" s="750"/>
      <c r="F95" s="748"/>
      <c r="G95" s="725"/>
      <c r="H95" s="726"/>
      <c r="I95" s="726"/>
      <c r="J95" s="726"/>
      <c r="K95" s="726"/>
      <c r="L95" s="727"/>
      <c r="M95" s="728"/>
      <c r="N95" s="2878"/>
      <c r="O95" s="735"/>
      <c r="P95" s="736"/>
      <c r="Q95" s="736"/>
      <c r="R95" s="735"/>
      <c r="S95" s="942"/>
    </row>
    <row r="96" spans="1:19" s="431" customFormat="1" ht="14.25" thickTop="1" thickBot="1" x14ac:dyDescent="0.25">
      <c r="A96" s="407" t="s">
        <v>854</v>
      </c>
      <c r="B96" s="109"/>
      <c r="C96" s="109"/>
      <c r="D96" s="1482"/>
      <c r="E96" s="750"/>
      <c r="F96" s="748"/>
      <c r="G96" s="725"/>
      <c r="H96" s="726"/>
      <c r="I96" s="726"/>
      <c r="J96" s="726"/>
      <c r="K96" s="726"/>
      <c r="L96" s="727"/>
      <c r="M96" s="728"/>
      <c r="N96" s="2878"/>
      <c r="O96" s="735"/>
      <c r="P96" s="736"/>
      <c r="Q96" s="736"/>
      <c r="R96" s="735"/>
      <c r="S96" s="942"/>
    </row>
    <row r="97" spans="1:19" s="1282" customFormat="1" ht="13.5" thickTop="1" x14ac:dyDescent="0.2">
      <c r="A97" s="1292" t="s">
        <v>811</v>
      </c>
      <c r="B97" s="1293" t="s">
        <v>7</v>
      </c>
      <c r="C97" s="1293" t="s">
        <v>44</v>
      </c>
      <c r="D97" s="1479" t="s">
        <v>8</v>
      </c>
      <c r="E97" s="1468">
        <f>SUM(F97:L97)</f>
        <v>1200020</v>
      </c>
      <c r="F97" s="1485"/>
      <c r="G97" s="1470"/>
      <c r="H97" s="1471">
        <v>0</v>
      </c>
      <c r="I97" s="1471">
        <v>91701</v>
      </c>
      <c r="J97" s="1471">
        <v>139049</v>
      </c>
      <c r="K97" s="1471">
        <v>908136</v>
      </c>
      <c r="L97" s="1486">
        <v>61134</v>
      </c>
      <c r="M97" s="1472"/>
      <c r="N97" s="2915">
        <f>'4. Jobs'!$G$99</f>
        <v>32</v>
      </c>
      <c r="O97" s="1473">
        <v>0.83</v>
      </c>
      <c r="P97" s="1474">
        <v>0.9</v>
      </c>
      <c r="Q97" s="1474">
        <v>0.95</v>
      </c>
      <c r="R97" s="1473">
        <v>0.26</v>
      </c>
      <c r="S97" s="1477">
        <v>163000</v>
      </c>
    </row>
    <row r="98" spans="1:19" s="1282" customFormat="1" ht="13.5" thickBot="1" x14ac:dyDescent="0.25">
      <c r="A98" s="1278" t="s">
        <v>859</v>
      </c>
      <c r="B98" s="1279" t="s">
        <v>14</v>
      </c>
      <c r="C98" s="1279" t="s">
        <v>132</v>
      </c>
      <c r="D98" s="1483" t="s">
        <v>8</v>
      </c>
      <c r="E98" s="750"/>
      <c r="F98" s="748"/>
      <c r="G98" s="725"/>
      <c r="H98" s="726"/>
      <c r="I98" s="726"/>
      <c r="J98" s="726"/>
      <c r="K98" s="726"/>
      <c r="L98" s="727"/>
      <c r="M98" s="728"/>
      <c r="N98" s="2878"/>
      <c r="O98" s="735"/>
      <c r="P98" s="736"/>
      <c r="Q98" s="736"/>
      <c r="R98" s="735"/>
      <c r="S98" s="942"/>
    </row>
    <row r="99" spans="1:19" s="431" customFormat="1" ht="14.25" thickTop="1" thickBot="1" x14ac:dyDescent="0.25">
      <c r="A99" s="803"/>
      <c r="B99" s="803"/>
      <c r="C99" s="803"/>
      <c r="D99" s="26"/>
      <c r="E99" s="750"/>
      <c r="F99" s="724"/>
      <c r="G99" s="725"/>
      <c r="H99" s="726"/>
      <c r="I99" s="726"/>
      <c r="J99" s="726"/>
      <c r="K99" s="726"/>
      <c r="L99" s="727"/>
      <c r="M99" s="728"/>
      <c r="N99" s="2878"/>
      <c r="O99" s="735"/>
      <c r="P99" s="736"/>
      <c r="Q99" s="736"/>
      <c r="R99" s="735"/>
      <c r="S99" s="942"/>
    </row>
    <row r="100" spans="1:19" s="431" customFormat="1" ht="14.25" thickTop="1" thickBot="1" x14ac:dyDescent="0.25">
      <c r="A100" s="407" t="s">
        <v>886</v>
      </c>
      <c r="B100" s="109"/>
      <c r="C100" s="109"/>
      <c r="D100" s="1482"/>
      <c r="E100" s="750"/>
      <c r="F100" s="724"/>
      <c r="G100" s="725"/>
      <c r="H100" s="726"/>
      <c r="I100" s="726"/>
      <c r="J100" s="726"/>
      <c r="K100" s="726"/>
      <c r="L100" s="727"/>
      <c r="M100" s="728"/>
      <c r="N100" s="2878"/>
      <c r="O100" s="735"/>
      <c r="P100" s="736"/>
      <c r="Q100" s="736"/>
      <c r="R100" s="735"/>
      <c r="S100" s="942"/>
    </row>
    <row r="101" spans="1:19" s="1282" customFormat="1" ht="13.5" thickTop="1" x14ac:dyDescent="0.2">
      <c r="A101" s="1292" t="s">
        <v>563</v>
      </c>
      <c r="B101" s="1293" t="s">
        <v>7</v>
      </c>
      <c r="C101" s="1293" t="s">
        <v>44</v>
      </c>
      <c r="D101" s="1479" t="s">
        <v>8</v>
      </c>
      <c r="E101" s="1468">
        <f>SUM(F101:L101)</f>
        <v>1195048</v>
      </c>
      <c r="F101" s="1469"/>
      <c r="G101" s="1470"/>
      <c r="H101" s="1471">
        <v>0</v>
      </c>
      <c r="I101" s="1471">
        <v>615428</v>
      </c>
      <c r="J101" s="1471">
        <v>74357</v>
      </c>
      <c r="K101" s="1471">
        <v>223172</v>
      </c>
      <c r="L101" s="1486">
        <v>282091</v>
      </c>
      <c r="M101" s="1472"/>
      <c r="N101" s="2915">
        <f>'4. Jobs'!$G$103</f>
        <v>29</v>
      </c>
      <c r="O101" s="1473">
        <v>0.5</v>
      </c>
      <c r="P101" s="1474">
        <v>0</v>
      </c>
      <c r="Q101" s="1474">
        <v>0.85</v>
      </c>
      <c r="R101" s="1473">
        <v>0.25</v>
      </c>
      <c r="S101" s="1477">
        <v>10500000</v>
      </c>
    </row>
    <row r="102" spans="1:19" s="2034" customFormat="1" x14ac:dyDescent="0.2">
      <c r="A102" s="2054" t="s">
        <v>910</v>
      </c>
      <c r="B102" s="2018" t="s">
        <v>14</v>
      </c>
      <c r="C102" s="2018" t="s">
        <v>132</v>
      </c>
      <c r="D102" s="2062" t="s">
        <v>8</v>
      </c>
      <c r="E102" s="749"/>
      <c r="F102" s="1034"/>
      <c r="G102" s="720"/>
      <c r="H102" s="721"/>
      <c r="I102" s="721"/>
      <c r="J102" s="721"/>
      <c r="K102" s="721"/>
      <c r="L102" s="722"/>
      <c r="M102" s="723"/>
      <c r="N102" s="2868"/>
      <c r="O102" s="733"/>
      <c r="P102" s="734"/>
      <c r="Q102" s="734"/>
      <c r="R102" s="733"/>
      <c r="S102" s="1993"/>
    </row>
    <row r="103" spans="1:19" s="1245" customFormat="1" ht="13.5" thickBot="1" x14ac:dyDescent="0.25">
      <c r="A103" s="1427" t="s">
        <v>911</v>
      </c>
      <c r="B103" s="1391" t="s">
        <v>14</v>
      </c>
      <c r="C103" s="1391" t="s">
        <v>132</v>
      </c>
      <c r="D103" s="1392" t="s">
        <v>8</v>
      </c>
      <c r="E103" s="749"/>
      <c r="F103" s="1034"/>
      <c r="G103" s="720"/>
      <c r="H103" s="721"/>
      <c r="I103" s="721"/>
      <c r="J103" s="721"/>
      <c r="K103" s="721"/>
      <c r="L103" s="722"/>
      <c r="M103" s="723"/>
      <c r="N103" s="2868"/>
      <c r="O103" s="733"/>
      <c r="P103" s="734"/>
      <c r="Q103" s="734"/>
      <c r="R103" s="733"/>
      <c r="S103" s="1993"/>
    </row>
    <row r="104" spans="1:19" s="431" customFormat="1" ht="14.25" thickTop="1" thickBot="1" x14ac:dyDescent="0.25">
      <c r="A104" s="1032"/>
      <c r="B104" s="408"/>
      <c r="C104" s="408"/>
      <c r="D104" s="408"/>
      <c r="E104" s="750"/>
      <c r="F104" s="724"/>
      <c r="G104" s="725"/>
      <c r="H104" s="726"/>
      <c r="I104" s="726"/>
      <c r="J104" s="726"/>
      <c r="K104" s="726"/>
      <c r="L104" s="727"/>
      <c r="M104" s="728"/>
      <c r="N104" s="2878"/>
      <c r="O104" s="735"/>
      <c r="P104" s="736"/>
      <c r="Q104" s="736"/>
      <c r="R104" s="735"/>
      <c r="S104" s="942"/>
    </row>
    <row r="105" spans="1:19" s="431" customFormat="1" ht="14.25" thickTop="1" thickBot="1" x14ac:dyDescent="0.25">
      <c r="A105" s="933" t="s">
        <v>895</v>
      </c>
      <c r="B105" s="934"/>
      <c r="C105" s="934"/>
      <c r="D105" s="941"/>
      <c r="E105" s="750"/>
      <c r="F105" s="724"/>
      <c r="G105" s="725"/>
      <c r="H105" s="726"/>
      <c r="I105" s="726"/>
      <c r="J105" s="726"/>
      <c r="K105" s="726"/>
      <c r="L105" s="727"/>
      <c r="M105" s="727"/>
      <c r="N105" s="2879"/>
      <c r="O105" s="735"/>
      <c r="P105" s="736"/>
      <c r="Q105" s="736"/>
      <c r="R105" s="735"/>
      <c r="S105" s="1961"/>
    </row>
    <row r="106" spans="1:19" s="1245" customFormat="1" x14ac:dyDescent="0.2">
      <c r="A106" s="1260" t="s">
        <v>912</v>
      </c>
      <c r="B106" s="1254" t="s">
        <v>14</v>
      </c>
      <c r="C106" s="1254" t="s">
        <v>132</v>
      </c>
      <c r="D106" s="1455" t="s">
        <v>8</v>
      </c>
      <c r="E106" s="749"/>
      <c r="F106" s="1034"/>
      <c r="G106" s="720"/>
      <c r="H106" s="721"/>
      <c r="I106" s="721"/>
      <c r="J106" s="721"/>
      <c r="K106" s="721"/>
      <c r="L106" s="721"/>
      <c r="M106" s="722"/>
      <c r="N106" s="2869"/>
      <c r="O106" s="733"/>
      <c r="P106" s="734"/>
      <c r="Q106" s="734"/>
      <c r="R106" s="733"/>
      <c r="S106" s="1036"/>
    </row>
    <row r="107" spans="1:19" s="1245" customFormat="1" ht="13.5" thickBot="1" x14ac:dyDescent="0.25">
      <c r="A107" s="1427" t="s">
        <v>129</v>
      </c>
      <c r="B107" s="1391" t="s">
        <v>14</v>
      </c>
      <c r="C107" s="1391" t="s">
        <v>132</v>
      </c>
      <c r="D107" s="1392" t="s">
        <v>8</v>
      </c>
      <c r="E107" s="749"/>
      <c r="F107" s="1034"/>
      <c r="G107" s="720"/>
      <c r="H107" s="721"/>
      <c r="I107" s="721"/>
      <c r="J107" s="721"/>
      <c r="K107" s="721"/>
      <c r="L107" s="722"/>
      <c r="M107" s="722"/>
      <c r="N107" s="2869"/>
      <c r="O107" s="733"/>
      <c r="P107" s="734"/>
      <c r="Q107" s="734"/>
      <c r="R107" s="733"/>
      <c r="S107" s="1036"/>
    </row>
    <row r="108" spans="1:19" s="431" customFormat="1" ht="14.25" thickTop="1" thickBot="1" x14ac:dyDescent="0.25">
      <c r="A108" s="1032"/>
      <c r="B108" s="408"/>
      <c r="C108" s="408"/>
      <c r="D108" s="408"/>
      <c r="E108" s="750"/>
      <c r="F108" s="1034"/>
      <c r="G108" s="1874"/>
      <c r="H108" s="744"/>
      <c r="I108" s="744"/>
      <c r="J108" s="744"/>
      <c r="K108" s="744"/>
      <c r="L108" s="744"/>
      <c r="M108" s="744"/>
      <c r="N108" s="2879"/>
      <c r="O108" s="735"/>
      <c r="P108" s="736"/>
      <c r="Q108" s="736"/>
      <c r="R108" s="735"/>
      <c r="S108" s="836"/>
    </row>
    <row r="109" spans="1:19" s="431" customFormat="1" ht="14.25" thickTop="1" thickBot="1" x14ac:dyDescent="0.25">
      <c r="A109" s="933" t="s">
        <v>955</v>
      </c>
      <c r="B109" s="934"/>
      <c r="C109" s="934"/>
      <c r="D109" s="1480"/>
      <c r="E109" s="750"/>
      <c r="F109" s="1034"/>
      <c r="G109" s="725"/>
      <c r="H109" s="726"/>
      <c r="I109" s="726"/>
      <c r="J109" s="726"/>
      <c r="K109" s="726"/>
      <c r="L109" s="727"/>
      <c r="M109" s="727"/>
      <c r="N109" s="2879"/>
      <c r="O109" s="735"/>
      <c r="P109" s="736"/>
      <c r="Q109" s="736"/>
      <c r="R109" s="735"/>
      <c r="S109" s="1961"/>
    </row>
    <row r="110" spans="1:19" s="2034" customFormat="1" ht="13.5" thickBot="1" x14ac:dyDescent="0.25">
      <c r="A110" s="2036" t="s">
        <v>957</v>
      </c>
      <c r="B110" s="2037" t="s">
        <v>14</v>
      </c>
      <c r="C110" s="2037" t="s">
        <v>132</v>
      </c>
      <c r="D110" s="2063" t="s">
        <v>8</v>
      </c>
      <c r="E110" s="749"/>
      <c r="F110" s="1034"/>
      <c r="G110" s="720"/>
      <c r="H110" s="721"/>
      <c r="I110" s="721"/>
      <c r="J110" s="721"/>
      <c r="K110" s="721"/>
      <c r="L110" s="722"/>
      <c r="M110" s="722"/>
      <c r="N110" s="2869"/>
      <c r="O110" s="733"/>
      <c r="P110" s="734"/>
      <c r="Q110" s="734"/>
      <c r="R110" s="733"/>
      <c r="S110" s="1036"/>
    </row>
    <row r="111" spans="1:19" s="431" customFormat="1" ht="14.25" thickTop="1" thickBot="1" x14ac:dyDescent="0.25">
      <c r="A111" s="1032"/>
      <c r="B111" s="408"/>
      <c r="C111" s="408"/>
      <c r="D111" s="408"/>
      <c r="E111" s="1872"/>
      <c r="F111" s="1034"/>
      <c r="G111" s="1874"/>
      <c r="H111" s="744"/>
      <c r="I111" s="744"/>
      <c r="J111" s="744"/>
      <c r="K111" s="744"/>
      <c r="L111" s="744"/>
      <c r="M111" s="744"/>
      <c r="N111" s="2879"/>
      <c r="O111" s="735"/>
      <c r="P111" s="736"/>
      <c r="Q111" s="736"/>
      <c r="R111" s="735"/>
      <c r="S111" s="836"/>
    </row>
    <row r="112" spans="1:19" s="431" customFormat="1" ht="14.25" thickTop="1" thickBot="1" x14ac:dyDescent="0.25">
      <c r="A112" s="407" t="s">
        <v>973</v>
      </c>
      <c r="B112" s="109"/>
      <c r="C112" s="109"/>
      <c r="D112" s="1482"/>
      <c r="E112" s="750"/>
      <c r="F112" s="748"/>
      <c r="G112" s="725"/>
      <c r="H112" s="726"/>
      <c r="I112" s="726"/>
      <c r="J112" s="726"/>
      <c r="K112" s="726"/>
      <c r="L112" s="727"/>
      <c r="M112" s="727"/>
      <c r="N112" s="2879"/>
      <c r="O112" s="735"/>
      <c r="P112" s="736"/>
      <c r="Q112" s="736"/>
      <c r="R112" s="735"/>
      <c r="S112" s="1961"/>
    </row>
    <row r="113" spans="1:19" s="1271" customFormat="1" ht="14.25" thickTop="1" thickBot="1" x14ac:dyDescent="0.25">
      <c r="A113" s="2058" t="s">
        <v>859</v>
      </c>
      <c r="B113" s="1583" t="s">
        <v>7</v>
      </c>
      <c r="C113" s="1583" t="s">
        <v>44</v>
      </c>
      <c r="D113" s="1417" t="s">
        <v>8</v>
      </c>
      <c r="E113" s="1903">
        <f>SUM(F113:L113)</f>
        <v>1190000</v>
      </c>
      <c r="F113" s="1904"/>
      <c r="G113" s="1905"/>
      <c r="H113" s="1496">
        <v>401000</v>
      </c>
      <c r="I113" s="1496">
        <v>447000</v>
      </c>
      <c r="J113" s="1496">
        <v>135000</v>
      </c>
      <c r="K113" s="1496">
        <v>207000</v>
      </c>
      <c r="L113" s="1906">
        <v>0</v>
      </c>
      <c r="M113" s="1906"/>
      <c r="N113" s="2882">
        <f>'4. Jobs'!$G$115</f>
        <v>35</v>
      </c>
      <c r="O113" s="1907">
        <v>0.85</v>
      </c>
      <c r="P113" s="1908">
        <v>0</v>
      </c>
      <c r="Q113" s="1908">
        <v>1</v>
      </c>
      <c r="R113" s="1907">
        <v>0.32</v>
      </c>
      <c r="S113" s="1962">
        <v>100000</v>
      </c>
    </row>
    <row r="114" spans="1:19" s="430" customFormat="1" ht="14.25" thickTop="1" thickBot="1" x14ac:dyDescent="0.25">
      <c r="A114" s="611"/>
      <c r="B114" s="26"/>
      <c r="C114" s="26"/>
      <c r="D114" s="26"/>
      <c r="E114" s="1944"/>
      <c r="F114" s="1034"/>
      <c r="G114" s="1945"/>
      <c r="H114" s="248"/>
      <c r="I114" s="248"/>
      <c r="J114" s="248"/>
      <c r="K114" s="248"/>
      <c r="L114" s="248"/>
      <c r="M114" s="248"/>
      <c r="N114" s="2846"/>
      <c r="O114" s="1950"/>
      <c r="P114" s="1951"/>
      <c r="Q114" s="1951"/>
      <c r="R114" s="1950"/>
      <c r="S114" s="1946"/>
    </row>
    <row r="115" spans="1:19" s="430" customFormat="1" ht="14.25" thickTop="1" thickBot="1" x14ac:dyDescent="0.25">
      <c r="A115" s="933" t="s">
        <v>987</v>
      </c>
      <c r="B115" s="934"/>
      <c r="C115" s="934"/>
      <c r="D115" s="936"/>
      <c r="E115" s="1947"/>
      <c r="F115" s="1034"/>
      <c r="G115" s="1948"/>
      <c r="H115" s="1500"/>
      <c r="I115" s="1500"/>
      <c r="J115" s="1500"/>
      <c r="K115" s="1500"/>
      <c r="L115" s="1949"/>
      <c r="M115" s="1949"/>
      <c r="N115" s="2846"/>
      <c r="O115" s="1950"/>
      <c r="P115" s="1951"/>
      <c r="Q115" s="1951"/>
      <c r="R115" s="1950"/>
      <c r="S115" s="1963"/>
    </row>
    <row r="116" spans="1:19" s="1932" customFormat="1" ht="13.5" thickBot="1" x14ac:dyDescent="0.25">
      <c r="A116" s="1952" t="s">
        <v>988</v>
      </c>
      <c r="B116" s="1953" t="s">
        <v>7</v>
      </c>
      <c r="C116" s="1953" t="s">
        <v>44</v>
      </c>
      <c r="D116" s="1954" t="s">
        <v>8</v>
      </c>
      <c r="E116" s="1955">
        <f>SUM(F116:M116)</f>
        <v>4800000</v>
      </c>
      <c r="F116" s="1956"/>
      <c r="G116" s="1957"/>
      <c r="H116" s="1928"/>
      <c r="I116" s="1928">
        <v>1310000</v>
      </c>
      <c r="J116" s="1928">
        <v>1100000</v>
      </c>
      <c r="K116" s="1928">
        <v>970000</v>
      </c>
      <c r="L116" s="1958">
        <v>970000</v>
      </c>
      <c r="M116" s="1958">
        <v>450000</v>
      </c>
      <c r="N116" s="2899">
        <f>'4. Jobs'!$G$118</f>
        <v>70</v>
      </c>
      <c r="O116" s="1959">
        <v>0.85</v>
      </c>
      <c r="P116" s="1960">
        <v>0.95</v>
      </c>
      <c r="Q116" s="1960">
        <v>0.97</v>
      </c>
      <c r="R116" s="1959">
        <v>0.09</v>
      </c>
      <c r="S116" s="1964"/>
    </row>
    <row r="117" spans="1:19" s="431" customFormat="1" ht="14.25" thickTop="1" thickBot="1" x14ac:dyDescent="0.25">
      <c r="A117" s="1032"/>
      <c r="B117" s="408"/>
      <c r="C117" s="408"/>
      <c r="D117" s="408"/>
      <c r="E117" s="750"/>
      <c r="F117" s="724"/>
      <c r="G117" s="725"/>
      <c r="H117" s="726"/>
      <c r="I117" s="726"/>
      <c r="J117" s="726"/>
      <c r="K117" s="726"/>
      <c r="L117" s="727"/>
      <c r="M117" s="728"/>
      <c r="N117" s="2878"/>
      <c r="O117" s="735"/>
      <c r="P117" s="736"/>
      <c r="Q117" s="736"/>
      <c r="R117" s="735"/>
      <c r="S117" s="942"/>
    </row>
    <row r="118" spans="1:19" s="431" customFormat="1" ht="14.25" thickTop="1" thickBot="1" x14ac:dyDescent="0.25">
      <c r="A118" s="933" t="s">
        <v>1004</v>
      </c>
      <c r="B118" s="934"/>
      <c r="C118" s="934"/>
      <c r="D118" s="941"/>
      <c r="E118" s="750"/>
      <c r="F118" s="724"/>
      <c r="G118" s="725"/>
      <c r="H118" s="726"/>
      <c r="I118" s="726"/>
      <c r="J118" s="726"/>
      <c r="K118" s="726"/>
      <c r="L118" s="727"/>
      <c r="M118" s="727"/>
      <c r="N118" s="2879"/>
      <c r="O118" s="735"/>
      <c r="P118" s="736"/>
      <c r="Q118" s="736"/>
      <c r="R118" s="735"/>
      <c r="S118" s="1961"/>
    </row>
    <row r="119" spans="1:19" s="1932" customFormat="1" x14ac:dyDescent="0.2">
      <c r="A119" s="2065" t="s">
        <v>910</v>
      </c>
      <c r="B119" s="2052" t="s">
        <v>7</v>
      </c>
      <c r="C119" s="2052" t="s">
        <v>44</v>
      </c>
      <c r="D119" s="2053" t="s">
        <v>8</v>
      </c>
      <c r="E119" s="1955">
        <f>SUM(F119:M119)</f>
        <v>4621819</v>
      </c>
      <c r="F119" s="2059"/>
      <c r="G119" s="1957"/>
      <c r="H119" s="1928"/>
      <c r="I119" s="1928">
        <v>903476</v>
      </c>
      <c r="J119" s="1928">
        <v>1019941</v>
      </c>
      <c r="K119" s="1928">
        <v>964123</v>
      </c>
      <c r="L119" s="1958">
        <v>752520</v>
      </c>
      <c r="M119" s="2060">
        <v>981759</v>
      </c>
      <c r="N119" s="2901">
        <f>'4. Jobs'!$G$122</f>
        <v>132</v>
      </c>
      <c r="O119" s="1959">
        <v>0.7</v>
      </c>
      <c r="P119" s="1960">
        <v>0.98</v>
      </c>
      <c r="Q119" s="1960">
        <v>0.98</v>
      </c>
      <c r="R119" s="1959">
        <v>0.2</v>
      </c>
      <c r="S119" s="2061">
        <v>650000</v>
      </c>
    </row>
    <row r="120" spans="1:19" s="1932" customFormat="1" x14ac:dyDescent="0.2">
      <c r="A120" s="1934" t="s">
        <v>957</v>
      </c>
      <c r="B120" s="1926" t="s">
        <v>7</v>
      </c>
      <c r="C120" s="1926" t="s">
        <v>44</v>
      </c>
      <c r="D120" s="1974" t="s">
        <v>8</v>
      </c>
      <c r="E120" s="1955">
        <f>SUM(F120:M120)</f>
        <v>4283618</v>
      </c>
      <c r="F120" s="1956"/>
      <c r="G120" s="1957"/>
      <c r="H120" s="1928"/>
      <c r="I120" s="1928">
        <v>322767</v>
      </c>
      <c r="J120" s="1928">
        <v>1075268</v>
      </c>
      <c r="K120" s="1928">
        <v>1584801</v>
      </c>
      <c r="L120" s="1958">
        <v>502469</v>
      </c>
      <c r="M120" s="1958">
        <v>798313</v>
      </c>
      <c r="N120" s="2899">
        <f>'4. Jobs'!$G$121</f>
        <v>109</v>
      </c>
      <c r="O120" s="1959">
        <v>1</v>
      </c>
      <c r="P120" s="1960">
        <v>0.56999999999999995</v>
      </c>
      <c r="Q120" s="1960">
        <v>0.75</v>
      </c>
      <c r="R120" s="1959">
        <v>0.1</v>
      </c>
      <c r="S120" s="1964">
        <v>750000</v>
      </c>
    </row>
    <row r="121" spans="1:19" s="1271" customFormat="1" x14ac:dyDescent="0.2">
      <c r="A121" s="1263" t="s">
        <v>756</v>
      </c>
      <c r="B121" s="1264" t="s">
        <v>7</v>
      </c>
      <c r="C121" s="1264" t="s">
        <v>44</v>
      </c>
      <c r="D121" s="1426" t="s">
        <v>8</v>
      </c>
      <c r="E121" s="1903">
        <f>SUM(F121:L121)</f>
        <v>540800</v>
      </c>
      <c r="F121" s="1990"/>
      <c r="G121" s="1905"/>
      <c r="H121" s="1496">
        <v>0</v>
      </c>
      <c r="I121" s="1496">
        <v>405600</v>
      </c>
      <c r="J121" s="1496">
        <v>81120</v>
      </c>
      <c r="K121" s="1496">
        <v>54080</v>
      </c>
      <c r="L121" s="1906">
        <v>0</v>
      </c>
      <c r="M121" s="1991"/>
      <c r="N121" s="2884">
        <f>'4. Jobs'!$G$123</f>
        <v>20</v>
      </c>
      <c r="O121" s="1907">
        <v>0.7</v>
      </c>
      <c r="P121" s="1908">
        <v>0</v>
      </c>
      <c r="Q121" s="1908">
        <v>1</v>
      </c>
      <c r="R121" s="1907">
        <v>0.2</v>
      </c>
      <c r="S121" s="1992">
        <v>5000000</v>
      </c>
    </row>
    <row r="122" spans="1:19" s="1271" customFormat="1" x14ac:dyDescent="0.2">
      <c r="A122" s="1263" t="s">
        <v>912</v>
      </c>
      <c r="B122" s="1264" t="s">
        <v>7</v>
      </c>
      <c r="C122" s="1264" t="s">
        <v>44</v>
      </c>
      <c r="D122" s="1426" t="s">
        <v>8</v>
      </c>
      <c r="E122" s="1903">
        <f>SUM(F122:L122)</f>
        <v>3600000</v>
      </c>
      <c r="F122" s="1990"/>
      <c r="G122" s="1905"/>
      <c r="H122" s="1496">
        <v>720000</v>
      </c>
      <c r="I122" s="1496">
        <v>720000</v>
      </c>
      <c r="J122" s="1496">
        <v>720000</v>
      </c>
      <c r="K122" s="1496">
        <v>720000</v>
      </c>
      <c r="L122" s="1496">
        <v>720000</v>
      </c>
      <c r="M122" s="1906"/>
      <c r="N122" s="2882">
        <f>'4. Jobs'!$G$125</f>
        <v>60</v>
      </c>
      <c r="O122" s="1907">
        <v>0.7</v>
      </c>
      <c r="P122" s="1908">
        <v>0.96</v>
      </c>
      <c r="Q122" s="1908">
        <v>1</v>
      </c>
      <c r="R122" s="1907">
        <v>0.28999999999999998</v>
      </c>
      <c r="S122" s="1962">
        <v>2700000</v>
      </c>
    </row>
    <row r="123" spans="1:19" s="1271" customFormat="1" x14ac:dyDescent="0.2">
      <c r="A123" s="1263" t="s">
        <v>911</v>
      </c>
      <c r="B123" s="1264" t="s">
        <v>7</v>
      </c>
      <c r="C123" s="1264" t="s">
        <v>44</v>
      </c>
      <c r="D123" s="1426" t="s">
        <v>8</v>
      </c>
      <c r="E123" s="1903">
        <f>SUM(F123:L123)</f>
        <v>674000</v>
      </c>
      <c r="F123" s="1990"/>
      <c r="G123" s="1905"/>
      <c r="H123" s="1496">
        <v>106000</v>
      </c>
      <c r="I123" s="1496">
        <v>361000</v>
      </c>
      <c r="J123" s="1496">
        <v>207000</v>
      </c>
      <c r="K123" s="1496">
        <v>0</v>
      </c>
      <c r="L123" s="1906">
        <v>0</v>
      </c>
      <c r="M123" s="1991"/>
      <c r="N123" s="2884">
        <f>'4. Jobs'!$G$124</f>
        <v>16</v>
      </c>
      <c r="O123" s="1907">
        <v>0.65</v>
      </c>
      <c r="P123" s="1908">
        <v>0</v>
      </c>
      <c r="Q123" s="1908">
        <v>0.9</v>
      </c>
      <c r="R123" s="1907">
        <v>0.4</v>
      </c>
      <c r="S123" s="1992">
        <v>200000</v>
      </c>
    </row>
    <row r="124" spans="1:19" s="1271" customFormat="1" x14ac:dyDescent="0.2">
      <c r="A124" s="1263" t="s">
        <v>129</v>
      </c>
      <c r="B124" s="1264" t="s">
        <v>7</v>
      </c>
      <c r="C124" s="1264" t="s">
        <v>44</v>
      </c>
      <c r="D124" s="1426" t="s">
        <v>8</v>
      </c>
      <c r="E124" s="1903">
        <f>SUM(F124:L124)</f>
        <v>9225000</v>
      </c>
      <c r="F124" s="1990"/>
      <c r="G124" s="1905"/>
      <c r="H124" s="1496">
        <v>1725000</v>
      </c>
      <c r="I124" s="1496">
        <v>2775000</v>
      </c>
      <c r="J124" s="1496">
        <v>2100000</v>
      </c>
      <c r="K124" s="1496">
        <v>1725000</v>
      </c>
      <c r="L124" s="1906">
        <v>900000</v>
      </c>
      <c r="M124" s="1906"/>
      <c r="N124" s="2882">
        <f>'4. Jobs'!$G$126</f>
        <v>123</v>
      </c>
      <c r="O124" s="1907">
        <v>0.9</v>
      </c>
      <c r="P124" s="1908">
        <v>0.78</v>
      </c>
      <c r="Q124" s="1908">
        <v>0.8</v>
      </c>
      <c r="R124" s="1907">
        <v>0.21</v>
      </c>
      <c r="S124" s="1962">
        <v>30000000</v>
      </c>
    </row>
    <row r="125" spans="1:19" s="1251" customFormat="1" ht="13.5" thickBot="1" x14ac:dyDescent="0.25">
      <c r="A125" s="2113" t="s">
        <v>1050</v>
      </c>
      <c r="B125" s="2114" t="s">
        <v>14</v>
      </c>
      <c r="C125" s="2114" t="s">
        <v>44</v>
      </c>
      <c r="D125" s="2115" t="s">
        <v>8</v>
      </c>
      <c r="E125" s="2125">
        <f>SUM(F125:L125)</f>
        <v>3461917</v>
      </c>
      <c r="F125" s="2126"/>
      <c r="G125" s="2127"/>
      <c r="H125" s="2128"/>
      <c r="I125" s="2128">
        <v>1215103</v>
      </c>
      <c r="J125" s="2128">
        <v>1084737</v>
      </c>
      <c r="K125" s="2128">
        <v>1162077</v>
      </c>
      <c r="L125" s="2128">
        <v>0</v>
      </c>
      <c r="M125" s="2129">
        <v>0</v>
      </c>
      <c r="N125" s="2917">
        <f>'4. Jobs'!$G$127</f>
        <v>72</v>
      </c>
      <c r="O125" s="2130">
        <v>0.8</v>
      </c>
      <c r="P125" s="2131">
        <v>0.98</v>
      </c>
      <c r="Q125" s="2131">
        <v>0.99</v>
      </c>
      <c r="R125" s="2130">
        <v>0.15</v>
      </c>
      <c r="S125" s="2132">
        <v>2143000</v>
      </c>
    </row>
    <row r="126" spans="1:19" s="431" customFormat="1" ht="13.5" thickTop="1" x14ac:dyDescent="0.2">
      <c r="A126" s="1032"/>
      <c r="B126" s="408"/>
      <c r="C126" s="408"/>
      <c r="D126" s="408"/>
      <c r="E126" s="1872"/>
      <c r="F126" s="1873"/>
      <c r="G126" s="1874"/>
      <c r="H126" s="744"/>
      <c r="I126" s="744"/>
      <c r="J126" s="744"/>
      <c r="K126" s="744"/>
      <c r="L126" s="744"/>
      <c r="M126" s="744"/>
      <c r="N126" s="2863"/>
      <c r="O126" s="631"/>
      <c r="P126" s="1875"/>
      <c r="Q126" s="1875"/>
      <c r="R126" s="631"/>
      <c r="S126" s="836"/>
    </row>
    <row r="127" spans="1:19" s="431" customFormat="1" x14ac:dyDescent="0.2">
      <c r="A127" s="1032"/>
      <c r="B127" s="408"/>
      <c r="C127" s="408"/>
      <c r="D127" s="408"/>
      <c r="E127" s="1872"/>
      <c r="F127" s="1873"/>
      <c r="G127" s="1874"/>
      <c r="H127" s="744"/>
      <c r="I127" s="744"/>
      <c r="J127" s="744"/>
      <c r="K127" s="744"/>
      <c r="L127" s="744"/>
      <c r="M127" s="744"/>
      <c r="N127" s="2863"/>
      <c r="O127" s="631"/>
      <c r="P127" s="1875"/>
      <c r="Q127" s="1875"/>
      <c r="R127" s="631"/>
      <c r="S127" s="836"/>
    </row>
    <row r="128" spans="1:19" s="431" customFormat="1" x14ac:dyDescent="0.2">
      <c r="A128" s="1032"/>
      <c r="B128" s="408"/>
      <c r="C128" s="408"/>
      <c r="D128" s="408"/>
      <c r="E128" s="1872"/>
      <c r="F128" s="1873"/>
      <c r="G128" s="1874"/>
      <c r="H128" s="744"/>
      <c r="I128" s="744"/>
      <c r="J128" s="744"/>
      <c r="K128" s="744"/>
      <c r="L128" s="744"/>
      <c r="M128" s="744"/>
      <c r="N128" s="2863"/>
      <c r="O128" s="631"/>
      <c r="P128" s="1875"/>
      <c r="Q128" s="1875"/>
      <c r="R128" s="631"/>
      <c r="S128" s="836"/>
    </row>
    <row r="129" spans="1:19" s="431" customFormat="1" x14ac:dyDescent="0.2">
      <c r="A129" s="1032"/>
      <c r="B129" s="408"/>
      <c r="C129" s="408"/>
      <c r="D129" s="408"/>
      <c r="E129" s="1872"/>
      <c r="F129" s="1873"/>
      <c r="G129" s="1874"/>
      <c r="H129" s="744"/>
      <c r="I129" s="744"/>
      <c r="J129" s="744"/>
      <c r="K129" s="744"/>
      <c r="L129" s="744"/>
      <c r="M129" s="744"/>
      <c r="N129" s="2863"/>
      <c r="O129" s="631"/>
      <c r="P129" s="1875"/>
      <c r="Q129" s="1875"/>
      <c r="R129" s="631"/>
      <c r="S129" s="836"/>
    </row>
    <row r="130" spans="1:19" x14ac:dyDescent="0.2">
      <c r="A130" t="s">
        <v>104</v>
      </c>
      <c r="E130" s="84">
        <f>SUM(E7:E129)</f>
        <v>84024096</v>
      </c>
      <c r="F130" s="84">
        <f t="shared" ref="F130:N130" si="0">SUM(F7:F129)</f>
        <v>4916028</v>
      </c>
      <c r="G130" s="84">
        <f t="shared" si="0"/>
        <v>12061247</v>
      </c>
      <c r="H130" s="84">
        <f t="shared" si="0"/>
        <v>14383365</v>
      </c>
      <c r="I130" s="84">
        <f t="shared" si="0"/>
        <v>18274729</v>
      </c>
      <c r="J130" s="84">
        <f t="shared" si="0"/>
        <v>16426175</v>
      </c>
      <c r="K130" s="84">
        <f t="shared" si="0"/>
        <v>10927121</v>
      </c>
      <c r="L130" s="84">
        <f t="shared" si="0"/>
        <v>4805359</v>
      </c>
      <c r="M130" s="84">
        <f t="shared" si="0"/>
        <v>2230072</v>
      </c>
      <c r="N130" s="2918">
        <f t="shared" si="0"/>
        <v>1720</v>
      </c>
      <c r="O130" s="85">
        <f>AVERAGE(O7:O129)</f>
        <v>0.70740740740740715</v>
      </c>
      <c r="P130" s="85">
        <f>AVERAGE(P7:P129)</f>
        <v>0.46074074074074073</v>
      </c>
      <c r="Q130" s="85">
        <f>AVERAGE(Q7:Q129)</f>
        <v>0.90962962962962945</v>
      </c>
      <c r="R130" s="85">
        <f>AVERAGE(R7:R129)</f>
        <v>0.222962962962963</v>
      </c>
      <c r="S130" s="315">
        <f>SUM(S7:S129)</f>
        <v>101774415</v>
      </c>
    </row>
    <row r="131" spans="1:19" x14ac:dyDescent="0.2">
      <c r="E131" s="84">
        <f>SUM(F130:M130)</f>
        <v>84024096</v>
      </c>
      <c r="F131" s="76" t="s">
        <v>105</v>
      </c>
    </row>
    <row r="132" spans="1:19" x14ac:dyDescent="0.2">
      <c r="N132" s="2225" t="s">
        <v>1131</v>
      </c>
      <c r="O132" s="2226">
        <f>COUNTIF($O$6:$O$125, "&gt;0%") - COUNTIF($O$6:$O$125,"&gt;20%")</f>
        <v>0</v>
      </c>
    </row>
    <row r="133" spans="1:19" x14ac:dyDescent="0.2">
      <c r="N133" s="2225" t="s">
        <v>1132</v>
      </c>
      <c r="O133" s="2226">
        <f>COUNTIF($O$6:$O$125, "&gt;21%") - COUNTIF($O$6:$O$125,"&gt;40%")</f>
        <v>1</v>
      </c>
    </row>
    <row r="134" spans="1:19" x14ac:dyDescent="0.2">
      <c r="A134" s="413" t="s">
        <v>1238</v>
      </c>
      <c r="N134" s="2225" t="s">
        <v>1133</v>
      </c>
      <c r="O134" s="2226">
        <f>COUNTIF($O$6:$O$125, "&gt;41%") - COUNTIF($O$6:$O$125,"&gt;60%")</f>
        <v>7</v>
      </c>
    </row>
    <row r="135" spans="1:19" x14ac:dyDescent="0.2">
      <c r="A135" s="2713">
        <v>2007</v>
      </c>
      <c r="F135" s="587">
        <f>SUM(F24:F39)</f>
        <v>4916028</v>
      </c>
      <c r="G135" s="587">
        <f t="shared" ref="G135:M135" si="1">SUM(G24:G39)</f>
        <v>9872410</v>
      </c>
      <c r="H135" s="587">
        <f t="shared" si="1"/>
        <v>4815029</v>
      </c>
      <c r="I135" s="587">
        <f t="shared" si="1"/>
        <v>4957445</v>
      </c>
      <c r="J135" s="587">
        <f t="shared" si="1"/>
        <v>4928308</v>
      </c>
      <c r="K135" s="587">
        <f t="shared" si="1"/>
        <v>0</v>
      </c>
      <c r="L135" s="587">
        <f t="shared" si="1"/>
        <v>0</v>
      </c>
      <c r="M135" s="587">
        <f t="shared" si="1"/>
        <v>0</v>
      </c>
      <c r="N135" s="2225" t="s">
        <v>1134</v>
      </c>
      <c r="O135" s="2226">
        <f>COUNTIF($O$6:$O$125, "&gt;61%") - COUNTIF($O$6:$O$125,"&gt;80%")</f>
        <v>11</v>
      </c>
    </row>
    <row r="136" spans="1:19" x14ac:dyDescent="0.2">
      <c r="A136" s="2713">
        <v>2008</v>
      </c>
      <c r="F136" s="587"/>
      <c r="G136" s="587">
        <f>SUM(G50:G75)</f>
        <v>2188837</v>
      </c>
      <c r="H136" s="587">
        <f t="shared" ref="H136:M136" si="2">SUM(H50:H75)</f>
        <v>1317000</v>
      </c>
      <c r="I136" s="587">
        <f t="shared" si="2"/>
        <v>744000</v>
      </c>
      <c r="J136" s="587">
        <f t="shared" si="2"/>
        <v>585000</v>
      </c>
      <c r="K136" s="587">
        <f t="shared" si="2"/>
        <v>530000</v>
      </c>
      <c r="L136" s="587">
        <f t="shared" si="2"/>
        <v>0</v>
      </c>
      <c r="M136" s="587">
        <f t="shared" si="2"/>
        <v>0</v>
      </c>
      <c r="N136" s="2225" t="s">
        <v>1135</v>
      </c>
      <c r="O136" s="2226">
        <f>COUNTIF($O$6:$O$125, "&gt;81%")</f>
        <v>8</v>
      </c>
    </row>
  </sheetData>
  <phoneticPr fontId="9" type="noConversion"/>
  <printOptions gridLines="1"/>
  <pageMargins left="0.75" right="0.75" top="1" bottom="1" header="0.5" footer="0.5"/>
  <pageSetup paperSize="17" scale="4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dimension ref="A1:G247"/>
  <sheetViews>
    <sheetView workbookViewId="0">
      <selection sqref="A1:E1"/>
    </sheetView>
  </sheetViews>
  <sheetFormatPr defaultRowHeight="12.75" x14ac:dyDescent="0.2"/>
  <cols>
    <col min="1" max="1" width="34.140625" customWidth="1"/>
    <col min="2" max="2" width="27.28515625" customWidth="1"/>
    <col min="3" max="3" width="15.7109375" customWidth="1"/>
    <col min="4" max="4" width="13.28515625" customWidth="1"/>
    <col min="5" max="5" width="23.42578125" customWidth="1"/>
    <col min="7" max="7" width="11.140625" bestFit="1" customWidth="1"/>
  </cols>
  <sheetData>
    <row r="1" spans="1:5" ht="27" customHeight="1" x14ac:dyDescent="0.25">
      <c r="A1" s="4316" t="s">
        <v>373</v>
      </c>
      <c r="B1" s="4317"/>
      <c r="C1" s="4317"/>
      <c r="D1" s="4317"/>
      <c r="E1" s="4317"/>
    </row>
    <row r="3" spans="1:5" ht="15.75" x14ac:dyDescent="0.25">
      <c r="A3" s="97" t="s">
        <v>140</v>
      </c>
      <c r="B3" s="97" t="s">
        <v>143</v>
      </c>
      <c r="C3" s="97" t="s">
        <v>141</v>
      </c>
      <c r="D3" s="97" t="s">
        <v>35</v>
      </c>
      <c r="E3" s="97" t="s">
        <v>142</v>
      </c>
    </row>
    <row r="5" spans="1:5" x14ac:dyDescent="0.2">
      <c r="A5" s="39"/>
      <c r="B5" s="39"/>
      <c r="D5" s="39"/>
    </row>
    <row r="6" spans="1:5" x14ac:dyDescent="0.2">
      <c r="A6" s="431" t="s">
        <v>717</v>
      </c>
      <c r="B6" s="431" t="s">
        <v>690</v>
      </c>
      <c r="C6" s="39">
        <v>60000</v>
      </c>
      <c r="D6" s="39">
        <v>6</v>
      </c>
      <c r="E6" s="39">
        <f t="shared" ref="E6:E37" si="0">C6*D6</f>
        <v>360000</v>
      </c>
    </row>
    <row r="7" spans="1:5" x14ac:dyDescent="0.2">
      <c r="A7" s="431" t="s">
        <v>771</v>
      </c>
      <c r="B7" s="431" t="s">
        <v>766</v>
      </c>
      <c r="C7" s="39">
        <v>46000</v>
      </c>
      <c r="D7" s="431">
        <v>1</v>
      </c>
      <c r="E7" s="39">
        <f t="shared" si="0"/>
        <v>46000</v>
      </c>
    </row>
    <row r="8" spans="1:5" x14ac:dyDescent="0.2">
      <c r="A8" s="431" t="s">
        <v>991</v>
      </c>
      <c r="B8" s="431" t="s">
        <v>990</v>
      </c>
      <c r="C8" s="431">
        <v>60000</v>
      </c>
      <c r="D8" s="431">
        <v>19</v>
      </c>
      <c r="E8" s="431">
        <f t="shared" si="0"/>
        <v>1140000</v>
      </c>
    </row>
    <row r="9" spans="1:5" x14ac:dyDescent="0.2">
      <c r="A9" s="431" t="s">
        <v>536</v>
      </c>
      <c r="B9" s="431" t="s">
        <v>531</v>
      </c>
      <c r="C9" s="39">
        <v>39750</v>
      </c>
      <c r="D9" s="39">
        <v>6</v>
      </c>
      <c r="E9" s="39">
        <f t="shared" si="0"/>
        <v>238500</v>
      </c>
    </row>
    <row r="10" spans="1:5" x14ac:dyDescent="0.2">
      <c r="A10" s="431" t="s">
        <v>646</v>
      </c>
      <c r="B10" s="431" t="s">
        <v>639</v>
      </c>
      <c r="C10" s="39">
        <v>31500</v>
      </c>
      <c r="D10" s="39">
        <v>3</v>
      </c>
      <c r="E10" s="39">
        <f t="shared" si="0"/>
        <v>94500</v>
      </c>
    </row>
    <row r="11" spans="1:5" x14ac:dyDescent="0.2">
      <c r="A11" s="431" t="s">
        <v>975</v>
      </c>
      <c r="B11" s="431" t="s">
        <v>864</v>
      </c>
      <c r="C11" s="431">
        <v>35000</v>
      </c>
      <c r="D11" s="431">
        <v>1</v>
      </c>
      <c r="E11" s="431">
        <f t="shared" si="0"/>
        <v>35000</v>
      </c>
    </row>
    <row r="12" spans="1:5" x14ac:dyDescent="0.2">
      <c r="A12" s="448" t="s">
        <v>144</v>
      </c>
      <c r="B12" s="448" t="s">
        <v>124</v>
      </c>
      <c r="C12" s="448">
        <v>57000</v>
      </c>
      <c r="D12" s="448">
        <v>73</v>
      </c>
      <c r="E12" s="448">
        <f t="shared" si="0"/>
        <v>4161000</v>
      </c>
    </row>
    <row r="13" spans="1:5" x14ac:dyDescent="0.2">
      <c r="A13" s="448" t="s">
        <v>144</v>
      </c>
      <c r="B13" s="448" t="s">
        <v>125</v>
      </c>
      <c r="C13" s="448">
        <v>33280</v>
      </c>
      <c r="D13" s="448">
        <v>2</v>
      </c>
      <c r="E13" s="448">
        <f t="shared" si="0"/>
        <v>66560</v>
      </c>
    </row>
    <row r="14" spans="1:5" x14ac:dyDescent="0.2">
      <c r="A14" s="448" t="s">
        <v>144</v>
      </c>
      <c r="B14" s="431" t="s">
        <v>639</v>
      </c>
      <c r="C14" s="431">
        <v>35000</v>
      </c>
      <c r="D14" s="431">
        <v>1</v>
      </c>
      <c r="E14" s="431">
        <f t="shared" si="0"/>
        <v>35000</v>
      </c>
    </row>
    <row r="15" spans="1:5" x14ac:dyDescent="0.2">
      <c r="A15" s="431" t="s">
        <v>1017</v>
      </c>
      <c r="B15" s="431" t="s">
        <v>759</v>
      </c>
      <c r="C15" s="431">
        <v>36000</v>
      </c>
      <c r="D15" s="431">
        <v>3</v>
      </c>
      <c r="E15" s="431">
        <f t="shared" si="0"/>
        <v>108000</v>
      </c>
    </row>
    <row r="16" spans="1:5" x14ac:dyDescent="0.2">
      <c r="A16" s="448" t="s">
        <v>144</v>
      </c>
      <c r="B16" s="448" t="s">
        <v>129</v>
      </c>
      <c r="C16" s="448">
        <v>45000</v>
      </c>
      <c r="D16" s="448">
        <v>8</v>
      </c>
      <c r="E16" s="448">
        <f t="shared" si="0"/>
        <v>360000</v>
      </c>
    </row>
    <row r="17" spans="1:5" x14ac:dyDescent="0.2">
      <c r="A17" s="431" t="s">
        <v>144</v>
      </c>
      <c r="B17" s="431" t="s">
        <v>907</v>
      </c>
      <c r="C17" s="431">
        <v>56376</v>
      </c>
      <c r="D17" s="431">
        <v>21</v>
      </c>
      <c r="E17" s="431">
        <f t="shared" si="0"/>
        <v>1183896</v>
      </c>
    </row>
    <row r="18" spans="1:5" x14ac:dyDescent="0.2">
      <c r="A18" s="448" t="s">
        <v>144</v>
      </c>
      <c r="B18" s="431" t="s">
        <v>813</v>
      </c>
      <c r="C18" s="431">
        <v>54805</v>
      </c>
      <c r="D18" s="431">
        <v>5</v>
      </c>
      <c r="E18" s="431">
        <f t="shared" si="0"/>
        <v>274025</v>
      </c>
    </row>
    <row r="19" spans="1:5" s="77" customFormat="1" x14ac:dyDescent="0.2">
      <c r="A19" s="431" t="s">
        <v>144</v>
      </c>
      <c r="B19" s="431" t="s">
        <v>703</v>
      </c>
      <c r="C19" s="431">
        <v>62625</v>
      </c>
      <c r="D19" s="431">
        <v>8</v>
      </c>
      <c r="E19" s="431">
        <f t="shared" si="0"/>
        <v>501000</v>
      </c>
    </row>
    <row r="20" spans="1:5" s="77" customFormat="1" x14ac:dyDescent="0.2">
      <c r="A20" s="431" t="s">
        <v>144</v>
      </c>
      <c r="B20" s="431" t="s">
        <v>930</v>
      </c>
      <c r="C20" s="431">
        <v>65000</v>
      </c>
      <c r="D20" s="431">
        <v>1</v>
      </c>
      <c r="E20" s="431">
        <f t="shared" si="0"/>
        <v>65000</v>
      </c>
    </row>
    <row r="21" spans="1:5" s="77" customFormat="1" x14ac:dyDescent="0.2">
      <c r="A21" s="431" t="s">
        <v>144</v>
      </c>
      <c r="B21" s="431" t="s">
        <v>1051</v>
      </c>
      <c r="C21" s="431">
        <v>73689</v>
      </c>
      <c r="D21" s="431">
        <v>2</v>
      </c>
      <c r="E21" s="431">
        <f t="shared" si="0"/>
        <v>147378</v>
      </c>
    </row>
    <row r="22" spans="1:5" s="77" customFormat="1" x14ac:dyDescent="0.2">
      <c r="A22" s="448" t="s">
        <v>146</v>
      </c>
      <c r="B22" s="448" t="s">
        <v>425</v>
      </c>
      <c r="C22" s="448">
        <v>32000</v>
      </c>
      <c r="D22" s="448">
        <v>1</v>
      </c>
      <c r="E22" s="448">
        <f t="shared" si="0"/>
        <v>32000</v>
      </c>
    </row>
    <row r="23" spans="1:5" s="77" customFormat="1" x14ac:dyDescent="0.2">
      <c r="A23" s="431" t="s">
        <v>924</v>
      </c>
      <c r="B23" s="431" t="s">
        <v>908</v>
      </c>
      <c r="C23" s="431">
        <v>55000</v>
      </c>
      <c r="D23" s="431">
        <v>1</v>
      </c>
      <c r="E23" s="431">
        <f t="shared" si="0"/>
        <v>55000</v>
      </c>
    </row>
    <row r="24" spans="1:5" s="77" customFormat="1" x14ac:dyDescent="0.2">
      <c r="A24" s="431" t="s">
        <v>927</v>
      </c>
      <c r="B24" s="431" t="s">
        <v>908</v>
      </c>
      <c r="C24" s="431">
        <v>37000</v>
      </c>
      <c r="D24" s="431">
        <v>1</v>
      </c>
      <c r="E24" s="431">
        <f t="shared" si="0"/>
        <v>37000</v>
      </c>
    </row>
    <row r="25" spans="1:5" x14ac:dyDescent="0.2">
      <c r="A25" s="448" t="s">
        <v>165</v>
      </c>
      <c r="B25" s="448" t="s">
        <v>127</v>
      </c>
      <c r="C25" s="448">
        <v>27040</v>
      </c>
      <c r="D25" s="448">
        <v>64</v>
      </c>
      <c r="E25" s="448">
        <f t="shared" si="0"/>
        <v>1730560</v>
      </c>
    </row>
    <row r="26" spans="1:5" x14ac:dyDescent="0.2">
      <c r="A26" s="431" t="s">
        <v>575</v>
      </c>
      <c r="B26" s="431" t="s">
        <v>568</v>
      </c>
      <c r="C26" s="431">
        <v>55000</v>
      </c>
      <c r="D26" s="431">
        <v>1</v>
      </c>
      <c r="E26" s="431">
        <f t="shared" si="0"/>
        <v>55000</v>
      </c>
    </row>
    <row r="27" spans="1:5" x14ac:dyDescent="0.2">
      <c r="A27" s="431" t="s">
        <v>696</v>
      </c>
      <c r="B27" s="431" t="s">
        <v>425</v>
      </c>
      <c r="C27" s="431">
        <v>50000</v>
      </c>
      <c r="D27" s="431">
        <v>1</v>
      </c>
      <c r="E27" s="431">
        <f t="shared" si="0"/>
        <v>50000</v>
      </c>
    </row>
    <row r="28" spans="1:5" x14ac:dyDescent="0.2">
      <c r="A28" s="431" t="s">
        <v>700</v>
      </c>
      <c r="B28" s="431" t="s">
        <v>425</v>
      </c>
      <c r="C28" s="431">
        <v>30000</v>
      </c>
      <c r="D28" s="431">
        <v>1</v>
      </c>
      <c r="E28" s="431">
        <f t="shared" si="0"/>
        <v>30000</v>
      </c>
    </row>
    <row r="29" spans="1:5" x14ac:dyDescent="0.2">
      <c r="A29" s="431" t="s">
        <v>647</v>
      </c>
      <c r="B29" s="431" t="s">
        <v>639</v>
      </c>
      <c r="C29" s="431">
        <v>31500</v>
      </c>
      <c r="D29" s="431">
        <v>1</v>
      </c>
      <c r="E29" s="431">
        <f t="shared" si="0"/>
        <v>31500</v>
      </c>
    </row>
    <row r="30" spans="1:5" x14ac:dyDescent="0.2">
      <c r="A30" s="431" t="s">
        <v>692</v>
      </c>
      <c r="B30" s="431" t="s">
        <v>425</v>
      </c>
      <c r="C30" s="431">
        <v>30000</v>
      </c>
      <c r="D30" s="431">
        <v>1</v>
      </c>
      <c r="E30" s="431">
        <f t="shared" si="0"/>
        <v>30000</v>
      </c>
    </row>
    <row r="31" spans="1:5" x14ac:dyDescent="0.2">
      <c r="A31" s="431" t="s">
        <v>645</v>
      </c>
      <c r="B31" s="431" t="s">
        <v>569</v>
      </c>
      <c r="C31" s="431">
        <v>250000</v>
      </c>
      <c r="D31" s="431">
        <v>1</v>
      </c>
      <c r="E31" s="431">
        <f t="shared" si="0"/>
        <v>250000</v>
      </c>
    </row>
    <row r="32" spans="1:5" x14ac:dyDescent="0.2">
      <c r="A32" s="431" t="s">
        <v>701</v>
      </c>
      <c r="B32" s="431" t="s">
        <v>425</v>
      </c>
      <c r="C32" s="431">
        <v>70000</v>
      </c>
      <c r="D32" s="431">
        <v>1</v>
      </c>
      <c r="E32" s="431">
        <f t="shared" si="0"/>
        <v>70000</v>
      </c>
    </row>
    <row r="33" spans="1:5" x14ac:dyDescent="0.2">
      <c r="A33" s="431" t="s">
        <v>701</v>
      </c>
      <c r="B33" s="431" t="s">
        <v>764</v>
      </c>
      <c r="C33" s="431">
        <v>125000</v>
      </c>
      <c r="D33" s="431">
        <v>1</v>
      </c>
      <c r="E33" s="431">
        <f t="shared" si="0"/>
        <v>125000</v>
      </c>
    </row>
    <row r="34" spans="1:5" x14ac:dyDescent="0.2">
      <c r="A34" s="448" t="s">
        <v>153</v>
      </c>
      <c r="B34" s="448" t="s">
        <v>129</v>
      </c>
      <c r="C34" s="448">
        <v>26000</v>
      </c>
      <c r="D34" s="448">
        <v>4</v>
      </c>
      <c r="E34" s="448">
        <f t="shared" si="0"/>
        <v>104000</v>
      </c>
    </row>
    <row r="35" spans="1:5" x14ac:dyDescent="0.2">
      <c r="A35" s="448" t="s">
        <v>167</v>
      </c>
      <c r="B35" s="448" t="s">
        <v>127</v>
      </c>
      <c r="C35" s="448">
        <v>40000</v>
      </c>
      <c r="D35" s="448">
        <v>6</v>
      </c>
      <c r="E35" s="448">
        <f t="shared" si="0"/>
        <v>240000</v>
      </c>
    </row>
    <row r="36" spans="1:5" x14ac:dyDescent="0.2">
      <c r="A36" s="448" t="s">
        <v>157</v>
      </c>
      <c r="B36" s="448" t="s">
        <v>129</v>
      </c>
      <c r="C36" s="448">
        <v>27000</v>
      </c>
      <c r="D36" s="448">
        <v>13</v>
      </c>
      <c r="E36" s="448">
        <f t="shared" si="0"/>
        <v>351000</v>
      </c>
    </row>
    <row r="37" spans="1:5" x14ac:dyDescent="0.2">
      <c r="A37" s="431" t="s">
        <v>157</v>
      </c>
      <c r="B37" s="431" t="s">
        <v>908</v>
      </c>
      <c r="C37" s="431">
        <v>27000</v>
      </c>
      <c r="D37" s="431">
        <v>3</v>
      </c>
      <c r="E37" s="431">
        <f t="shared" si="0"/>
        <v>81000</v>
      </c>
    </row>
    <row r="38" spans="1:5" x14ac:dyDescent="0.2">
      <c r="A38" s="431" t="s">
        <v>576</v>
      </c>
      <c r="B38" s="431" t="s">
        <v>568</v>
      </c>
      <c r="C38" s="431">
        <v>40000</v>
      </c>
      <c r="D38" s="431">
        <v>3</v>
      </c>
      <c r="E38" s="431">
        <f t="shared" ref="E38:E70" si="1">C38*D38</f>
        <v>120000</v>
      </c>
    </row>
    <row r="39" spans="1:5" x14ac:dyDescent="0.2">
      <c r="A39" s="448" t="s">
        <v>170</v>
      </c>
      <c r="B39" s="448" t="s">
        <v>128</v>
      </c>
      <c r="C39" s="448">
        <v>35000</v>
      </c>
      <c r="D39" s="448">
        <v>1</v>
      </c>
      <c r="E39" s="448">
        <f t="shared" si="1"/>
        <v>35000</v>
      </c>
    </row>
    <row r="40" spans="1:5" s="39" customFormat="1" x14ac:dyDescent="0.2">
      <c r="A40" s="431" t="s">
        <v>993</v>
      </c>
      <c r="B40" s="431" t="s">
        <v>990</v>
      </c>
      <c r="C40" s="431">
        <v>80000</v>
      </c>
      <c r="D40" s="431">
        <v>7</v>
      </c>
      <c r="E40" s="431">
        <f t="shared" si="1"/>
        <v>560000</v>
      </c>
    </row>
    <row r="41" spans="1:5" x14ac:dyDescent="0.2">
      <c r="A41" s="431" t="s">
        <v>762</v>
      </c>
      <c r="B41" s="431" t="s">
        <v>759</v>
      </c>
      <c r="C41" s="431">
        <v>34000</v>
      </c>
      <c r="D41" s="431">
        <v>2</v>
      </c>
      <c r="E41" s="431">
        <f t="shared" si="1"/>
        <v>68000</v>
      </c>
    </row>
    <row r="42" spans="1:5" x14ac:dyDescent="0.2">
      <c r="A42" s="448" t="s">
        <v>161</v>
      </c>
      <c r="B42" s="448" t="s">
        <v>125</v>
      </c>
      <c r="C42" s="448">
        <v>50000</v>
      </c>
      <c r="D42" s="448">
        <v>3</v>
      </c>
      <c r="E42" s="448">
        <f t="shared" si="1"/>
        <v>150000</v>
      </c>
    </row>
    <row r="43" spans="1:5" s="39" customFormat="1" x14ac:dyDescent="0.2">
      <c r="A43" s="431" t="s">
        <v>992</v>
      </c>
      <c r="B43" s="431" t="s">
        <v>990</v>
      </c>
      <c r="C43" s="431">
        <v>75000</v>
      </c>
      <c r="D43" s="431">
        <v>18</v>
      </c>
      <c r="E43" s="431">
        <f t="shared" si="1"/>
        <v>1350000</v>
      </c>
    </row>
    <row r="44" spans="1:5" x14ac:dyDescent="0.2">
      <c r="A44" s="431" t="s">
        <v>958</v>
      </c>
      <c r="B44" s="431" t="s">
        <v>956</v>
      </c>
      <c r="C44" s="431">
        <v>29406</v>
      </c>
      <c r="D44" s="431">
        <v>70</v>
      </c>
      <c r="E44" s="431">
        <f t="shared" si="1"/>
        <v>2058420</v>
      </c>
    </row>
    <row r="45" spans="1:5" s="77" customFormat="1" x14ac:dyDescent="0.2">
      <c r="A45" s="448" t="s">
        <v>428</v>
      </c>
      <c r="B45" s="448" t="s">
        <v>425</v>
      </c>
      <c r="C45" s="448">
        <v>40000</v>
      </c>
      <c r="D45" s="448">
        <v>1</v>
      </c>
      <c r="E45" s="448">
        <f t="shared" si="1"/>
        <v>40000</v>
      </c>
    </row>
    <row r="46" spans="1:5" x14ac:dyDescent="0.2">
      <c r="A46" s="448" t="s">
        <v>155</v>
      </c>
      <c r="B46" s="448" t="s">
        <v>129</v>
      </c>
      <c r="C46" s="448">
        <v>40000</v>
      </c>
      <c r="D46" s="448">
        <v>5</v>
      </c>
      <c r="E46" s="448">
        <f t="shared" si="1"/>
        <v>200000</v>
      </c>
    </row>
    <row r="47" spans="1:5" x14ac:dyDescent="0.2">
      <c r="A47" s="448" t="s">
        <v>472</v>
      </c>
      <c r="B47" s="448" t="s">
        <v>471</v>
      </c>
      <c r="C47" s="448">
        <v>50000</v>
      </c>
      <c r="D47" s="448">
        <v>3</v>
      </c>
      <c r="E47" s="448">
        <f t="shared" si="1"/>
        <v>150000</v>
      </c>
    </row>
    <row r="48" spans="1:5" x14ac:dyDescent="0.2">
      <c r="A48" s="431" t="s">
        <v>713</v>
      </c>
      <c r="B48" s="431" t="s">
        <v>815</v>
      </c>
      <c r="C48" s="431">
        <v>27040</v>
      </c>
      <c r="D48" s="431">
        <v>2</v>
      </c>
      <c r="E48" s="431">
        <f t="shared" si="1"/>
        <v>54080</v>
      </c>
    </row>
    <row r="49" spans="1:5" x14ac:dyDescent="0.2">
      <c r="A49" s="431" t="s">
        <v>149</v>
      </c>
      <c r="B49" s="431" t="s">
        <v>690</v>
      </c>
      <c r="C49" s="431">
        <v>75000</v>
      </c>
      <c r="D49" s="431">
        <v>8</v>
      </c>
      <c r="E49" s="431">
        <f t="shared" si="1"/>
        <v>600000</v>
      </c>
    </row>
    <row r="50" spans="1:5" x14ac:dyDescent="0.2">
      <c r="A50" s="448" t="s">
        <v>149</v>
      </c>
      <c r="B50" s="448" t="s">
        <v>129</v>
      </c>
      <c r="C50" s="448">
        <v>80000</v>
      </c>
      <c r="D50" s="448">
        <v>5</v>
      </c>
      <c r="E50" s="448">
        <f t="shared" si="1"/>
        <v>400000</v>
      </c>
    </row>
    <row r="51" spans="1:5" x14ac:dyDescent="0.2">
      <c r="A51" s="431" t="s">
        <v>929</v>
      </c>
      <c r="B51" s="431" t="s">
        <v>909</v>
      </c>
      <c r="C51" s="431">
        <v>85000</v>
      </c>
      <c r="D51" s="431">
        <v>30</v>
      </c>
      <c r="E51" s="431">
        <f t="shared" si="1"/>
        <v>2550000</v>
      </c>
    </row>
    <row r="52" spans="1:5" x14ac:dyDescent="0.2">
      <c r="A52" s="431" t="s">
        <v>918</v>
      </c>
      <c r="B52" s="431" t="s">
        <v>1051</v>
      </c>
      <c r="C52" s="431">
        <v>56929</v>
      </c>
      <c r="D52" s="431">
        <v>4</v>
      </c>
      <c r="E52" s="431">
        <f t="shared" si="1"/>
        <v>227716</v>
      </c>
    </row>
    <row r="53" spans="1:5" x14ac:dyDescent="0.2">
      <c r="A53" s="431" t="s">
        <v>1056</v>
      </c>
      <c r="B53" s="431" t="s">
        <v>1051</v>
      </c>
      <c r="C53" s="431">
        <v>70000</v>
      </c>
      <c r="D53" s="431">
        <v>22</v>
      </c>
      <c r="E53" s="431">
        <f t="shared" si="1"/>
        <v>1540000</v>
      </c>
    </row>
    <row r="54" spans="1:5" x14ac:dyDescent="0.2">
      <c r="A54" s="431" t="s">
        <v>918</v>
      </c>
      <c r="B54" s="431" t="s">
        <v>956</v>
      </c>
      <c r="C54" s="431">
        <v>79319</v>
      </c>
      <c r="D54" s="431">
        <v>5</v>
      </c>
      <c r="E54" s="431">
        <f t="shared" si="1"/>
        <v>396595</v>
      </c>
    </row>
    <row r="55" spans="1:5" x14ac:dyDescent="0.2">
      <c r="A55" s="431" t="s">
        <v>918</v>
      </c>
      <c r="B55" s="431" t="s">
        <v>907</v>
      </c>
      <c r="C55" s="431">
        <v>71241</v>
      </c>
      <c r="D55" s="431">
        <v>5</v>
      </c>
      <c r="E55" s="431">
        <f t="shared" si="1"/>
        <v>356205</v>
      </c>
    </row>
    <row r="56" spans="1:5" x14ac:dyDescent="0.2">
      <c r="A56" s="431" t="s">
        <v>535</v>
      </c>
      <c r="B56" s="431" t="s">
        <v>531</v>
      </c>
      <c r="C56" s="431">
        <v>67794</v>
      </c>
      <c r="D56" s="431">
        <v>7</v>
      </c>
      <c r="E56" s="431">
        <f t="shared" si="1"/>
        <v>474558</v>
      </c>
    </row>
    <row r="57" spans="1:5" s="39" customFormat="1" x14ac:dyDescent="0.2">
      <c r="A57" s="431" t="s">
        <v>994</v>
      </c>
      <c r="B57" s="431" t="s">
        <v>990</v>
      </c>
      <c r="C57" s="431">
        <v>150000</v>
      </c>
      <c r="D57" s="431">
        <v>4</v>
      </c>
      <c r="E57" s="431">
        <f t="shared" si="1"/>
        <v>600000</v>
      </c>
    </row>
    <row r="58" spans="1:5" x14ac:dyDescent="0.2">
      <c r="A58" s="448" t="s">
        <v>325</v>
      </c>
      <c r="B58" s="448" t="s">
        <v>129</v>
      </c>
      <c r="C58" s="448">
        <v>45000</v>
      </c>
      <c r="D58" s="448">
        <v>8</v>
      </c>
      <c r="E58" s="448">
        <f t="shared" si="1"/>
        <v>360000</v>
      </c>
    </row>
    <row r="59" spans="1:5" x14ac:dyDescent="0.2">
      <c r="A59" s="431" t="s">
        <v>325</v>
      </c>
      <c r="B59" s="431" t="s">
        <v>531</v>
      </c>
      <c r="C59" s="431">
        <v>27620</v>
      </c>
      <c r="D59" s="431">
        <v>4</v>
      </c>
      <c r="E59" s="431">
        <f t="shared" si="1"/>
        <v>110480</v>
      </c>
    </row>
    <row r="60" spans="1:5" x14ac:dyDescent="0.2">
      <c r="A60" s="431" t="s">
        <v>533</v>
      </c>
      <c r="B60" s="431" t="s">
        <v>531</v>
      </c>
      <c r="C60" s="431">
        <v>39399</v>
      </c>
      <c r="D60" s="431">
        <v>2</v>
      </c>
      <c r="E60" s="431">
        <f t="shared" si="1"/>
        <v>78798</v>
      </c>
    </row>
    <row r="61" spans="1:5" s="77" customFormat="1" x14ac:dyDescent="0.2">
      <c r="A61" s="448" t="s">
        <v>426</v>
      </c>
      <c r="B61" s="448" t="s">
        <v>387</v>
      </c>
      <c r="C61" s="448">
        <v>88200</v>
      </c>
      <c r="D61" s="448">
        <v>20</v>
      </c>
      <c r="E61" s="448">
        <f t="shared" si="1"/>
        <v>1764000</v>
      </c>
    </row>
    <row r="62" spans="1:5" s="77" customFormat="1" x14ac:dyDescent="0.2">
      <c r="A62" s="431" t="s">
        <v>693</v>
      </c>
      <c r="B62" s="431" t="s">
        <v>425</v>
      </c>
      <c r="C62" s="431">
        <v>45000</v>
      </c>
      <c r="D62" s="431">
        <v>1</v>
      </c>
      <c r="E62" s="431">
        <f t="shared" si="1"/>
        <v>45000</v>
      </c>
    </row>
    <row r="63" spans="1:5" s="77" customFormat="1" x14ac:dyDescent="0.2">
      <c r="A63" s="431" t="s">
        <v>933</v>
      </c>
      <c r="B63" s="431" t="s">
        <v>930</v>
      </c>
      <c r="C63" s="431">
        <v>65000</v>
      </c>
      <c r="D63" s="431">
        <v>39</v>
      </c>
      <c r="E63" s="431">
        <f t="shared" si="1"/>
        <v>2535000</v>
      </c>
    </row>
    <row r="64" spans="1:5" x14ac:dyDescent="0.2">
      <c r="A64" s="431" t="s">
        <v>977</v>
      </c>
      <c r="B64" s="431" t="s">
        <v>864</v>
      </c>
      <c r="C64" s="431">
        <v>75000</v>
      </c>
      <c r="D64" s="431">
        <v>1</v>
      </c>
      <c r="E64" s="431">
        <f t="shared" si="1"/>
        <v>75000</v>
      </c>
    </row>
    <row r="65" spans="1:5" x14ac:dyDescent="0.2">
      <c r="A65" s="448" t="s">
        <v>329</v>
      </c>
      <c r="B65" s="448" t="s">
        <v>125</v>
      </c>
      <c r="C65" s="448">
        <v>80000</v>
      </c>
      <c r="D65" s="448">
        <v>1</v>
      </c>
      <c r="E65" s="448">
        <f t="shared" si="1"/>
        <v>80000</v>
      </c>
    </row>
    <row r="66" spans="1:5" x14ac:dyDescent="0.2">
      <c r="A66" s="431" t="s">
        <v>770</v>
      </c>
      <c r="B66" s="431" t="s">
        <v>760</v>
      </c>
      <c r="C66" s="431">
        <v>27000</v>
      </c>
      <c r="D66" s="431">
        <v>10</v>
      </c>
      <c r="E66" s="431">
        <f t="shared" si="1"/>
        <v>270000</v>
      </c>
    </row>
    <row r="67" spans="1:5" x14ac:dyDescent="0.2">
      <c r="A67" s="431" t="s">
        <v>818</v>
      </c>
      <c r="B67" s="431" t="s">
        <v>815</v>
      </c>
      <c r="C67" s="431">
        <v>36400</v>
      </c>
      <c r="D67" s="431">
        <v>2</v>
      </c>
      <c r="E67" s="431">
        <f t="shared" si="1"/>
        <v>72800</v>
      </c>
    </row>
    <row r="68" spans="1:5" x14ac:dyDescent="0.2">
      <c r="A68" s="431" t="s">
        <v>962</v>
      </c>
      <c r="B68" s="431" t="s">
        <v>956</v>
      </c>
      <c r="C68" s="431">
        <v>53799</v>
      </c>
      <c r="D68" s="431">
        <v>15</v>
      </c>
      <c r="E68" s="431">
        <f t="shared" si="1"/>
        <v>806985</v>
      </c>
    </row>
    <row r="69" spans="1:5" x14ac:dyDescent="0.2">
      <c r="A69" s="431" t="s">
        <v>931</v>
      </c>
      <c r="B69" s="431" t="s">
        <v>930</v>
      </c>
      <c r="C69" s="431">
        <v>75000</v>
      </c>
      <c r="D69" s="431">
        <v>9</v>
      </c>
      <c r="E69" s="431">
        <f t="shared" si="1"/>
        <v>675000</v>
      </c>
    </row>
    <row r="70" spans="1:5" x14ac:dyDescent="0.2">
      <c r="A70" s="431" t="s">
        <v>959</v>
      </c>
      <c r="B70" s="431" t="s">
        <v>956</v>
      </c>
      <c r="C70" s="431">
        <v>56953</v>
      </c>
      <c r="D70" s="431">
        <v>11</v>
      </c>
      <c r="E70" s="431">
        <f t="shared" si="1"/>
        <v>626483</v>
      </c>
    </row>
    <row r="71" spans="1:5" s="39" customFormat="1" x14ac:dyDescent="0.2">
      <c r="A71" s="431" t="s">
        <v>996</v>
      </c>
      <c r="B71" s="431" t="s">
        <v>990</v>
      </c>
      <c r="C71" s="431">
        <v>100000</v>
      </c>
      <c r="D71" s="431">
        <v>1</v>
      </c>
      <c r="E71" s="431">
        <f t="shared" ref="E71:E105" si="2">C71*D71</f>
        <v>100000</v>
      </c>
    </row>
    <row r="72" spans="1:5" x14ac:dyDescent="0.2">
      <c r="A72" s="431" t="s">
        <v>981</v>
      </c>
      <c r="B72" s="431" t="s">
        <v>864</v>
      </c>
      <c r="C72" s="431">
        <v>30000</v>
      </c>
      <c r="D72" s="431">
        <v>21</v>
      </c>
      <c r="E72" s="431">
        <f t="shared" si="2"/>
        <v>630000</v>
      </c>
    </row>
    <row r="73" spans="1:5" x14ac:dyDescent="0.2">
      <c r="A73" s="431" t="s">
        <v>1007</v>
      </c>
      <c r="B73" s="431" t="s">
        <v>908</v>
      </c>
      <c r="C73" s="431">
        <v>40000</v>
      </c>
      <c r="D73" s="431">
        <v>1</v>
      </c>
      <c r="E73" s="431">
        <f t="shared" si="2"/>
        <v>40000</v>
      </c>
    </row>
    <row r="74" spans="1:5" x14ac:dyDescent="0.2">
      <c r="A74" s="431" t="s">
        <v>537</v>
      </c>
      <c r="B74" s="431" t="s">
        <v>531</v>
      </c>
      <c r="C74" s="431">
        <v>33875</v>
      </c>
      <c r="D74" s="431">
        <v>8</v>
      </c>
      <c r="E74" s="431">
        <f t="shared" si="2"/>
        <v>271000</v>
      </c>
    </row>
    <row r="75" spans="1:5" x14ac:dyDescent="0.2">
      <c r="A75" s="448" t="s">
        <v>166</v>
      </c>
      <c r="B75" s="448" t="s">
        <v>127</v>
      </c>
      <c r="C75" s="448">
        <v>39000</v>
      </c>
      <c r="D75" s="448">
        <v>2</v>
      </c>
      <c r="E75" s="448">
        <f t="shared" si="2"/>
        <v>78000</v>
      </c>
    </row>
    <row r="76" spans="1:5" x14ac:dyDescent="0.2">
      <c r="A76" s="431" t="s">
        <v>1008</v>
      </c>
      <c r="B76" s="431" t="s">
        <v>908</v>
      </c>
      <c r="C76" s="431">
        <v>36000</v>
      </c>
      <c r="D76" s="431">
        <v>1</v>
      </c>
      <c r="E76" s="431">
        <f t="shared" si="2"/>
        <v>36000</v>
      </c>
    </row>
    <row r="77" spans="1:5" x14ac:dyDescent="0.2">
      <c r="A77" s="431" t="s">
        <v>648</v>
      </c>
      <c r="B77" s="431" t="s">
        <v>930</v>
      </c>
      <c r="C77" s="431">
        <v>85000</v>
      </c>
      <c r="D77" s="431">
        <v>63</v>
      </c>
      <c r="E77" s="431">
        <f t="shared" si="2"/>
        <v>5355000</v>
      </c>
    </row>
    <row r="78" spans="1:5" x14ac:dyDescent="0.2">
      <c r="A78" s="431" t="s">
        <v>648</v>
      </c>
      <c r="B78" s="431" t="s">
        <v>639</v>
      </c>
      <c r="C78" s="431">
        <v>50000</v>
      </c>
      <c r="D78" s="431">
        <v>1</v>
      </c>
      <c r="E78" s="431">
        <f t="shared" si="2"/>
        <v>50000</v>
      </c>
    </row>
    <row r="79" spans="1:5" x14ac:dyDescent="0.2">
      <c r="A79" s="431" t="s">
        <v>923</v>
      </c>
      <c r="B79" s="431" t="s">
        <v>908</v>
      </c>
      <c r="C79" s="431">
        <v>37000</v>
      </c>
      <c r="D79" s="431">
        <v>1</v>
      </c>
      <c r="E79" s="431">
        <f t="shared" si="2"/>
        <v>37000</v>
      </c>
    </row>
    <row r="80" spans="1:5" x14ac:dyDescent="0.2">
      <c r="A80" s="431" t="s">
        <v>817</v>
      </c>
      <c r="B80" s="431" t="s">
        <v>815</v>
      </c>
      <c r="C80" s="431">
        <v>26832</v>
      </c>
      <c r="D80" s="431">
        <v>1</v>
      </c>
      <c r="E80" s="431">
        <f t="shared" si="2"/>
        <v>26832</v>
      </c>
    </row>
    <row r="81" spans="1:5" x14ac:dyDescent="0.2">
      <c r="A81" s="431" t="s">
        <v>916</v>
      </c>
      <c r="B81" s="431" t="s">
        <v>568</v>
      </c>
      <c r="C81" s="431">
        <v>29000</v>
      </c>
      <c r="D81" s="431">
        <v>13</v>
      </c>
      <c r="E81" s="431">
        <f t="shared" si="2"/>
        <v>377000</v>
      </c>
    </row>
    <row r="82" spans="1:5" x14ac:dyDescent="0.2">
      <c r="A82" s="431" t="s">
        <v>976</v>
      </c>
      <c r="B82" s="431" t="s">
        <v>863</v>
      </c>
      <c r="C82" s="431">
        <v>33000</v>
      </c>
      <c r="D82" s="431">
        <v>3</v>
      </c>
      <c r="E82" s="431">
        <f t="shared" si="2"/>
        <v>99000</v>
      </c>
    </row>
    <row r="83" spans="1:5" x14ac:dyDescent="0.2">
      <c r="A83" s="431" t="s">
        <v>934</v>
      </c>
      <c r="B83" s="431" t="s">
        <v>930</v>
      </c>
      <c r="C83" s="431">
        <v>85000</v>
      </c>
      <c r="D83" s="431">
        <v>7</v>
      </c>
      <c r="E83" s="431">
        <f t="shared" si="2"/>
        <v>595000</v>
      </c>
    </row>
    <row r="84" spans="1:5" x14ac:dyDescent="0.2">
      <c r="A84" s="431" t="s">
        <v>922</v>
      </c>
      <c r="B84" s="431" t="s">
        <v>908</v>
      </c>
      <c r="C84" s="431">
        <v>70000</v>
      </c>
      <c r="D84" s="431">
        <v>1</v>
      </c>
      <c r="E84" s="431">
        <f t="shared" si="2"/>
        <v>70000</v>
      </c>
    </row>
    <row r="85" spans="1:5" x14ac:dyDescent="0.2">
      <c r="A85" s="431" t="s">
        <v>1052</v>
      </c>
      <c r="B85" s="431" t="s">
        <v>1051</v>
      </c>
      <c r="C85" s="431">
        <v>27158</v>
      </c>
      <c r="D85" s="431">
        <v>6</v>
      </c>
      <c r="E85" s="431">
        <f t="shared" si="2"/>
        <v>162948</v>
      </c>
    </row>
    <row r="86" spans="1:5" x14ac:dyDescent="0.2">
      <c r="A86" s="431" t="s">
        <v>534</v>
      </c>
      <c r="B86" s="431" t="s">
        <v>531</v>
      </c>
      <c r="C86" s="431">
        <v>28000</v>
      </c>
      <c r="D86" s="431">
        <v>1</v>
      </c>
      <c r="E86" s="431">
        <f t="shared" si="2"/>
        <v>28000</v>
      </c>
    </row>
    <row r="87" spans="1:5" x14ac:dyDescent="0.2">
      <c r="A87" s="448" t="s">
        <v>151</v>
      </c>
      <c r="B87" s="448" t="s">
        <v>129</v>
      </c>
      <c r="C87" s="448">
        <v>39000</v>
      </c>
      <c r="D87" s="448">
        <v>15</v>
      </c>
      <c r="E87" s="448">
        <f t="shared" si="2"/>
        <v>585000</v>
      </c>
    </row>
    <row r="88" spans="1:5" x14ac:dyDescent="0.2">
      <c r="A88" s="431" t="s">
        <v>978</v>
      </c>
      <c r="B88" s="431" t="s">
        <v>864</v>
      </c>
      <c r="C88" s="431">
        <v>41000</v>
      </c>
      <c r="D88" s="431">
        <v>1</v>
      </c>
      <c r="E88" s="431">
        <f t="shared" si="2"/>
        <v>41000</v>
      </c>
    </row>
    <row r="89" spans="1:5" x14ac:dyDescent="0.2">
      <c r="A89" s="448" t="s">
        <v>326</v>
      </c>
      <c r="B89" s="448" t="s">
        <v>129</v>
      </c>
      <c r="C89" s="448">
        <v>50000</v>
      </c>
      <c r="D89" s="448">
        <v>4</v>
      </c>
      <c r="E89" s="448">
        <f t="shared" si="2"/>
        <v>200000</v>
      </c>
    </row>
    <row r="90" spans="1:5" x14ac:dyDescent="0.2">
      <c r="A90" s="431" t="s">
        <v>763</v>
      </c>
      <c r="B90" s="431" t="s">
        <v>759</v>
      </c>
      <c r="C90" s="431">
        <v>50000</v>
      </c>
      <c r="D90" s="431">
        <v>2</v>
      </c>
      <c r="E90" s="431">
        <f t="shared" si="2"/>
        <v>100000</v>
      </c>
    </row>
    <row r="91" spans="1:5" x14ac:dyDescent="0.2">
      <c r="A91" s="431" t="s">
        <v>919</v>
      </c>
      <c r="B91" s="431" t="s">
        <v>908</v>
      </c>
      <c r="C91" s="431">
        <v>80000</v>
      </c>
      <c r="D91" s="431">
        <v>0</v>
      </c>
      <c r="E91" s="431">
        <f t="shared" si="2"/>
        <v>0</v>
      </c>
    </row>
    <row r="92" spans="1:5" x14ac:dyDescent="0.2">
      <c r="A92" s="431" t="s">
        <v>920</v>
      </c>
      <c r="B92" s="431" t="s">
        <v>908</v>
      </c>
      <c r="C92" s="431">
        <v>82330</v>
      </c>
      <c r="D92" s="431">
        <v>0</v>
      </c>
      <c r="E92" s="431">
        <f t="shared" si="2"/>
        <v>0</v>
      </c>
    </row>
    <row r="93" spans="1:5" x14ac:dyDescent="0.2">
      <c r="A93" s="431" t="s">
        <v>921</v>
      </c>
      <c r="B93" s="431" t="s">
        <v>908</v>
      </c>
      <c r="C93" s="431">
        <v>70000</v>
      </c>
      <c r="D93" s="431">
        <v>1</v>
      </c>
      <c r="E93" s="431">
        <f t="shared" si="2"/>
        <v>70000</v>
      </c>
    </row>
    <row r="94" spans="1:5" x14ac:dyDescent="0.2">
      <c r="A94" s="431" t="s">
        <v>718</v>
      </c>
      <c r="B94" s="431" t="s">
        <v>719</v>
      </c>
      <c r="C94" s="431">
        <v>125000</v>
      </c>
      <c r="D94" s="431">
        <v>6</v>
      </c>
      <c r="E94" s="431">
        <f t="shared" si="2"/>
        <v>750000</v>
      </c>
    </row>
    <row r="95" spans="1:5" x14ac:dyDescent="0.2">
      <c r="A95" s="448" t="s">
        <v>163</v>
      </c>
      <c r="B95" s="448" t="s">
        <v>127</v>
      </c>
      <c r="C95" s="448">
        <v>55000</v>
      </c>
      <c r="D95" s="448">
        <v>2</v>
      </c>
      <c r="E95" s="448">
        <f t="shared" si="2"/>
        <v>110000</v>
      </c>
    </row>
    <row r="96" spans="1:5" x14ac:dyDescent="0.2">
      <c r="A96" s="431" t="s">
        <v>1018</v>
      </c>
      <c r="B96" s="431" t="s">
        <v>759</v>
      </c>
      <c r="C96" s="431">
        <v>30000</v>
      </c>
      <c r="D96" s="431">
        <v>9</v>
      </c>
      <c r="E96" s="431">
        <f t="shared" si="2"/>
        <v>270000</v>
      </c>
    </row>
    <row r="97" spans="1:5" s="77" customFormat="1" x14ac:dyDescent="0.2">
      <c r="A97" s="431" t="s">
        <v>695</v>
      </c>
      <c r="B97" s="431" t="s">
        <v>425</v>
      </c>
      <c r="C97" s="431">
        <v>40000</v>
      </c>
      <c r="D97" s="431">
        <v>1</v>
      </c>
      <c r="E97" s="431">
        <f t="shared" si="2"/>
        <v>40000</v>
      </c>
    </row>
    <row r="98" spans="1:5" s="77" customFormat="1" x14ac:dyDescent="0.2">
      <c r="A98" s="431" t="s">
        <v>704</v>
      </c>
      <c r="B98" s="431" t="s">
        <v>703</v>
      </c>
      <c r="C98" s="431">
        <v>69188</v>
      </c>
      <c r="D98" s="431">
        <v>16</v>
      </c>
      <c r="E98" s="431">
        <f t="shared" si="2"/>
        <v>1107008</v>
      </c>
    </row>
    <row r="99" spans="1:5" s="77" customFormat="1" x14ac:dyDescent="0.2">
      <c r="A99" s="431" t="s">
        <v>768</v>
      </c>
      <c r="B99" s="431" t="s">
        <v>760</v>
      </c>
      <c r="C99" s="431">
        <v>95000</v>
      </c>
      <c r="D99" s="431">
        <v>1</v>
      </c>
      <c r="E99" s="431">
        <f t="shared" si="2"/>
        <v>95000</v>
      </c>
    </row>
    <row r="100" spans="1:5" x14ac:dyDescent="0.2">
      <c r="A100" s="448" t="s">
        <v>475</v>
      </c>
      <c r="B100" s="448" t="s">
        <v>471</v>
      </c>
      <c r="C100" s="448">
        <v>80000</v>
      </c>
      <c r="D100" s="448">
        <v>1</v>
      </c>
      <c r="E100" s="448">
        <f t="shared" si="2"/>
        <v>80000</v>
      </c>
    </row>
    <row r="101" spans="1:5" x14ac:dyDescent="0.2">
      <c r="A101" s="448" t="s">
        <v>473</v>
      </c>
      <c r="B101" s="448" t="s">
        <v>471</v>
      </c>
      <c r="C101" s="448">
        <v>50000</v>
      </c>
      <c r="D101" s="448">
        <v>4</v>
      </c>
      <c r="E101" s="448">
        <f t="shared" si="2"/>
        <v>200000</v>
      </c>
    </row>
    <row r="102" spans="1:5" x14ac:dyDescent="0.2">
      <c r="A102" s="431" t="s">
        <v>917</v>
      </c>
      <c r="B102" s="431" t="s">
        <v>568</v>
      </c>
      <c r="C102" s="431">
        <v>41000</v>
      </c>
      <c r="D102" s="431">
        <v>3</v>
      </c>
      <c r="E102" s="431">
        <f t="shared" si="2"/>
        <v>123000</v>
      </c>
    </row>
    <row r="103" spans="1:5" x14ac:dyDescent="0.2">
      <c r="A103" s="431" t="s">
        <v>649</v>
      </c>
      <c r="B103" s="431" t="s">
        <v>639</v>
      </c>
      <c r="C103" s="431">
        <v>40000</v>
      </c>
      <c r="D103" s="431">
        <v>2</v>
      </c>
      <c r="E103" s="431">
        <f t="shared" si="2"/>
        <v>80000</v>
      </c>
    </row>
    <row r="104" spans="1:5" x14ac:dyDescent="0.2">
      <c r="A104" s="431" t="s">
        <v>650</v>
      </c>
      <c r="B104" s="431" t="s">
        <v>639</v>
      </c>
      <c r="C104" s="431">
        <v>50000</v>
      </c>
      <c r="D104" s="431">
        <v>1</v>
      </c>
      <c r="E104" s="431">
        <f t="shared" si="2"/>
        <v>50000</v>
      </c>
    </row>
    <row r="105" spans="1:5" x14ac:dyDescent="0.2">
      <c r="A105" s="431" t="s">
        <v>711</v>
      </c>
      <c r="B105" s="431" t="s">
        <v>815</v>
      </c>
      <c r="C105" s="431">
        <v>29120</v>
      </c>
      <c r="D105" s="431">
        <v>4</v>
      </c>
      <c r="E105" s="431">
        <f t="shared" si="2"/>
        <v>116480</v>
      </c>
    </row>
    <row r="106" spans="1:5" x14ac:dyDescent="0.2">
      <c r="A106" s="448" t="s">
        <v>474</v>
      </c>
      <c r="B106" s="448" t="s">
        <v>471</v>
      </c>
      <c r="C106" s="448">
        <v>25000</v>
      </c>
      <c r="D106" s="448">
        <v>2</v>
      </c>
      <c r="E106" s="448">
        <f t="shared" ref="E106:E137" si="3">C106*D106</f>
        <v>50000</v>
      </c>
    </row>
    <row r="107" spans="1:5" x14ac:dyDescent="0.2">
      <c r="A107" s="431" t="s">
        <v>715</v>
      </c>
      <c r="B107" s="431" t="s">
        <v>690</v>
      </c>
      <c r="C107" s="448">
        <v>27000</v>
      </c>
      <c r="D107" s="431">
        <v>63</v>
      </c>
      <c r="E107" s="431">
        <f t="shared" si="3"/>
        <v>1701000</v>
      </c>
    </row>
    <row r="108" spans="1:5" x14ac:dyDescent="0.2">
      <c r="A108" s="431" t="s">
        <v>710</v>
      </c>
      <c r="B108" s="431" t="s">
        <v>815</v>
      </c>
      <c r="C108" s="448">
        <v>27040</v>
      </c>
      <c r="D108" s="431">
        <v>8</v>
      </c>
      <c r="E108" s="431">
        <f t="shared" si="3"/>
        <v>216320</v>
      </c>
    </row>
    <row r="109" spans="1:5" x14ac:dyDescent="0.2">
      <c r="A109" s="448" t="s">
        <v>148</v>
      </c>
      <c r="B109" s="448" t="s">
        <v>124</v>
      </c>
      <c r="C109" s="448">
        <v>40000</v>
      </c>
      <c r="D109" s="448">
        <v>48</v>
      </c>
      <c r="E109" s="448">
        <f t="shared" si="3"/>
        <v>1920000</v>
      </c>
    </row>
    <row r="110" spans="1:5" x14ac:dyDescent="0.2">
      <c r="A110" s="448" t="s">
        <v>148</v>
      </c>
      <c r="B110" s="431" t="s">
        <v>639</v>
      </c>
      <c r="C110" s="431">
        <v>40000</v>
      </c>
      <c r="D110" s="431">
        <v>1</v>
      </c>
      <c r="E110" s="431">
        <f t="shared" si="3"/>
        <v>40000</v>
      </c>
    </row>
    <row r="111" spans="1:5" s="77" customFormat="1" x14ac:dyDescent="0.2">
      <c r="A111" s="431" t="s">
        <v>697</v>
      </c>
      <c r="B111" s="448" t="s">
        <v>425</v>
      </c>
      <c r="C111" s="448">
        <v>60000</v>
      </c>
      <c r="D111" s="448">
        <v>1</v>
      </c>
      <c r="E111" s="448">
        <f t="shared" si="3"/>
        <v>60000</v>
      </c>
    </row>
    <row r="112" spans="1:5" s="77" customFormat="1" x14ac:dyDescent="0.2">
      <c r="A112" s="448" t="s">
        <v>427</v>
      </c>
      <c r="B112" s="448" t="s">
        <v>425</v>
      </c>
      <c r="C112" s="448">
        <v>40000</v>
      </c>
      <c r="D112" s="448">
        <v>1</v>
      </c>
      <c r="E112" s="448">
        <f t="shared" si="3"/>
        <v>40000</v>
      </c>
    </row>
    <row r="113" spans="1:5" s="39" customFormat="1" x14ac:dyDescent="0.2">
      <c r="A113" s="431" t="s">
        <v>997</v>
      </c>
      <c r="B113" s="431" t="s">
        <v>990</v>
      </c>
      <c r="C113" s="431">
        <v>50000</v>
      </c>
      <c r="D113" s="431">
        <v>13</v>
      </c>
      <c r="E113" s="431">
        <f t="shared" si="3"/>
        <v>650000</v>
      </c>
    </row>
    <row r="114" spans="1:5" s="39" customFormat="1" x14ac:dyDescent="0.2">
      <c r="A114" s="431" t="s">
        <v>997</v>
      </c>
      <c r="B114" s="431" t="s">
        <v>1051</v>
      </c>
      <c r="C114" s="431">
        <v>54696</v>
      </c>
      <c r="D114" s="431">
        <v>6</v>
      </c>
      <c r="E114" s="431">
        <f t="shared" si="3"/>
        <v>328176</v>
      </c>
    </row>
    <row r="115" spans="1:5" s="77" customFormat="1" x14ac:dyDescent="0.2">
      <c r="A115" s="431" t="s">
        <v>644</v>
      </c>
      <c r="B115" s="431" t="s">
        <v>569</v>
      </c>
      <c r="C115" s="431">
        <v>110000</v>
      </c>
      <c r="D115" s="431">
        <v>2</v>
      </c>
      <c r="E115" s="431">
        <f t="shared" si="3"/>
        <v>220000</v>
      </c>
    </row>
    <row r="116" spans="1:5" x14ac:dyDescent="0.2">
      <c r="A116" s="431" t="s">
        <v>979</v>
      </c>
      <c r="B116" s="431" t="s">
        <v>863</v>
      </c>
      <c r="C116" s="431">
        <v>27000</v>
      </c>
      <c r="D116" s="431">
        <v>3</v>
      </c>
      <c r="E116" s="431">
        <f t="shared" si="3"/>
        <v>81000</v>
      </c>
    </row>
    <row r="117" spans="1:5" x14ac:dyDescent="0.2">
      <c r="A117" s="448" t="s">
        <v>160</v>
      </c>
      <c r="B117" s="448" t="s">
        <v>125</v>
      </c>
      <c r="C117" s="448">
        <v>52800</v>
      </c>
      <c r="D117" s="448">
        <v>18</v>
      </c>
      <c r="E117" s="448">
        <f t="shared" si="3"/>
        <v>950400</v>
      </c>
    </row>
    <row r="118" spans="1:5" x14ac:dyDescent="0.2">
      <c r="A118" s="431" t="s">
        <v>574</v>
      </c>
      <c r="B118" s="431" t="s">
        <v>568</v>
      </c>
      <c r="C118" s="431">
        <v>82500</v>
      </c>
      <c r="D118" s="431">
        <v>3</v>
      </c>
      <c r="E118" s="431">
        <f t="shared" si="3"/>
        <v>247500</v>
      </c>
    </row>
    <row r="119" spans="1:5" x14ac:dyDescent="0.2">
      <c r="A119" s="431" t="s">
        <v>574</v>
      </c>
      <c r="B119" s="431" t="s">
        <v>863</v>
      </c>
      <c r="C119" s="431">
        <v>75000</v>
      </c>
      <c r="D119" s="431">
        <v>1</v>
      </c>
      <c r="E119" s="431">
        <f t="shared" si="3"/>
        <v>75000</v>
      </c>
    </row>
    <row r="120" spans="1:5" x14ac:dyDescent="0.2">
      <c r="A120" s="431" t="s">
        <v>573</v>
      </c>
      <c r="B120" s="431" t="s">
        <v>569</v>
      </c>
      <c r="C120" s="431">
        <v>50000</v>
      </c>
      <c r="D120" s="431">
        <v>13</v>
      </c>
      <c r="E120" s="431">
        <f t="shared" si="3"/>
        <v>650000</v>
      </c>
    </row>
    <row r="121" spans="1:5" x14ac:dyDescent="0.2">
      <c r="A121" s="431" t="s">
        <v>980</v>
      </c>
      <c r="B121" s="431" t="s">
        <v>863</v>
      </c>
      <c r="C121" s="431">
        <v>27000</v>
      </c>
      <c r="D121" s="431">
        <v>2</v>
      </c>
      <c r="E121" s="431">
        <f t="shared" si="3"/>
        <v>54000</v>
      </c>
    </row>
    <row r="122" spans="1:5" x14ac:dyDescent="0.2">
      <c r="A122" s="431" t="s">
        <v>702</v>
      </c>
      <c r="B122" s="431" t="s">
        <v>425</v>
      </c>
      <c r="C122" s="431">
        <v>90000</v>
      </c>
      <c r="D122" s="431">
        <v>1</v>
      </c>
      <c r="E122" s="431">
        <f t="shared" si="3"/>
        <v>90000</v>
      </c>
    </row>
    <row r="123" spans="1:5" x14ac:dyDescent="0.2">
      <c r="A123" s="431" t="s">
        <v>614</v>
      </c>
      <c r="B123" s="431" t="s">
        <v>609</v>
      </c>
      <c r="C123" s="431">
        <v>40000</v>
      </c>
      <c r="D123" s="431">
        <v>17</v>
      </c>
      <c r="E123" s="431">
        <f t="shared" si="3"/>
        <v>680000</v>
      </c>
    </row>
    <row r="124" spans="1:5" x14ac:dyDescent="0.2">
      <c r="A124" s="431" t="s">
        <v>767</v>
      </c>
      <c r="B124" s="431" t="s">
        <v>766</v>
      </c>
      <c r="C124" s="431">
        <v>45000</v>
      </c>
      <c r="D124" s="431">
        <v>1</v>
      </c>
      <c r="E124" s="431">
        <f t="shared" si="3"/>
        <v>45000</v>
      </c>
    </row>
    <row r="125" spans="1:5" x14ac:dyDescent="0.2">
      <c r="A125" s="448" t="s">
        <v>147</v>
      </c>
      <c r="B125" s="448" t="s">
        <v>124</v>
      </c>
      <c r="C125" s="448">
        <v>50000</v>
      </c>
      <c r="D125" s="448">
        <v>107</v>
      </c>
      <c r="E125" s="448">
        <f t="shared" si="3"/>
        <v>5350000</v>
      </c>
    </row>
    <row r="126" spans="1:5" x14ac:dyDescent="0.2">
      <c r="A126" s="431" t="s">
        <v>145</v>
      </c>
      <c r="B126" s="431" t="s">
        <v>568</v>
      </c>
      <c r="C126" s="431">
        <v>41000</v>
      </c>
      <c r="D126" s="431">
        <v>6</v>
      </c>
      <c r="E126" s="431">
        <f t="shared" si="3"/>
        <v>246000</v>
      </c>
    </row>
    <row r="127" spans="1:5" x14ac:dyDescent="0.2">
      <c r="A127" s="448" t="s">
        <v>145</v>
      </c>
      <c r="B127" s="448" t="s">
        <v>129</v>
      </c>
      <c r="C127" s="448">
        <v>27000</v>
      </c>
      <c r="D127" s="448">
        <v>250</v>
      </c>
      <c r="E127" s="448">
        <f t="shared" si="3"/>
        <v>6750000</v>
      </c>
    </row>
    <row r="128" spans="1:5" x14ac:dyDescent="0.2">
      <c r="A128" s="448" t="s">
        <v>145</v>
      </c>
      <c r="B128" s="448" t="s">
        <v>128</v>
      </c>
      <c r="C128" s="448">
        <v>28000</v>
      </c>
      <c r="D128" s="448">
        <v>21</v>
      </c>
      <c r="E128" s="448">
        <f t="shared" si="3"/>
        <v>588000</v>
      </c>
    </row>
    <row r="129" spans="1:5" x14ac:dyDescent="0.2">
      <c r="A129" s="431" t="s">
        <v>145</v>
      </c>
      <c r="B129" s="431" t="s">
        <v>907</v>
      </c>
      <c r="C129" s="431">
        <v>27871</v>
      </c>
      <c r="D129" s="431">
        <v>98</v>
      </c>
      <c r="E129" s="431">
        <f t="shared" si="3"/>
        <v>2731358</v>
      </c>
    </row>
    <row r="130" spans="1:5" x14ac:dyDescent="0.2">
      <c r="A130" s="431" t="s">
        <v>819</v>
      </c>
      <c r="B130" s="431" t="s">
        <v>813</v>
      </c>
      <c r="C130" s="431">
        <v>30567</v>
      </c>
      <c r="D130" s="431">
        <v>21</v>
      </c>
      <c r="E130" s="431">
        <f t="shared" si="3"/>
        <v>641907</v>
      </c>
    </row>
    <row r="131" spans="1:5" x14ac:dyDescent="0.2">
      <c r="A131" s="431" t="s">
        <v>145</v>
      </c>
      <c r="B131" s="431" t="s">
        <v>703</v>
      </c>
      <c r="C131" s="431">
        <v>41306</v>
      </c>
      <c r="D131" s="431">
        <v>43</v>
      </c>
      <c r="E131" s="431">
        <f t="shared" si="3"/>
        <v>1776158</v>
      </c>
    </row>
    <row r="132" spans="1:5" x14ac:dyDescent="0.2">
      <c r="A132" s="431" t="s">
        <v>145</v>
      </c>
      <c r="B132" s="431" t="s">
        <v>909</v>
      </c>
      <c r="C132" s="431">
        <v>35000</v>
      </c>
      <c r="D132" s="431">
        <v>30</v>
      </c>
      <c r="E132" s="431">
        <f t="shared" si="3"/>
        <v>1050000</v>
      </c>
    </row>
    <row r="133" spans="1:5" x14ac:dyDescent="0.2">
      <c r="A133" s="431" t="s">
        <v>769</v>
      </c>
      <c r="B133" s="431" t="s">
        <v>760</v>
      </c>
      <c r="C133" s="431">
        <v>30000</v>
      </c>
      <c r="D133" s="431">
        <v>9</v>
      </c>
      <c r="E133" s="431">
        <f t="shared" si="3"/>
        <v>270000</v>
      </c>
    </row>
    <row r="134" spans="1:5" x14ac:dyDescent="0.2">
      <c r="A134" s="448" t="s">
        <v>162</v>
      </c>
      <c r="B134" s="448" t="s">
        <v>127</v>
      </c>
      <c r="C134" s="448">
        <v>96000</v>
      </c>
      <c r="D134" s="448">
        <v>1</v>
      </c>
      <c r="E134" s="448">
        <f t="shared" si="3"/>
        <v>96000</v>
      </c>
    </row>
    <row r="135" spans="1:5" x14ac:dyDescent="0.2">
      <c r="A135" s="431" t="s">
        <v>765</v>
      </c>
      <c r="B135" s="431" t="s">
        <v>766</v>
      </c>
      <c r="C135" s="431">
        <v>80000</v>
      </c>
      <c r="D135" s="431">
        <v>1</v>
      </c>
      <c r="E135" s="431">
        <f t="shared" si="3"/>
        <v>80000</v>
      </c>
    </row>
    <row r="136" spans="1:5" x14ac:dyDescent="0.2">
      <c r="A136" s="431" t="s">
        <v>765</v>
      </c>
      <c r="B136" s="431" t="s">
        <v>1051</v>
      </c>
      <c r="C136" s="431">
        <v>44804</v>
      </c>
      <c r="D136" s="431">
        <v>2</v>
      </c>
      <c r="E136" s="431">
        <f t="shared" si="3"/>
        <v>89608</v>
      </c>
    </row>
    <row r="137" spans="1:5" x14ac:dyDescent="0.2">
      <c r="A137" s="448" t="s">
        <v>169</v>
      </c>
      <c r="B137" s="448" t="s">
        <v>128</v>
      </c>
      <c r="C137" s="448">
        <v>50000</v>
      </c>
      <c r="D137" s="448">
        <v>1</v>
      </c>
      <c r="E137" s="448">
        <f t="shared" si="3"/>
        <v>50000</v>
      </c>
    </row>
    <row r="138" spans="1:5" x14ac:dyDescent="0.2">
      <c r="A138" s="448" t="s">
        <v>152</v>
      </c>
      <c r="B138" s="448" t="s">
        <v>125</v>
      </c>
      <c r="C138" s="448">
        <v>80000</v>
      </c>
      <c r="D138" s="448">
        <v>1</v>
      </c>
      <c r="E138" s="448">
        <f t="shared" ref="E138:E171" si="4">C138*D138</f>
        <v>80000</v>
      </c>
    </row>
    <row r="139" spans="1:5" x14ac:dyDescent="0.2">
      <c r="A139" s="448" t="s">
        <v>150</v>
      </c>
      <c r="B139" s="448" t="s">
        <v>127</v>
      </c>
      <c r="C139" s="448">
        <v>45000</v>
      </c>
      <c r="D139" s="448">
        <v>3</v>
      </c>
      <c r="E139" s="448">
        <f t="shared" si="4"/>
        <v>135000</v>
      </c>
    </row>
    <row r="140" spans="1:5" x14ac:dyDescent="0.2">
      <c r="A140" s="448" t="s">
        <v>150</v>
      </c>
      <c r="B140" s="448" t="s">
        <v>129</v>
      </c>
      <c r="C140" s="448">
        <v>50000</v>
      </c>
      <c r="D140" s="448">
        <v>4</v>
      </c>
      <c r="E140" s="448">
        <f t="shared" si="4"/>
        <v>200000</v>
      </c>
    </row>
    <row r="141" spans="1:5" x14ac:dyDescent="0.2">
      <c r="A141" s="448" t="s">
        <v>150</v>
      </c>
      <c r="B141" s="448" t="s">
        <v>128</v>
      </c>
      <c r="C141" s="448">
        <v>35000</v>
      </c>
      <c r="D141" s="448">
        <v>1</v>
      </c>
      <c r="E141" s="448">
        <f t="shared" si="4"/>
        <v>35000</v>
      </c>
    </row>
    <row r="142" spans="1:5" x14ac:dyDescent="0.2">
      <c r="A142" s="448" t="s">
        <v>158</v>
      </c>
      <c r="B142" s="448" t="s">
        <v>129</v>
      </c>
      <c r="C142" s="448">
        <v>75000</v>
      </c>
      <c r="D142" s="448">
        <v>8</v>
      </c>
      <c r="E142" s="448">
        <f t="shared" si="4"/>
        <v>600000</v>
      </c>
    </row>
    <row r="143" spans="1:5" x14ac:dyDescent="0.2">
      <c r="A143" s="431" t="s">
        <v>820</v>
      </c>
      <c r="B143" s="431" t="s">
        <v>813</v>
      </c>
      <c r="C143" s="431">
        <v>47348</v>
      </c>
      <c r="D143" s="431">
        <v>6</v>
      </c>
      <c r="E143" s="431">
        <f t="shared" si="4"/>
        <v>284088</v>
      </c>
    </row>
    <row r="144" spans="1:5" x14ac:dyDescent="0.2">
      <c r="A144" s="431" t="s">
        <v>707</v>
      </c>
      <c r="B144" s="431" t="s">
        <v>703</v>
      </c>
      <c r="C144" s="431">
        <v>52000</v>
      </c>
      <c r="D144" s="431">
        <v>2</v>
      </c>
      <c r="E144" s="431">
        <f t="shared" si="4"/>
        <v>104000</v>
      </c>
    </row>
    <row r="145" spans="1:5" x14ac:dyDescent="0.2">
      <c r="A145" s="431" t="s">
        <v>928</v>
      </c>
      <c r="B145" s="431" t="s">
        <v>908</v>
      </c>
      <c r="C145" s="431">
        <v>35000</v>
      </c>
      <c r="D145" s="431">
        <v>1</v>
      </c>
      <c r="E145" s="431">
        <f t="shared" si="4"/>
        <v>35000</v>
      </c>
    </row>
    <row r="146" spans="1:5" x14ac:dyDescent="0.2">
      <c r="A146" s="431" t="s">
        <v>1053</v>
      </c>
      <c r="B146" s="431" t="s">
        <v>1051</v>
      </c>
      <c r="C146" s="431">
        <v>30289</v>
      </c>
      <c r="D146" s="431">
        <v>3</v>
      </c>
      <c r="E146" s="431">
        <f t="shared" si="4"/>
        <v>90867</v>
      </c>
    </row>
    <row r="147" spans="1:5" x14ac:dyDescent="0.2">
      <c r="A147" s="448" t="s">
        <v>164</v>
      </c>
      <c r="B147" s="448" t="s">
        <v>127</v>
      </c>
      <c r="C147" s="448">
        <v>55000</v>
      </c>
      <c r="D147" s="448">
        <v>1</v>
      </c>
      <c r="E147" s="448">
        <f t="shared" si="4"/>
        <v>55000</v>
      </c>
    </row>
    <row r="148" spans="1:5" x14ac:dyDescent="0.2">
      <c r="A148" s="431" t="s">
        <v>611</v>
      </c>
      <c r="B148" s="431" t="s">
        <v>609</v>
      </c>
      <c r="C148" s="431">
        <v>75000</v>
      </c>
      <c r="D148" s="431">
        <v>2</v>
      </c>
      <c r="E148" s="431">
        <f t="shared" si="4"/>
        <v>150000</v>
      </c>
    </row>
    <row r="149" spans="1:5" x14ac:dyDescent="0.2">
      <c r="A149" s="448" t="s">
        <v>322</v>
      </c>
      <c r="B149" s="448" t="s">
        <v>129</v>
      </c>
      <c r="C149" s="448">
        <v>45000</v>
      </c>
      <c r="D149" s="448">
        <v>2</v>
      </c>
      <c r="E149" s="448">
        <f t="shared" si="4"/>
        <v>90000</v>
      </c>
    </row>
    <row r="150" spans="1:5" x14ac:dyDescent="0.2">
      <c r="A150" s="431" t="s">
        <v>982</v>
      </c>
      <c r="B150" s="431" t="s">
        <v>864</v>
      </c>
      <c r="C150" s="431">
        <v>45000</v>
      </c>
      <c r="D150" s="431">
        <v>1</v>
      </c>
      <c r="E150" s="431">
        <f t="shared" si="4"/>
        <v>45000</v>
      </c>
    </row>
    <row r="151" spans="1:5" x14ac:dyDescent="0.2">
      <c r="A151" s="431" t="s">
        <v>706</v>
      </c>
      <c r="B151" s="431" t="s">
        <v>703</v>
      </c>
      <c r="C151" s="431">
        <v>42500</v>
      </c>
      <c r="D151" s="431">
        <v>6</v>
      </c>
      <c r="E151" s="431">
        <f t="shared" si="4"/>
        <v>255000</v>
      </c>
    </row>
    <row r="152" spans="1:5" x14ac:dyDescent="0.2">
      <c r="A152" s="431" t="s">
        <v>699</v>
      </c>
      <c r="B152" s="431" t="s">
        <v>425</v>
      </c>
      <c r="C152" s="431">
        <v>50000</v>
      </c>
      <c r="D152" s="431">
        <v>1</v>
      </c>
      <c r="E152" s="431">
        <f t="shared" si="4"/>
        <v>50000</v>
      </c>
    </row>
    <row r="153" spans="1:5" x14ac:dyDescent="0.2">
      <c r="A153" s="431" t="s">
        <v>705</v>
      </c>
      <c r="B153" s="431" t="s">
        <v>703</v>
      </c>
      <c r="C153" s="431">
        <v>85588</v>
      </c>
      <c r="D153" s="431">
        <v>17</v>
      </c>
      <c r="E153" s="431">
        <f t="shared" si="4"/>
        <v>1454996</v>
      </c>
    </row>
    <row r="154" spans="1:5" x14ac:dyDescent="0.2">
      <c r="A154" s="448" t="s">
        <v>168</v>
      </c>
      <c r="B154" s="448" t="s">
        <v>127</v>
      </c>
      <c r="C154" s="448">
        <v>60000</v>
      </c>
      <c r="D154" s="448">
        <v>1</v>
      </c>
      <c r="E154" s="448">
        <f t="shared" si="4"/>
        <v>60000</v>
      </c>
    </row>
    <row r="155" spans="1:5" s="39" customFormat="1" x14ac:dyDescent="0.2">
      <c r="A155" s="431" t="s">
        <v>995</v>
      </c>
      <c r="B155" s="431" t="s">
        <v>990</v>
      </c>
      <c r="C155" s="431">
        <v>50000</v>
      </c>
      <c r="D155" s="431">
        <v>8</v>
      </c>
      <c r="E155" s="431">
        <f t="shared" si="4"/>
        <v>400000</v>
      </c>
    </row>
    <row r="156" spans="1:5" x14ac:dyDescent="0.2">
      <c r="A156" s="448" t="s">
        <v>156</v>
      </c>
      <c r="B156" s="448" t="s">
        <v>129</v>
      </c>
      <c r="C156" s="448">
        <v>39000</v>
      </c>
      <c r="D156" s="448">
        <v>4</v>
      </c>
      <c r="E156" s="448">
        <f t="shared" si="4"/>
        <v>156000</v>
      </c>
    </row>
    <row r="157" spans="1:5" x14ac:dyDescent="0.2">
      <c r="A157" s="431" t="s">
        <v>577</v>
      </c>
      <c r="B157" s="431" t="s">
        <v>1051</v>
      </c>
      <c r="C157" s="431">
        <v>65780</v>
      </c>
      <c r="D157" s="431">
        <v>2</v>
      </c>
      <c r="E157" s="431">
        <f t="shared" si="4"/>
        <v>131560</v>
      </c>
    </row>
    <row r="158" spans="1:5" x14ac:dyDescent="0.2">
      <c r="A158" s="431" t="s">
        <v>577</v>
      </c>
      <c r="B158" s="431" t="s">
        <v>956</v>
      </c>
      <c r="C158" s="431">
        <v>88611</v>
      </c>
      <c r="D158" s="431">
        <v>6</v>
      </c>
      <c r="E158" s="431">
        <f t="shared" si="4"/>
        <v>531666</v>
      </c>
    </row>
    <row r="159" spans="1:5" x14ac:dyDescent="0.2">
      <c r="A159" s="431" t="s">
        <v>577</v>
      </c>
      <c r="B159" s="431" t="s">
        <v>690</v>
      </c>
      <c r="C159" s="431">
        <v>75000</v>
      </c>
      <c r="D159" s="431">
        <v>2</v>
      </c>
      <c r="E159" s="431">
        <f t="shared" si="4"/>
        <v>150000</v>
      </c>
    </row>
    <row r="160" spans="1:5" x14ac:dyDescent="0.2">
      <c r="A160" s="448" t="s">
        <v>328</v>
      </c>
      <c r="B160" s="448" t="s">
        <v>125</v>
      </c>
      <c r="C160" s="448">
        <v>35000</v>
      </c>
      <c r="D160" s="448">
        <v>1</v>
      </c>
      <c r="E160" s="448">
        <f t="shared" si="4"/>
        <v>35000</v>
      </c>
    </row>
    <row r="161" spans="1:5" x14ac:dyDescent="0.2">
      <c r="A161" s="448" t="s">
        <v>159</v>
      </c>
      <c r="B161" s="448" t="s">
        <v>124</v>
      </c>
      <c r="C161" s="448">
        <v>45000</v>
      </c>
      <c r="D161" s="448">
        <v>42</v>
      </c>
      <c r="E161" s="448">
        <f t="shared" si="4"/>
        <v>1890000</v>
      </c>
    </row>
    <row r="162" spans="1:5" x14ac:dyDescent="0.2">
      <c r="A162" s="431" t="s">
        <v>615</v>
      </c>
      <c r="B162" s="431" t="s">
        <v>609</v>
      </c>
      <c r="C162" s="431">
        <v>120000</v>
      </c>
      <c r="D162" s="431">
        <v>2</v>
      </c>
      <c r="E162" s="431">
        <f t="shared" si="4"/>
        <v>240000</v>
      </c>
    </row>
    <row r="163" spans="1:5" x14ac:dyDescent="0.2">
      <c r="A163" s="431" t="s">
        <v>960</v>
      </c>
      <c r="B163" s="431" t="s">
        <v>956</v>
      </c>
      <c r="C163" s="431">
        <v>89708</v>
      </c>
      <c r="D163" s="431">
        <v>-4</v>
      </c>
      <c r="E163" s="431">
        <f t="shared" si="4"/>
        <v>-358832</v>
      </c>
    </row>
    <row r="164" spans="1:5" x14ac:dyDescent="0.2">
      <c r="A164" s="431" t="s">
        <v>571</v>
      </c>
      <c r="B164" s="431" t="s">
        <v>569</v>
      </c>
      <c r="C164" s="431">
        <v>40000</v>
      </c>
      <c r="D164" s="431">
        <v>5</v>
      </c>
      <c r="E164" s="431">
        <f t="shared" si="4"/>
        <v>200000</v>
      </c>
    </row>
    <row r="165" spans="1:5" x14ac:dyDescent="0.2">
      <c r="A165" s="448" t="s">
        <v>154</v>
      </c>
      <c r="B165" s="448" t="s">
        <v>129</v>
      </c>
      <c r="C165" s="448">
        <v>26000</v>
      </c>
      <c r="D165" s="448">
        <v>4</v>
      </c>
      <c r="E165" s="448">
        <f t="shared" si="4"/>
        <v>104000</v>
      </c>
    </row>
    <row r="166" spans="1:5" x14ac:dyDescent="0.2">
      <c r="A166" s="431" t="s">
        <v>154</v>
      </c>
      <c r="B166" s="431" t="s">
        <v>956</v>
      </c>
      <c r="C166" s="431">
        <v>41792</v>
      </c>
      <c r="D166" s="431">
        <v>4</v>
      </c>
      <c r="E166" s="431">
        <f t="shared" si="4"/>
        <v>167168</v>
      </c>
    </row>
    <row r="167" spans="1:5" x14ac:dyDescent="0.2">
      <c r="A167" s="431" t="s">
        <v>154</v>
      </c>
      <c r="B167" s="431" t="s">
        <v>703</v>
      </c>
      <c r="C167" s="431">
        <v>52846</v>
      </c>
      <c r="D167" s="431">
        <v>13</v>
      </c>
      <c r="E167" s="431">
        <f t="shared" si="4"/>
        <v>686998</v>
      </c>
    </row>
    <row r="168" spans="1:5" x14ac:dyDescent="0.2">
      <c r="A168" s="431" t="s">
        <v>961</v>
      </c>
      <c r="B168" s="431" t="s">
        <v>956</v>
      </c>
      <c r="C168" s="431">
        <v>27849</v>
      </c>
      <c r="D168" s="431">
        <v>2</v>
      </c>
      <c r="E168" s="431">
        <f t="shared" si="4"/>
        <v>55698</v>
      </c>
    </row>
    <row r="169" spans="1:5" x14ac:dyDescent="0.2">
      <c r="A169" s="431" t="s">
        <v>1055</v>
      </c>
      <c r="B169" s="431" t="s">
        <v>1051</v>
      </c>
      <c r="C169" s="431">
        <v>26832</v>
      </c>
      <c r="D169" s="431">
        <v>2</v>
      </c>
      <c r="E169" s="431">
        <f t="shared" si="4"/>
        <v>53664</v>
      </c>
    </row>
    <row r="170" spans="1:5" x14ac:dyDescent="0.2">
      <c r="A170" s="431" t="s">
        <v>694</v>
      </c>
      <c r="B170" s="431" t="s">
        <v>759</v>
      </c>
      <c r="C170" s="431">
        <v>26850</v>
      </c>
      <c r="D170" s="431">
        <v>4</v>
      </c>
      <c r="E170" s="431">
        <f t="shared" si="4"/>
        <v>107400</v>
      </c>
    </row>
    <row r="171" spans="1:5" x14ac:dyDescent="0.2">
      <c r="A171" s="431" t="s">
        <v>694</v>
      </c>
      <c r="B171" s="431" t="s">
        <v>425</v>
      </c>
      <c r="C171" s="431">
        <v>30000</v>
      </c>
      <c r="D171" s="431">
        <v>1</v>
      </c>
      <c r="E171" s="431">
        <f t="shared" si="4"/>
        <v>30000</v>
      </c>
    </row>
    <row r="172" spans="1:5" x14ac:dyDescent="0.2">
      <c r="A172" s="448" t="s">
        <v>327</v>
      </c>
      <c r="B172" s="448" t="s">
        <v>129</v>
      </c>
      <c r="C172" s="448">
        <v>80000</v>
      </c>
      <c r="D172" s="448">
        <v>1</v>
      </c>
      <c r="E172" s="448">
        <f t="shared" ref="E172:E191" si="5">C172*D172</f>
        <v>80000</v>
      </c>
    </row>
    <row r="173" spans="1:5" x14ac:dyDescent="0.2">
      <c r="A173" s="431" t="s">
        <v>932</v>
      </c>
      <c r="B173" s="431" t="s">
        <v>930</v>
      </c>
      <c r="C173" s="431">
        <v>65000</v>
      </c>
      <c r="D173" s="431">
        <v>4</v>
      </c>
      <c r="E173" s="431">
        <f t="shared" si="5"/>
        <v>260000</v>
      </c>
    </row>
    <row r="174" spans="1:5" s="77" customFormat="1" x14ac:dyDescent="0.2">
      <c r="A174" s="448" t="s">
        <v>207</v>
      </c>
      <c r="B174" s="448" t="s">
        <v>387</v>
      </c>
      <c r="C174" s="448">
        <v>42000</v>
      </c>
      <c r="D174" s="448">
        <v>8</v>
      </c>
      <c r="E174" s="448">
        <f t="shared" si="5"/>
        <v>336000</v>
      </c>
    </row>
    <row r="175" spans="1:5" s="77" customFormat="1" x14ac:dyDescent="0.2">
      <c r="A175" s="431" t="s">
        <v>1010</v>
      </c>
      <c r="B175" s="431" t="s">
        <v>908</v>
      </c>
      <c r="C175" s="431">
        <v>50000</v>
      </c>
      <c r="D175" s="431">
        <v>1</v>
      </c>
      <c r="E175" s="431">
        <f t="shared" si="5"/>
        <v>50000</v>
      </c>
    </row>
    <row r="176" spans="1:5" s="77" customFormat="1" x14ac:dyDescent="0.2">
      <c r="A176" s="431" t="s">
        <v>708</v>
      </c>
      <c r="B176" s="431" t="s">
        <v>703</v>
      </c>
      <c r="C176" s="431">
        <v>27000</v>
      </c>
      <c r="D176" s="431">
        <v>3</v>
      </c>
      <c r="E176" s="431">
        <f t="shared" si="5"/>
        <v>81000</v>
      </c>
    </row>
    <row r="177" spans="1:5" x14ac:dyDescent="0.2">
      <c r="A177" s="431" t="s">
        <v>983</v>
      </c>
      <c r="B177" s="431" t="s">
        <v>864</v>
      </c>
      <c r="C177" s="431">
        <v>55000</v>
      </c>
      <c r="D177" s="431">
        <v>1</v>
      </c>
      <c r="E177" s="431">
        <f t="shared" si="5"/>
        <v>55000</v>
      </c>
    </row>
    <row r="178" spans="1:5" s="77" customFormat="1" x14ac:dyDescent="0.2">
      <c r="A178" s="431" t="s">
        <v>716</v>
      </c>
      <c r="B178" s="431" t="s">
        <v>690</v>
      </c>
      <c r="C178" s="431">
        <v>36000</v>
      </c>
      <c r="D178" s="431">
        <v>10</v>
      </c>
      <c r="E178" s="431">
        <f t="shared" si="5"/>
        <v>360000</v>
      </c>
    </row>
    <row r="179" spans="1:5" s="77" customFormat="1" x14ac:dyDescent="0.2">
      <c r="A179" s="431" t="s">
        <v>716</v>
      </c>
      <c r="B179" s="431" t="s">
        <v>907</v>
      </c>
      <c r="C179" s="431">
        <v>43788</v>
      </c>
      <c r="D179" s="431">
        <v>8</v>
      </c>
      <c r="E179" s="431">
        <f t="shared" si="5"/>
        <v>350304</v>
      </c>
    </row>
    <row r="180" spans="1:5" s="77" customFormat="1" x14ac:dyDescent="0.2">
      <c r="A180" s="431" t="s">
        <v>1054</v>
      </c>
      <c r="B180" s="431" t="s">
        <v>1051</v>
      </c>
      <c r="C180" s="431">
        <v>30000</v>
      </c>
      <c r="D180" s="431">
        <v>23</v>
      </c>
      <c r="E180" s="431">
        <f t="shared" si="5"/>
        <v>690000</v>
      </c>
    </row>
    <row r="181" spans="1:5" s="77" customFormat="1" x14ac:dyDescent="0.2">
      <c r="A181" s="431" t="s">
        <v>712</v>
      </c>
      <c r="B181" s="431" t="s">
        <v>815</v>
      </c>
      <c r="C181" s="431">
        <v>37060</v>
      </c>
      <c r="D181" s="431">
        <v>2</v>
      </c>
      <c r="E181" s="431">
        <f t="shared" si="5"/>
        <v>74120</v>
      </c>
    </row>
    <row r="182" spans="1:5" s="77" customFormat="1" x14ac:dyDescent="0.2">
      <c r="A182" s="431" t="s">
        <v>613</v>
      </c>
      <c r="B182" s="431" t="s">
        <v>609</v>
      </c>
      <c r="C182" s="431">
        <v>60000</v>
      </c>
      <c r="D182" s="431">
        <v>5</v>
      </c>
      <c r="E182" s="431">
        <f t="shared" si="5"/>
        <v>300000</v>
      </c>
    </row>
    <row r="183" spans="1:5" x14ac:dyDescent="0.2">
      <c r="A183" s="448" t="s">
        <v>324</v>
      </c>
      <c r="B183" s="448" t="s">
        <v>129</v>
      </c>
      <c r="C183" s="448">
        <v>55000</v>
      </c>
      <c r="D183" s="448">
        <v>2</v>
      </c>
      <c r="E183" s="448">
        <f t="shared" si="5"/>
        <v>110000</v>
      </c>
    </row>
    <row r="184" spans="1:5" x14ac:dyDescent="0.2">
      <c r="A184" s="431" t="s">
        <v>572</v>
      </c>
      <c r="B184" s="431" t="s">
        <v>569</v>
      </c>
      <c r="C184" s="431">
        <v>150000</v>
      </c>
      <c r="D184" s="431">
        <v>1</v>
      </c>
      <c r="E184" s="431">
        <f t="shared" si="5"/>
        <v>150000</v>
      </c>
    </row>
    <row r="185" spans="1:5" x14ac:dyDescent="0.2">
      <c r="A185" s="431" t="s">
        <v>572</v>
      </c>
      <c r="B185" s="431" t="s">
        <v>569</v>
      </c>
      <c r="C185" s="431">
        <v>80000</v>
      </c>
      <c r="D185" s="431">
        <v>3</v>
      </c>
      <c r="E185" s="431">
        <f t="shared" si="5"/>
        <v>240000</v>
      </c>
    </row>
    <row r="186" spans="1:5" x14ac:dyDescent="0.2">
      <c r="A186" s="448" t="s">
        <v>323</v>
      </c>
      <c r="B186" s="448" t="s">
        <v>129</v>
      </c>
      <c r="C186" s="448">
        <v>27000</v>
      </c>
      <c r="D186" s="448">
        <v>39</v>
      </c>
      <c r="E186" s="448">
        <f t="shared" si="5"/>
        <v>1053000</v>
      </c>
    </row>
    <row r="187" spans="1:5" x14ac:dyDescent="0.2">
      <c r="A187" s="431" t="s">
        <v>925</v>
      </c>
      <c r="B187" s="431" t="s">
        <v>908</v>
      </c>
      <c r="C187" s="431">
        <v>28500</v>
      </c>
      <c r="D187" s="431">
        <v>2</v>
      </c>
      <c r="E187" s="431">
        <f t="shared" si="5"/>
        <v>57000</v>
      </c>
    </row>
    <row r="188" spans="1:5" x14ac:dyDescent="0.2">
      <c r="A188" s="431" t="s">
        <v>698</v>
      </c>
      <c r="B188" s="431" t="s">
        <v>425</v>
      </c>
      <c r="C188" s="431">
        <v>35000</v>
      </c>
      <c r="D188" s="431">
        <v>1</v>
      </c>
      <c r="E188" s="431">
        <f t="shared" si="5"/>
        <v>35000</v>
      </c>
    </row>
    <row r="189" spans="1:5" x14ac:dyDescent="0.2">
      <c r="A189" s="431" t="s">
        <v>926</v>
      </c>
      <c r="B189" s="431" t="s">
        <v>908</v>
      </c>
      <c r="C189" s="431">
        <v>46000</v>
      </c>
      <c r="D189" s="431">
        <v>1</v>
      </c>
      <c r="E189" s="431">
        <f t="shared" si="5"/>
        <v>46000</v>
      </c>
    </row>
    <row r="190" spans="1:5" x14ac:dyDescent="0.2">
      <c r="A190" s="431" t="s">
        <v>1009</v>
      </c>
      <c r="B190" s="431" t="s">
        <v>908</v>
      </c>
      <c r="C190" s="431">
        <v>60000</v>
      </c>
      <c r="D190" s="431">
        <v>1</v>
      </c>
      <c r="E190" s="431">
        <f t="shared" si="5"/>
        <v>60000</v>
      </c>
    </row>
    <row r="191" spans="1:5" x14ac:dyDescent="0.2">
      <c r="A191" s="431" t="s">
        <v>709</v>
      </c>
      <c r="B191" s="431" t="s">
        <v>816</v>
      </c>
      <c r="C191" s="431">
        <v>31200</v>
      </c>
      <c r="D191" s="431">
        <v>24</v>
      </c>
      <c r="E191" s="431">
        <f t="shared" si="5"/>
        <v>748800</v>
      </c>
    </row>
    <row r="192" spans="1:5" x14ac:dyDescent="0.2">
      <c r="A192" s="261"/>
    </row>
    <row r="193" spans="1:7" x14ac:dyDescent="0.2">
      <c r="A193" s="261"/>
    </row>
    <row r="194" spans="1:7" x14ac:dyDescent="0.2">
      <c r="A194" s="261"/>
      <c r="D194" s="77">
        <f>SUM(D5:D191)</f>
        <v>1885</v>
      </c>
      <c r="E194" s="1">
        <f>SUM(E5:E191)</f>
        <v>84749231</v>
      </c>
      <c r="F194">
        <f>'4. Jobs'!$G$131</f>
        <v>1885</v>
      </c>
    </row>
    <row r="195" spans="1:7" x14ac:dyDescent="0.2">
      <c r="A195" s="77" t="s">
        <v>236</v>
      </c>
      <c r="E195" s="200">
        <f>E194/D194</f>
        <v>44959.804244031831</v>
      </c>
      <c r="G195" s="1"/>
    </row>
    <row r="196" spans="1:7" x14ac:dyDescent="0.2">
      <c r="A196" s="77" t="s">
        <v>237</v>
      </c>
      <c r="D196" s="85">
        <f>'5. Payroll'!$R$130</f>
        <v>0.222962962962963</v>
      </c>
      <c r="E196" s="200">
        <f>E195*D196</f>
        <v>10024.371168484136</v>
      </c>
      <c r="G196" s="317"/>
    </row>
    <row r="197" spans="1:7" x14ac:dyDescent="0.2">
      <c r="A197" s="77" t="s">
        <v>238</v>
      </c>
      <c r="E197" s="200">
        <f>E195+(E195*D196)</f>
        <v>54984.175412515964</v>
      </c>
    </row>
    <row r="198" spans="1:7" x14ac:dyDescent="0.2">
      <c r="A198" s="77"/>
      <c r="E198" s="200"/>
    </row>
    <row r="199" spans="1:7" x14ac:dyDescent="0.2">
      <c r="A199" s="77" t="s">
        <v>171</v>
      </c>
    </row>
    <row r="200" spans="1:7" x14ac:dyDescent="0.2">
      <c r="A200" s="413" t="s">
        <v>714</v>
      </c>
      <c r="D200">
        <f>SUM(D6,D49,D94,D107,D159,D178)</f>
        <v>95</v>
      </c>
    </row>
    <row r="201" spans="1:7" x14ac:dyDescent="0.2">
      <c r="A201" s="413" t="s">
        <v>815</v>
      </c>
      <c r="D201">
        <f>SUM(D48,D67,D80,D105,D108,D181,D191)</f>
        <v>43</v>
      </c>
    </row>
    <row r="202" spans="1:7" x14ac:dyDescent="0.2">
      <c r="A202" s="261" t="s">
        <v>124</v>
      </c>
      <c r="D202">
        <f>SUM(D12,D109,D125,D161,)</f>
        <v>270</v>
      </c>
    </row>
    <row r="203" spans="1:7" x14ac:dyDescent="0.2">
      <c r="A203" s="413" t="s">
        <v>691</v>
      </c>
      <c r="D203">
        <f>SUM(D19,D98,D131,D144,D151,D153,D167,D176)</f>
        <v>108</v>
      </c>
    </row>
    <row r="204" spans="1:7" x14ac:dyDescent="0.2">
      <c r="A204" s="413" t="s">
        <v>813</v>
      </c>
      <c r="D204">
        <f>SUM(D18,D130,D143)</f>
        <v>32</v>
      </c>
    </row>
    <row r="205" spans="1:7" x14ac:dyDescent="0.2">
      <c r="A205" s="261" t="s">
        <v>129</v>
      </c>
      <c r="D205">
        <f>SUM(D16,D34,D36,D46,D50,D58,D87,D89,D127,D140,D142, D149,D156,D165,D172,D183,D186)</f>
        <v>376</v>
      </c>
    </row>
    <row r="206" spans="1:7" x14ac:dyDescent="0.2">
      <c r="A206" s="261" t="s">
        <v>125</v>
      </c>
      <c r="D206">
        <f>SUM(D13,D42,D65,D117,D138,D160,)</f>
        <v>26</v>
      </c>
    </row>
    <row r="207" spans="1:7" x14ac:dyDescent="0.2">
      <c r="A207" s="261" t="s">
        <v>127</v>
      </c>
      <c r="D207">
        <f>SUM(D25,D35,D75,D95,D134,D139,D147,D154,)</f>
        <v>80</v>
      </c>
    </row>
    <row r="208" spans="1:7" x14ac:dyDescent="0.2">
      <c r="A208" s="261" t="s">
        <v>128</v>
      </c>
      <c r="D208">
        <f>SUM(D39,D128,D137,D141)</f>
        <v>24</v>
      </c>
    </row>
    <row r="209" spans="1:5" x14ac:dyDescent="0.2">
      <c r="A209" s="261" t="s">
        <v>387</v>
      </c>
      <c r="D209" s="261">
        <f>SUM(D61,D174)</f>
        <v>28</v>
      </c>
    </row>
    <row r="210" spans="1:5" x14ac:dyDescent="0.2">
      <c r="A210" s="261" t="s">
        <v>425</v>
      </c>
      <c r="D210">
        <f>SUM(D22,D27,D28,D30,D32,D45,D62,D97,D111,D112,D122,D152,D171,D188)</f>
        <v>14</v>
      </c>
    </row>
    <row r="211" spans="1:5" x14ac:dyDescent="0.2">
      <c r="A211" s="261" t="s">
        <v>471</v>
      </c>
      <c r="D211">
        <f>SUM(D47,D100,D101,D106)</f>
        <v>10</v>
      </c>
    </row>
    <row r="212" spans="1:5" x14ac:dyDescent="0.2">
      <c r="A212" s="413" t="s">
        <v>531</v>
      </c>
      <c r="D212">
        <f>SUM(D9,D56,D59,D60,D74,D86)</f>
        <v>28</v>
      </c>
    </row>
    <row r="213" spans="1:5" x14ac:dyDescent="0.2">
      <c r="A213" s="413" t="s">
        <v>563</v>
      </c>
      <c r="D213">
        <f>SUM(D26,D38,D81,D102,D118,D126)</f>
        <v>29</v>
      </c>
    </row>
    <row r="214" spans="1:5" x14ac:dyDescent="0.2">
      <c r="A214" s="413" t="s">
        <v>569</v>
      </c>
      <c r="D214">
        <f>SUM(D31,D115,D184,D120,D164,D185)</f>
        <v>25</v>
      </c>
    </row>
    <row r="215" spans="1:5" x14ac:dyDescent="0.2">
      <c r="A215" s="413" t="s">
        <v>609</v>
      </c>
      <c r="D215">
        <f>SUM(D123,D148,D162,D182)</f>
        <v>26</v>
      </c>
    </row>
    <row r="216" spans="1:5" x14ac:dyDescent="0.2">
      <c r="A216" s="431" t="s">
        <v>639</v>
      </c>
      <c r="B216" s="39"/>
      <c r="C216" s="39"/>
      <c r="D216" s="39">
        <f>SUM(D10,D14,D29,D78,D103,D104,D110,)</f>
        <v>10</v>
      </c>
      <c r="E216" s="39"/>
    </row>
    <row r="217" spans="1:5" x14ac:dyDescent="0.2">
      <c r="A217" s="431" t="s">
        <v>760</v>
      </c>
      <c r="B217" s="39"/>
      <c r="C217" s="39"/>
      <c r="D217" s="39">
        <f>SUM(D7,D66,D99,D124,D133,D135,D33)</f>
        <v>24</v>
      </c>
      <c r="E217" s="39"/>
    </row>
    <row r="218" spans="1:5" x14ac:dyDescent="0.2">
      <c r="A218" s="431" t="s">
        <v>759</v>
      </c>
      <c r="B218" s="39"/>
      <c r="C218" s="39"/>
      <c r="D218" s="39">
        <f>SUM(D15,D90,D41,D96,D170)</f>
        <v>20</v>
      </c>
      <c r="E218" s="39"/>
    </row>
    <row r="219" spans="1:5" x14ac:dyDescent="0.2">
      <c r="A219" s="431" t="s">
        <v>864</v>
      </c>
      <c r="B219" s="39"/>
      <c r="C219" s="39"/>
      <c r="D219" s="39">
        <f>SUM(D11,D82,D64,D88,D119,D116,D121,D72,D150,D177)</f>
        <v>35</v>
      </c>
      <c r="E219" s="39"/>
    </row>
    <row r="220" spans="1:5" x14ac:dyDescent="0.2">
      <c r="A220" s="431" t="s">
        <v>907</v>
      </c>
      <c r="B220" s="39"/>
      <c r="C220" s="39"/>
      <c r="D220" s="39">
        <f>SUM(D17,D55,D129,D179)</f>
        <v>132</v>
      </c>
      <c r="E220" s="39"/>
    </row>
    <row r="221" spans="1:5" x14ac:dyDescent="0.2">
      <c r="A221" s="431" t="s">
        <v>908</v>
      </c>
      <c r="B221" s="39"/>
      <c r="C221" s="39"/>
      <c r="D221" s="39">
        <f>SUM(D23,D24,D37,D145,D189,D73,D79,D84,D91,D92,D93,D187,D190,D76,D175)</f>
        <v>16</v>
      </c>
      <c r="E221" s="39"/>
    </row>
    <row r="222" spans="1:5" x14ac:dyDescent="0.2">
      <c r="A222" s="431" t="s">
        <v>912</v>
      </c>
      <c r="B222" s="39"/>
      <c r="C222" s="39"/>
      <c r="D222" s="39">
        <f>SUM(D51,D132)</f>
        <v>60</v>
      </c>
      <c r="E222" s="39"/>
    </row>
    <row r="223" spans="1:5" x14ac:dyDescent="0.2">
      <c r="A223" s="413" t="s">
        <v>930</v>
      </c>
      <c r="D223">
        <f>SUM(D20,D63,D69,D77,D83,D173)</f>
        <v>123</v>
      </c>
    </row>
    <row r="224" spans="1:5" x14ac:dyDescent="0.2">
      <c r="A224" s="413" t="s">
        <v>956</v>
      </c>
      <c r="D224">
        <f>SUM(D44,D54,D68,D70,D158,D163,D166,D168)</f>
        <v>109</v>
      </c>
    </row>
    <row r="225" spans="1:4" x14ac:dyDescent="0.2">
      <c r="A225" s="413" t="s">
        <v>990</v>
      </c>
      <c r="D225">
        <f>SUM(D8,D43,D40,D57,D155,D71,D113)</f>
        <v>70</v>
      </c>
    </row>
    <row r="226" spans="1:4" x14ac:dyDescent="0.2">
      <c r="A226" s="413" t="s">
        <v>1051</v>
      </c>
      <c r="D226">
        <f>SUM(D21,D52,D53,D85,D114,D136,D146,D157,D169,D180)</f>
        <v>72</v>
      </c>
    </row>
    <row r="227" spans="1:4" x14ac:dyDescent="0.2">
      <c r="A227" s="413"/>
      <c r="D227" s="77">
        <f>SUM(D200:D226)</f>
        <v>1885</v>
      </c>
    </row>
    <row r="228" spans="1:4" x14ac:dyDescent="0.2">
      <c r="A228" s="261"/>
    </row>
    <row r="229" spans="1:4" x14ac:dyDescent="0.2">
      <c r="A229" s="261"/>
    </row>
    <row r="230" spans="1:4" x14ac:dyDescent="0.2">
      <c r="A230" s="261"/>
    </row>
    <row r="231" spans="1:4" x14ac:dyDescent="0.2">
      <c r="A231" s="261"/>
    </row>
    <row r="232" spans="1:4" x14ac:dyDescent="0.2">
      <c r="A232" s="261"/>
    </row>
    <row r="233" spans="1:4" x14ac:dyDescent="0.2">
      <c r="A233" s="261"/>
    </row>
    <row r="234" spans="1:4" x14ac:dyDescent="0.2">
      <c r="A234" s="261"/>
    </row>
    <row r="235" spans="1:4" x14ac:dyDescent="0.2">
      <c r="A235" s="261"/>
    </row>
    <row r="236" spans="1:4" x14ac:dyDescent="0.2">
      <c r="A236" s="261"/>
    </row>
    <row r="237" spans="1:4" x14ac:dyDescent="0.2">
      <c r="A237" s="261"/>
    </row>
    <row r="238" spans="1:4" x14ac:dyDescent="0.2">
      <c r="A238" s="261"/>
    </row>
    <row r="239" spans="1:4" x14ac:dyDescent="0.2">
      <c r="A239" s="261"/>
    </row>
    <row r="240" spans="1:4" x14ac:dyDescent="0.2">
      <c r="A240" s="261"/>
    </row>
    <row r="241" spans="1:1" x14ac:dyDescent="0.2">
      <c r="A241" s="261"/>
    </row>
    <row r="242" spans="1:1" x14ac:dyDescent="0.2">
      <c r="A242" s="261"/>
    </row>
    <row r="243" spans="1:1" x14ac:dyDescent="0.2">
      <c r="A243" s="261"/>
    </row>
    <row r="244" spans="1:1" x14ac:dyDescent="0.2">
      <c r="A244" s="261"/>
    </row>
    <row r="245" spans="1:1" x14ac:dyDescent="0.2">
      <c r="A245" s="261"/>
    </row>
    <row r="246" spans="1:1" x14ac:dyDescent="0.2">
      <c r="A246" s="261"/>
    </row>
    <row r="247" spans="1:1" x14ac:dyDescent="0.2">
      <c r="A247" s="261"/>
    </row>
  </sheetData>
  <mergeCells count="1">
    <mergeCell ref="A1:E1"/>
  </mergeCells>
  <phoneticPr fontId="9" type="noConversion"/>
  <printOptions gridLines="1"/>
  <pageMargins left="0.75" right="0.75" top="1" bottom="1" header="0.5" footer="0.5"/>
  <pageSetup scale="52" orientation="portrait" r:id="rId1"/>
  <headerFooter alignWithMargins="0"/>
  <rowBreaks count="1" manualBreakCount="1">
    <brk id="191" max="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dimension ref="A1:AE140"/>
  <sheetViews>
    <sheetView workbookViewId="0">
      <selection sqref="A1:O2"/>
    </sheetView>
  </sheetViews>
  <sheetFormatPr defaultRowHeight="12.75" x14ac:dyDescent="0.2"/>
  <cols>
    <col min="1" max="1" width="48" customWidth="1"/>
    <col min="4" max="4" width="9.140625" customWidth="1"/>
    <col min="5" max="6" width="13" bestFit="1" customWidth="1"/>
    <col min="7" max="8" width="12.7109375" bestFit="1" customWidth="1"/>
    <col min="9" max="9" width="12.85546875" bestFit="1" customWidth="1"/>
    <col min="10" max="10" width="12" bestFit="1" customWidth="1"/>
    <col min="11" max="11" width="12.7109375" bestFit="1" customWidth="1"/>
    <col min="12" max="13" width="12.28515625" bestFit="1" customWidth="1"/>
    <col min="14" max="14" width="12.7109375" bestFit="1" customWidth="1"/>
    <col min="15" max="15" width="12.28515625" bestFit="1" customWidth="1"/>
    <col min="16" max="16" width="12" bestFit="1" customWidth="1"/>
    <col min="17" max="18" width="11.85546875" bestFit="1" customWidth="1"/>
    <col min="19" max="19" width="11.5703125" bestFit="1" customWidth="1"/>
    <col min="20" max="21" width="11.85546875" bestFit="1" customWidth="1"/>
    <col min="22" max="23" width="11.5703125" bestFit="1" customWidth="1"/>
    <col min="24" max="24" width="11.85546875" bestFit="1" customWidth="1"/>
    <col min="25" max="25" width="11.140625" bestFit="1" customWidth="1"/>
    <col min="26" max="26" width="11" style="39" customWidth="1"/>
    <col min="27" max="27" width="11.28515625" style="39" customWidth="1"/>
    <col min="28" max="28" width="10.140625" style="39" bestFit="1" customWidth="1"/>
    <col min="29" max="29" width="11" style="71" customWidth="1"/>
    <col min="30" max="30" width="11.28515625" style="39" customWidth="1"/>
    <col min="31" max="31" width="9.140625" style="39"/>
  </cols>
  <sheetData>
    <row r="1" spans="1:31" x14ac:dyDescent="0.2">
      <c r="A1" s="4311" t="s">
        <v>352</v>
      </c>
      <c r="B1" s="4324"/>
      <c r="C1" s="4324"/>
      <c r="D1" s="4324"/>
      <c r="E1" s="4324"/>
      <c r="F1" s="4324"/>
      <c r="G1" s="4324"/>
      <c r="H1" s="4324"/>
      <c r="I1" s="4324"/>
      <c r="J1" s="4324"/>
      <c r="K1" s="4324"/>
      <c r="L1" s="4324"/>
      <c r="M1" s="4324"/>
      <c r="N1" s="4324"/>
      <c r="O1" s="4325"/>
    </row>
    <row r="2" spans="1:31" ht="13.5" thickBot="1" x14ac:dyDescent="0.25">
      <c r="A2" s="4326"/>
      <c r="B2" s="4327"/>
      <c r="C2" s="4327"/>
      <c r="D2" s="4327"/>
      <c r="E2" s="4324"/>
      <c r="F2" s="4324"/>
      <c r="G2" s="4324"/>
      <c r="H2" s="4324"/>
      <c r="I2" s="4324"/>
      <c r="J2" s="4324"/>
      <c r="K2" s="4324"/>
      <c r="L2" s="4324"/>
      <c r="M2" s="4324"/>
      <c r="N2" s="4324"/>
      <c r="O2" s="4325"/>
    </row>
    <row r="3" spans="1:31" ht="14.25" thickTop="1" thickBot="1" x14ac:dyDescent="0.25">
      <c r="A3" s="8" t="s">
        <v>2</v>
      </c>
      <c r="B3" s="12" t="s">
        <v>42</v>
      </c>
      <c r="C3" s="12"/>
      <c r="D3" s="53" t="s">
        <v>43</v>
      </c>
      <c r="E3" s="55" t="s">
        <v>92</v>
      </c>
      <c r="F3" s="56"/>
      <c r="G3" s="56"/>
      <c r="H3" s="56"/>
      <c r="I3" s="56"/>
      <c r="J3" s="56"/>
      <c r="K3" s="56"/>
      <c r="L3" s="56"/>
      <c r="M3" s="56"/>
      <c r="N3" s="56"/>
      <c r="O3" s="56"/>
      <c r="P3" s="56"/>
      <c r="Q3" s="56"/>
      <c r="R3" s="56"/>
      <c r="S3" s="56"/>
      <c r="T3" s="56"/>
      <c r="U3" s="56"/>
      <c r="V3" s="57"/>
      <c r="W3" s="56"/>
      <c r="X3" s="56"/>
      <c r="Y3" s="57"/>
      <c r="Z3" s="4318"/>
      <c r="AA3" s="4319"/>
      <c r="AB3" s="4320"/>
      <c r="AC3" s="4318"/>
      <c r="AD3" s="4319"/>
      <c r="AE3" s="4320"/>
    </row>
    <row r="4" spans="1:31" ht="13.5" thickBot="1" x14ac:dyDescent="0.25">
      <c r="A4" s="9" t="s">
        <v>3</v>
      </c>
      <c r="B4" s="13" t="s">
        <v>4</v>
      </c>
      <c r="C4" s="13" t="s">
        <v>5</v>
      </c>
      <c r="D4" s="54" t="s">
        <v>4</v>
      </c>
      <c r="E4" s="61" t="s">
        <v>69</v>
      </c>
      <c r="F4" s="60" t="s">
        <v>69</v>
      </c>
      <c r="G4" s="63" t="s">
        <v>69</v>
      </c>
      <c r="H4" s="4328">
        <v>2007</v>
      </c>
      <c r="I4" s="4329"/>
      <c r="J4" s="4330"/>
      <c r="K4" s="4328">
        <v>2008</v>
      </c>
      <c r="L4" s="4329"/>
      <c r="M4" s="4330"/>
      <c r="N4" s="4328">
        <v>2009</v>
      </c>
      <c r="O4" s="4329"/>
      <c r="P4" s="4330"/>
      <c r="Q4" s="4331">
        <v>2010</v>
      </c>
      <c r="R4" s="4332"/>
      <c r="S4" s="4333"/>
      <c r="T4" s="4331">
        <v>2011</v>
      </c>
      <c r="U4" s="4332"/>
      <c r="V4" s="4333"/>
      <c r="W4" s="4331">
        <v>2012</v>
      </c>
      <c r="X4" s="4332"/>
      <c r="Y4" s="4333"/>
      <c r="Z4" s="4321">
        <v>2013</v>
      </c>
      <c r="AA4" s="4322"/>
      <c r="AB4" s="4323"/>
      <c r="AC4" s="4321">
        <v>2014</v>
      </c>
      <c r="AD4" s="4322"/>
      <c r="AE4" s="4323"/>
    </row>
    <row r="5" spans="1:31" ht="14.25" thickTop="1" thickBot="1" x14ac:dyDescent="0.25">
      <c r="A5" s="20" t="s">
        <v>89</v>
      </c>
      <c r="B5" s="21"/>
      <c r="C5" s="21"/>
      <c r="D5" s="21"/>
      <c r="E5" s="62" t="s">
        <v>72</v>
      </c>
      <c r="F5" s="59" t="s">
        <v>93</v>
      </c>
      <c r="G5" s="64" t="s">
        <v>95</v>
      </c>
      <c r="H5" s="62" t="s">
        <v>69</v>
      </c>
      <c r="I5" s="65" t="s">
        <v>93</v>
      </c>
      <c r="J5" s="64" t="s">
        <v>94</v>
      </c>
      <c r="K5" s="62" t="s">
        <v>69</v>
      </c>
      <c r="L5" s="65" t="s">
        <v>93</v>
      </c>
      <c r="M5" s="64" t="s">
        <v>94</v>
      </c>
      <c r="N5" s="62" t="s">
        <v>69</v>
      </c>
      <c r="O5" s="65" t="s">
        <v>93</v>
      </c>
      <c r="P5" s="64" t="s">
        <v>94</v>
      </c>
      <c r="Q5" s="62" t="s">
        <v>69</v>
      </c>
      <c r="R5" s="65" t="s">
        <v>93</v>
      </c>
      <c r="S5" s="64" t="s">
        <v>94</v>
      </c>
      <c r="T5" s="62" t="s">
        <v>69</v>
      </c>
      <c r="U5" s="65" t="s">
        <v>93</v>
      </c>
      <c r="V5" s="64" t="s">
        <v>94</v>
      </c>
      <c r="W5" s="62" t="s">
        <v>69</v>
      </c>
      <c r="X5" s="65" t="s">
        <v>93</v>
      </c>
      <c r="Y5" s="64" t="s">
        <v>94</v>
      </c>
      <c r="Z5" s="573" t="s">
        <v>69</v>
      </c>
      <c r="AA5" s="574" t="s">
        <v>93</v>
      </c>
      <c r="AB5" s="574" t="s">
        <v>94</v>
      </c>
      <c r="AC5" s="573" t="s">
        <v>69</v>
      </c>
      <c r="AD5" s="574" t="s">
        <v>93</v>
      </c>
      <c r="AE5" s="575" t="s">
        <v>94</v>
      </c>
    </row>
    <row r="6" spans="1:31" ht="14.25" thickTop="1" thickBot="1" x14ac:dyDescent="0.25">
      <c r="A6" s="670" t="s">
        <v>49</v>
      </c>
      <c r="B6" s="671"/>
      <c r="C6" s="671"/>
      <c r="D6" s="751"/>
      <c r="E6" s="280"/>
      <c r="F6" s="52"/>
      <c r="G6" s="351"/>
      <c r="H6" s="280"/>
      <c r="I6" s="101"/>
      <c r="J6" s="351"/>
      <c r="K6" s="280"/>
      <c r="L6" s="101"/>
      <c r="M6" s="351"/>
      <c r="N6" s="280"/>
      <c r="O6" s="101"/>
      <c r="P6" s="351"/>
      <c r="Q6" s="280"/>
      <c r="R6" s="101"/>
      <c r="S6" s="351"/>
      <c r="T6" s="280"/>
      <c r="U6" s="101"/>
      <c r="V6" s="351"/>
      <c r="W6" s="280"/>
      <c r="X6" s="101"/>
      <c r="Y6" s="351"/>
      <c r="Z6" s="1618"/>
      <c r="AA6" s="1619"/>
      <c r="AB6" s="104"/>
      <c r="AC6" s="1618"/>
      <c r="AD6" s="1619"/>
      <c r="AE6" s="104"/>
    </row>
    <row r="7" spans="1:31" x14ac:dyDescent="0.2">
      <c r="A7" s="475" t="s">
        <v>39</v>
      </c>
      <c r="B7" s="476" t="s">
        <v>7</v>
      </c>
      <c r="C7" s="476" t="s">
        <v>132</v>
      </c>
      <c r="D7" s="780" t="s">
        <v>8</v>
      </c>
      <c r="E7" s="280"/>
      <c r="F7" s="52"/>
      <c r="G7" s="351"/>
      <c r="H7" s="280"/>
      <c r="I7" s="101"/>
      <c r="J7" s="351"/>
      <c r="K7" s="280"/>
      <c r="L7" s="101"/>
      <c r="M7" s="351"/>
      <c r="N7" s="280"/>
      <c r="O7" s="101"/>
      <c r="P7" s="351"/>
      <c r="Q7" s="280"/>
      <c r="R7" s="101"/>
      <c r="S7" s="351"/>
      <c r="T7" s="280"/>
      <c r="U7" s="101"/>
      <c r="V7" s="351"/>
      <c r="W7" s="280"/>
      <c r="X7" s="101"/>
      <c r="Y7" s="351"/>
      <c r="Z7" s="102"/>
      <c r="AA7" s="103"/>
      <c r="AB7" s="212"/>
      <c r="AC7" s="102"/>
      <c r="AD7" s="103"/>
      <c r="AE7" s="212"/>
    </row>
    <row r="8" spans="1:31" x14ac:dyDescent="0.2">
      <c r="A8" s="475" t="s">
        <v>13</v>
      </c>
      <c r="B8" s="476" t="s">
        <v>14</v>
      </c>
      <c r="C8" s="476" t="s">
        <v>132</v>
      </c>
      <c r="D8" s="780" t="s">
        <v>8</v>
      </c>
      <c r="E8" s="280"/>
      <c r="F8" s="52"/>
      <c r="G8" s="351"/>
      <c r="H8" s="280"/>
      <c r="I8" s="101"/>
      <c r="J8" s="351"/>
      <c r="K8" s="280"/>
      <c r="L8" s="101"/>
      <c r="M8" s="351"/>
      <c r="N8" s="280"/>
      <c r="O8" s="101"/>
      <c r="P8" s="351"/>
      <c r="Q8" s="280"/>
      <c r="R8" s="101"/>
      <c r="S8" s="351"/>
      <c r="T8" s="280"/>
      <c r="U8" s="101"/>
      <c r="V8" s="351"/>
      <c r="W8" s="280"/>
      <c r="X8" s="101"/>
      <c r="Y8" s="351"/>
      <c r="Z8" s="102"/>
      <c r="AA8" s="103"/>
      <c r="AB8" s="212"/>
      <c r="AC8" s="102"/>
      <c r="AD8" s="103"/>
      <c r="AE8" s="212"/>
    </row>
    <row r="9" spans="1:31" x14ac:dyDescent="0.2">
      <c r="A9" s="475" t="s">
        <v>15</v>
      </c>
      <c r="B9" s="476" t="s">
        <v>7</v>
      </c>
      <c r="C9" s="476" t="s">
        <v>132</v>
      </c>
      <c r="D9" s="780" t="s">
        <v>8</v>
      </c>
      <c r="E9" s="280"/>
      <c r="F9" s="52"/>
      <c r="G9" s="351"/>
      <c r="H9" s="280"/>
      <c r="I9" s="101"/>
      <c r="J9" s="351"/>
      <c r="K9" s="280"/>
      <c r="L9" s="101"/>
      <c r="M9" s="351"/>
      <c r="N9" s="280"/>
      <c r="O9" s="101"/>
      <c r="P9" s="351"/>
      <c r="Q9" s="280"/>
      <c r="R9" s="101"/>
      <c r="S9" s="351"/>
      <c r="T9" s="280"/>
      <c r="U9" s="101"/>
      <c r="V9" s="351"/>
      <c r="W9" s="280"/>
      <c r="X9" s="101"/>
      <c r="Y9" s="351"/>
      <c r="Z9" s="102"/>
      <c r="AA9" s="103"/>
      <c r="AB9" s="212"/>
      <c r="AC9" s="102"/>
      <c r="AD9" s="103"/>
      <c r="AE9" s="212"/>
    </row>
    <row r="10" spans="1:31" x14ac:dyDescent="0.2">
      <c r="A10" s="475" t="s">
        <v>15</v>
      </c>
      <c r="B10" s="476" t="s">
        <v>7</v>
      </c>
      <c r="C10" s="476" t="s">
        <v>132</v>
      </c>
      <c r="D10" s="780" t="s">
        <v>16</v>
      </c>
      <c r="E10" s="280"/>
      <c r="F10" s="52"/>
      <c r="G10" s="351"/>
      <c r="H10" s="280"/>
      <c r="I10" s="101"/>
      <c r="J10" s="351"/>
      <c r="K10" s="280"/>
      <c r="L10" s="101"/>
      <c r="M10" s="351"/>
      <c r="N10" s="280"/>
      <c r="O10" s="101"/>
      <c r="P10" s="351"/>
      <c r="Q10" s="280"/>
      <c r="R10" s="101"/>
      <c r="S10" s="351"/>
      <c r="T10" s="280"/>
      <c r="U10" s="101"/>
      <c r="V10" s="351"/>
      <c r="W10" s="280"/>
      <c r="X10" s="101"/>
      <c r="Y10" s="351"/>
      <c r="Z10" s="102"/>
      <c r="AA10" s="103"/>
      <c r="AB10" s="212"/>
      <c r="AC10" s="102"/>
      <c r="AD10" s="103"/>
      <c r="AE10" s="212"/>
    </row>
    <row r="11" spans="1:31" ht="13.5" thickBot="1" x14ac:dyDescent="0.25">
      <c r="A11" s="102"/>
      <c r="B11" s="103"/>
      <c r="C11" s="103"/>
      <c r="D11" s="391"/>
      <c r="E11" s="280"/>
      <c r="F11" s="52"/>
      <c r="G11" s="351"/>
      <c r="H11" s="280"/>
      <c r="I11" s="101"/>
      <c r="J11" s="351"/>
      <c r="K11" s="280"/>
      <c r="L11" s="101"/>
      <c r="M11" s="351"/>
      <c r="N11" s="280"/>
      <c r="O11" s="101"/>
      <c r="P11" s="351"/>
      <c r="Q11" s="280"/>
      <c r="R11" s="101"/>
      <c r="S11" s="351"/>
      <c r="T11" s="280"/>
      <c r="U11" s="101"/>
      <c r="V11" s="351"/>
      <c r="W11" s="280"/>
      <c r="X11" s="101"/>
      <c r="Y11" s="351"/>
      <c r="Z11" s="102"/>
      <c r="AA11" s="103"/>
      <c r="AB11" s="212"/>
      <c r="AC11" s="102"/>
      <c r="AD11" s="103"/>
      <c r="AE11" s="212"/>
    </row>
    <row r="12" spans="1:31" s="39" customFormat="1" ht="14.25" thickTop="1" thickBot="1" x14ac:dyDescent="0.25">
      <c r="A12" s="102"/>
      <c r="B12" s="104"/>
      <c r="C12" s="105"/>
      <c r="D12" s="352"/>
      <c r="E12" s="280"/>
      <c r="F12" s="52"/>
      <c r="G12" s="351"/>
      <c r="H12" s="280"/>
      <c r="I12" s="101"/>
      <c r="J12" s="351"/>
      <c r="K12" s="280"/>
      <c r="L12" s="101"/>
      <c r="M12" s="351"/>
      <c r="N12" s="280"/>
      <c r="O12" s="101"/>
      <c r="P12" s="351"/>
      <c r="Q12" s="280"/>
      <c r="R12" s="101"/>
      <c r="S12" s="351"/>
      <c r="T12" s="280"/>
      <c r="U12" s="101"/>
      <c r="V12" s="351"/>
      <c r="W12" s="280"/>
      <c r="X12" s="101"/>
      <c r="Y12" s="351"/>
      <c r="Z12" s="102"/>
      <c r="AA12" s="103"/>
      <c r="AB12" s="212"/>
      <c r="AC12" s="102"/>
      <c r="AD12" s="103"/>
      <c r="AE12" s="212"/>
    </row>
    <row r="13" spans="1:31" ht="14.25" thickTop="1" thickBot="1" x14ac:dyDescent="0.25">
      <c r="A13" s="670" t="s">
        <v>48</v>
      </c>
      <c r="B13" s="675"/>
      <c r="C13" s="675"/>
      <c r="D13" s="752"/>
      <c r="E13" s="280"/>
      <c r="F13" s="52"/>
      <c r="G13" s="351"/>
      <c r="H13" s="280"/>
      <c r="I13" s="101"/>
      <c r="J13" s="351"/>
      <c r="K13" s="280"/>
      <c r="L13" s="101"/>
      <c r="M13" s="351"/>
      <c r="N13" s="280"/>
      <c r="O13" s="101"/>
      <c r="P13" s="351"/>
      <c r="Q13" s="280"/>
      <c r="R13" s="101"/>
      <c r="S13" s="351"/>
      <c r="T13" s="280"/>
      <c r="U13" s="101"/>
      <c r="V13" s="351"/>
      <c r="W13" s="280"/>
      <c r="X13" s="101"/>
      <c r="Y13" s="351"/>
      <c r="Z13" s="102"/>
      <c r="AA13" s="103"/>
      <c r="AB13" s="212"/>
      <c r="AC13" s="102"/>
      <c r="AD13" s="103"/>
      <c r="AE13" s="212"/>
    </row>
    <row r="14" spans="1:31" s="491" customFormat="1" x14ac:dyDescent="0.2">
      <c r="A14" s="475" t="s">
        <v>13</v>
      </c>
      <c r="B14" s="476" t="s">
        <v>7</v>
      </c>
      <c r="C14" s="476" t="s">
        <v>132</v>
      </c>
      <c r="D14" s="780" t="s">
        <v>8</v>
      </c>
      <c r="E14" s="761"/>
      <c r="F14" s="642"/>
      <c r="G14" s="2133"/>
      <c r="H14" s="761"/>
      <c r="I14" s="760"/>
      <c r="J14" s="2133"/>
      <c r="K14" s="761"/>
      <c r="L14" s="760"/>
      <c r="M14" s="2133"/>
      <c r="N14" s="761"/>
      <c r="O14" s="760"/>
      <c r="P14" s="2133"/>
      <c r="Q14" s="761"/>
      <c r="R14" s="760"/>
      <c r="S14" s="2133"/>
      <c r="T14" s="761"/>
      <c r="U14" s="760"/>
      <c r="V14" s="2133"/>
      <c r="W14" s="761"/>
      <c r="X14" s="760"/>
      <c r="Y14" s="2133"/>
      <c r="Z14" s="1033"/>
      <c r="AA14" s="100"/>
      <c r="AB14" s="211"/>
      <c r="AC14" s="1033"/>
      <c r="AD14" s="100"/>
      <c r="AE14" s="211"/>
    </row>
    <row r="15" spans="1:31" x14ac:dyDescent="0.2">
      <c r="A15" s="475" t="s">
        <v>50</v>
      </c>
      <c r="B15" s="476" t="s">
        <v>14</v>
      </c>
      <c r="C15" s="476" t="s">
        <v>132</v>
      </c>
      <c r="D15" s="780" t="s">
        <v>8</v>
      </c>
      <c r="E15" s="280"/>
      <c r="F15" s="52"/>
      <c r="G15" s="351"/>
      <c r="H15" s="280"/>
      <c r="I15" s="101"/>
      <c r="J15" s="351"/>
      <c r="K15" s="280"/>
      <c r="L15" s="101"/>
      <c r="M15" s="351"/>
      <c r="N15" s="280"/>
      <c r="O15" s="101"/>
      <c r="P15" s="351"/>
      <c r="Q15" s="280"/>
      <c r="R15" s="101"/>
      <c r="S15" s="351"/>
      <c r="T15" s="280"/>
      <c r="U15" s="101"/>
      <c r="V15" s="351"/>
      <c r="W15" s="280"/>
      <c r="X15" s="101"/>
      <c r="Y15" s="351"/>
      <c r="Z15" s="102"/>
      <c r="AA15" s="103"/>
      <c r="AB15" s="212"/>
      <c r="AC15" s="102"/>
      <c r="AD15" s="103"/>
      <c r="AE15" s="212"/>
    </row>
    <row r="16" spans="1:31" x14ac:dyDescent="0.2">
      <c r="A16" s="475" t="s">
        <v>51</v>
      </c>
      <c r="B16" s="476" t="s">
        <v>14</v>
      </c>
      <c r="C16" s="476" t="s">
        <v>132</v>
      </c>
      <c r="D16" s="780" t="s">
        <v>8</v>
      </c>
      <c r="E16" s="280"/>
      <c r="F16" s="52"/>
      <c r="G16" s="351"/>
      <c r="H16" s="280"/>
      <c r="I16" s="101"/>
      <c r="J16" s="351"/>
      <c r="K16" s="280"/>
      <c r="L16" s="101"/>
      <c r="M16" s="351"/>
      <c r="N16" s="280"/>
      <c r="O16" s="101"/>
      <c r="P16" s="351"/>
      <c r="Q16" s="280"/>
      <c r="R16" s="101"/>
      <c r="S16" s="351"/>
      <c r="T16" s="280"/>
      <c r="U16" s="101"/>
      <c r="V16" s="351"/>
      <c r="W16" s="280"/>
      <c r="X16" s="101"/>
      <c r="Y16" s="351"/>
      <c r="Z16" s="102"/>
      <c r="AA16" s="103"/>
      <c r="AB16" s="212"/>
      <c r="AC16" s="102"/>
      <c r="AD16" s="103"/>
      <c r="AE16" s="212"/>
    </row>
    <row r="17" spans="1:31" x14ac:dyDescent="0.2">
      <c r="A17" s="475" t="s">
        <v>52</v>
      </c>
      <c r="B17" s="476" t="s">
        <v>7</v>
      </c>
      <c r="C17" s="476" t="s">
        <v>132</v>
      </c>
      <c r="D17" s="780" t="s">
        <v>8</v>
      </c>
      <c r="E17" s="280"/>
      <c r="F17" s="52"/>
      <c r="G17" s="351"/>
      <c r="H17" s="280"/>
      <c r="I17" s="101"/>
      <c r="J17" s="351"/>
      <c r="K17" s="280"/>
      <c r="L17" s="101"/>
      <c r="M17" s="351"/>
      <c r="N17" s="280"/>
      <c r="O17" s="101"/>
      <c r="P17" s="351"/>
      <c r="Q17" s="280"/>
      <c r="R17" s="101"/>
      <c r="S17" s="351"/>
      <c r="T17" s="280"/>
      <c r="U17" s="101"/>
      <c r="V17" s="351"/>
      <c r="W17" s="280"/>
      <c r="X17" s="101"/>
      <c r="Y17" s="351"/>
      <c r="Z17" s="102"/>
      <c r="AA17" s="103"/>
      <c r="AB17" s="212"/>
      <c r="AC17" s="102"/>
      <c r="AD17" s="103"/>
      <c r="AE17" s="212"/>
    </row>
    <row r="18" spans="1:31" ht="13.5" thickBot="1" x14ac:dyDescent="0.25">
      <c r="A18" s="102"/>
      <c r="B18" s="103"/>
      <c r="C18" s="103"/>
      <c r="D18" s="391"/>
      <c r="E18" s="280"/>
      <c r="F18" s="52"/>
      <c r="G18" s="351"/>
      <c r="H18" s="280"/>
      <c r="I18" s="101"/>
      <c r="J18" s="351"/>
      <c r="K18" s="280"/>
      <c r="L18" s="101"/>
      <c r="M18" s="351"/>
      <c r="N18" s="280"/>
      <c r="O18" s="101"/>
      <c r="P18" s="351"/>
      <c r="Q18" s="280"/>
      <c r="R18" s="101"/>
      <c r="S18" s="351"/>
      <c r="T18" s="280"/>
      <c r="U18" s="101"/>
      <c r="V18" s="351"/>
      <c r="W18" s="280"/>
      <c r="X18" s="101"/>
      <c r="Y18" s="351"/>
      <c r="Z18" s="102"/>
      <c r="AA18" s="103"/>
      <c r="AB18" s="212"/>
      <c r="AC18" s="102"/>
      <c r="AD18" s="103"/>
      <c r="AE18" s="212"/>
    </row>
    <row r="19" spans="1:31" s="39" customFormat="1" ht="14.25" thickTop="1" thickBot="1" x14ac:dyDescent="0.25">
      <c r="A19" s="102"/>
      <c r="B19" s="104"/>
      <c r="C19" s="105"/>
      <c r="D19" s="352"/>
      <c r="E19" s="280"/>
      <c r="F19" s="52"/>
      <c r="G19" s="351"/>
      <c r="H19" s="280"/>
      <c r="I19" s="101"/>
      <c r="J19" s="351"/>
      <c r="K19" s="280"/>
      <c r="L19" s="101"/>
      <c r="M19" s="351"/>
      <c r="N19" s="280"/>
      <c r="O19" s="101"/>
      <c r="P19" s="351"/>
      <c r="Q19" s="280"/>
      <c r="R19" s="101"/>
      <c r="S19" s="351"/>
      <c r="T19" s="280"/>
      <c r="U19" s="101"/>
      <c r="V19" s="351"/>
      <c r="W19" s="280"/>
      <c r="X19" s="101"/>
      <c r="Y19" s="351"/>
      <c r="Z19" s="102"/>
      <c r="AA19" s="103"/>
      <c r="AB19" s="212"/>
      <c r="AC19" s="102"/>
      <c r="AD19" s="103"/>
      <c r="AE19" s="212"/>
    </row>
    <row r="20" spans="1:31" ht="14.25" thickTop="1" thickBot="1" x14ac:dyDescent="0.25">
      <c r="A20" s="670" t="s">
        <v>47</v>
      </c>
      <c r="B20" s="675"/>
      <c r="C20" s="675"/>
      <c r="D20" s="752"/>
      <c r="E20" s="280"/>
      <c r="F20" s="52"/>
      <c r="G20" s="351"/>
      <c r="H20" s="280"/>
      <c r="I20" s="101"/>
      <c r="J20" s="351"/>
      <c r="K20" s="280"/>
      <c r="L20" s="101"/>
      <c r="M20" s="351"/>
      <c r="N20" s="280"/>
      <c r="O20" s="101"/>
      <c r="P20" s="351"/>
      <c r="Q20" s="280"/>
      <c r="R20" s="101"/>
      <c r="S20" s="351"/>
      <c r="T20" s="280"/>
      <c r="U20" s="101"/>
      <c r="V20" s="351"/>
      <c r="W20" s="280"/>
      <c r="X20" s="101"/>
      <c r="Y20" s="351"/>
      <c r="Z20" s="102"/>
      <c r="AA20" s="103"/>
      <c r="AB20" s="212"/>
      <c r="AC20" s="102"/>
      <c r="AD20" s="103"/>
      <c r="AE20" s="212"/>
    </row>
    <row r="21" spans="1:31" ht="13.5" thickBot="1" x14ac:dyDescent="0.25">
      <c r="A21" s="516" t="s">
        <v>40</v>
      </c>
      <c r="B21" s="517" t="s">
        <v>7</v>
      </c>
      <c r="C21" s="517" t="s">
        <v>46</v>
      </c>
      <c r="D21" s="781" t="s">
        <v>8</v>
      </c>
      <c r="E21" s="280"/>
      <c r="F21" s="52"/>
      <c r="G21" s="351"/>
      <c r="H21" s="280"/>
      <c r="I21" s="101"/>
      <c r="J21" s="351"/>
      <c r="K21" s="280"/>
      <c r="L21" s="101"/>
      <c r="M21" s="351"/>
      <c r="N21" s="280"/>
      <c r="O21" s="101"/>
      <c r="P21" s="351"/>
      <c r="Q21" s="280"/>
      <c r="R21" s="101"/>
      <c r="S21" s="351"/>
      <c r="T21" s="280"/>
      <c r="U21" s="101"/>
      <c r="V21" s="351"/>
      <c r="W21" s="280"/>
      <c r="X21" s="101"/>
      <c r="Y21" s="351"/>
      <c r="Z21" s="102"/>
      <c r="AA21" s="103"/>
      <c r="AB21" s="212"/>
      <c r="AC21" s="102"/>
      <c r="AD21" s="103"/>
      <c r="AE21" s="212"/>
    </row>
    <row r="22" spans="1:31" s="39" customFormat="1" ht="14.25" thickTop="1" thickBot="1" x14ac:dyDescent="0.25">
      <c r="A22" s="25"/>
      <c r="B22" s="26"/>
      <c r="C22" s="26"/>
      <c r="D22" s="58"/>
      <c r="E22" s="280"/>
      <c r="F22" s="52"/>
      <c r="G22" s="351"/>
      <c r="H22" s="280"/>
      <c r="I22" s="101"/>
      <c r="J22" s="351"/>
      <c r="K22" s="280"/>
      <c r="L22" s="101"/>
      <c r="M22" s="351"/>
      <c r="N22" s="280"/>
      <c r="O22" s="101"/>
      <c r="P22" s="351"/>
      <c r="Q22" s="280"/>
      <c r="R22" s="101"/>
      <c r="S22" s="351"/>
      <c r="T22" s="280"/>
      <c r="U22" s="101"/>
      <c r="V22" s="351"/>
      <c r="W22" s="280"/>
      <c r="X22" s="101"/>
      <c r="Y22" s="351"/>
      <c r="Z22" s="102"/>
      <c r="AA22" s="103"/>
      <c r="AB22" s="212"/>
      <c r="AC22" s="102"/>
      <c r="AD22" s="103"/>
      <c r="AE22" s="212"/>
    </row>
    <row r="23" spans="1:31" ht="14.25" thickTop="1" thickBot="1" x14ac:dyDescent="0.25">
      <c r="A23" s="670" t="s">
        <v>90</v>
      </c>
      <c r="B23" s="671"/>
      <c r="C23" s="671"/>
      <c r="D23" s="751"/>
      <c r="E23" s="280"/>
      <c r="F23" s="52"/>
      <c r="G23" s="351"/>
      <c r="H23" s="280"/>
      <c r="I23" s="101"/>
      <c r="J23" s="351"/>
      <c r="K23" s="280"/>
      <c r="L23" s="101"/>
      <c r="M23" s="351"/>
      <c r="N23" s="280"/>
      <c r="O23" s="101"/>
      <c r="P23" s="351"/>
      <c r="Q23" s="280"/>
      <c r="R23" s="101"/>
      <c r="S23" s="351"/>
      <c r="T23" s="280"/>
      <c r="U23" s="101"/>
      <c r="V23" s="351"/>
      <c r="W23" s="280"/>
      <c r="X23" s="101"/>
      <c r="Y23" s="351"/>
      <c r="Z23" s="102"/>
      <c r="AA23" s="103"/>
      <c r="AB23" s="212"/>
      <c r="AC23" s="102"/>
      <c r="AD23" s="103"/>
      <c r="AE23" s="212"/>
    </row>
    <row r="24" spans="1:31" x14ac:dyDescent="0.2">
      <c r="A24" s="527" t="s">
        <v>61</v>
      </c>
      <c r="B24" s="528" t="s">
        <v>7</v>
      </c>
      <c r="C24" s="528" t="s">
        <v>132</v>
      </c>
      <c r="D24" s="782" t="s">
        <v>8</v>
      </c>
      <c r="E24" s="280"/>
      <c r="F24" s="52"/>
      <c r="G24" s="351"/>
      <c r="H24" s="280"/>
      <c r="I24" s="101"/>
      <c r="J24" s="351"/>
      <c r="K24" s="280"/>
      <c r="L24" s="101"/>
      <c r="M24" s="351"/>
      <c r="N24" s="280"/>
      <c r="O24" s="101"/>
      <c r="P24" s="351"/>
      <c r="Q24" s="280"/>
      <c r="R24" s="101"/>
      <c r="S24" s="351"/>
      <c r="T24" s="280"/>
      <c r="U24" s="101"/>
      <c r="V24" s="351"/>
      <c r="W24" s="280"/>
      <c r="X24" s="101"/>
      <c r="Y24" s="351"/>
      <c r="Z24" s="102"/>
      <c r="AA24" s="103"/>
      <c r="AB24" s="212"/>
      <c r="AC24" s="102"/>
      <c r="AD24" s="103"/>
      <c r="AE24" s="212"/>
    </row>
    <row r="25" spans="1:31" s="473" customFormat="1" x14ac:dyDescent="0.2">
      <c r="A25" s="507" t="s">
        <v>62</v>
      </c>
      <c r="B25" s="508" t="s">
        <v>7</v>
      </c>
      <c r="C25" s="508" t="s">
        <v>44</v>
      </c>
      <c r="D25" s="770" t="s">
        <v>8</v>
      </c>
      <c r="E25" s="771">
        <f>SUM(F25:G25)</f>
        <v>1378625</v>
      </c>
      <c r="F25" s="505">
        <f>SUM(I25,L25,O25,R25,U25)</f>
        <v>928625</v>
      </c>
      <c r="G25" s="772">
        <f>SUM(J25,M25,P25,S25,V25)</f>
        <v>450000</v>
      </c>
      <c r="H25" s="771">
        <f>SUM(I25:J25)</f>
        <v>978625</v>
      </c>
      <c r="I25" s="497">
        <v>528625</v>
      </c>
      <c r="J25" s="772">
        <v>450000</v>
      </c>
      <c r="K25" s="771">
        <f>SUM(L25:M25)</f>
        <v>100000</v>
      </c>
      <c r="L25" s="497">
        <v>100000</v>
      </c>
      <c r="M25" s="772">
        <v>0</v>
      </c>
      <c r="N25" s="771">
        <f>SUM(O25:P25)</f>
        <v>100000</v>
      </c>
      <c r="O25" s="497">
        <v>100000</v>
      </c>
      <c r="P25" s="772">
        <v>0</v>
      </c>
      <c r="Q25" s="771">
        <f>SUM(R25:S25)</f>
        <v>100000</v>
      </c>
      <c r="R25" s="497">
        <v>100000</v>
      </c>
      <c r="S25" s="772">
        <v>0</v>
      </c>
      <c r="T25" s="771">
        <f>SUM(U25:V25)</f>
        <v>100000</v>
      </c>
      <c r="U25" s="497">
        <v>100000</v>
      </c>
      <c r="V25" s="772">
        <v>0</v>
      </c>
      <c r="W25" s="771"/>
      <c r="X25" s="497"/>
      <c r="Y25" s="772"/>
      <c r="Z25" s="495"/>
      <c r="AA25" s="496"/>
      <c r="AB25" s="699"/>
      <c r="AC25" s="495"/>
      <c r="AD25" s="496"/>
      <c r="AE25" s="699"/>
    </row>
    <row r="26" spans="1:31" s="473" customFormat="1" x14ac:dyDescent="0.2">
      <c r="A26" s="507" t="s">
        <v>63</v>
      </c>
      <c r="B26" s="508" t="s">
        <v>7</v>
      </c>
      <c r="C26" s="508" t="s">
        <v>44</v>
      </c>
      <c r="D26" s="770" t="s">
        <v>8</v>
      </c>
      <c r="E26" s="771">
        <f>SUM(F26:G26)</f>
        <v>1140000</v>
      </c>
      <c r="F26" s="505">
        <f>SUM(I26,L26,O26,R26,U26)</f>
        <v>1075000</v>
      </c>
      <c r="G26" s="772">
        <f>SUM(J26,M26,P26,S26,V26)</f>
        <v>65000</v>
      </c>
      <c r="H26" s="771">
        <f>SUM(I26:J26)</f>
        <v>540000</v>
      </c>
      <c r="I26" s="497">
        <v>475000</v>
      </c>
      <c r="J26" s="772">
        <v>65000</v>
      </c>
      <c r="K26" s="771">
        <f>SUM(L26:M26)</f>
        <v>0</v>
      </c>
      <c r="L26" s="497">
        <v>0</v>
      </c>
      <c r="M26" s="772">
        <v>0</v>
      </c>
      <c r="N26" s="771">
        <f>SUM(O26:P26)</f>
        <v>0</v>
      </c>
      <c r="O26" s="497">
        <v>0</v>
      </c>
      <c r="P26" s="772">
        <v>0</v>
      </c>
      <c r="Q26" s="771">
        <f>SUM(R26:S26)</f>
        <v>0</v>
      </c>
      <c r="R26" s="497">
        <v>0</v>
      </c>
      <c r="S26" s="772">
        <v>0</v>
      </c>
      <c r="T26" s="771">
        <f>SUM(U26:V26)</f>
        <v>600000</v>
      </c>
      <c r="U26" s="497">
        <v>600000</v>
      </c>
      <c r="V26" s="772">
        <v>0</v>
      </c>
      <c r="W26" s="771"/>
      <c r="X26" s="497"/>
      <c r="Y26" s="772"/>
      <c r="Z26" s="495"/>
      <c r="AA26" s="496"/>
      <c r="AB26" s="699"/>
      <c r="AC26" s="495"/>
      <c r="AD26" s="496"/>
      <c r="AE26" s="699"/>
    </row>
    <row r="27" spans="1:31" ht="13.5" thickBot="1" x14ac:dyDescent="0.25">
      <c r="A27" s="107"/>
      <c r="B27" s="108"/>
      <c r="C27" s="108"/>
      <c r="D27" s="755"/>
      <c r="E27" s="280"/>
      <c r="F27" s="52"/>
      <c r="G27" s="351"/>
      <c r="H27" s="280"/>
      <c r="I27" s="101"/>
      <c r="J27" s="351"/>
      <c r="K27" s="280"/>
      <c r="L27" s="101"/>
      <c r="M27" s="351"/>
      <c r="N27" s="280"/>
      <c r="O27" s="101"/>
      <c r="P27" s="351"/>
      <c r="Q27" s="280"/>
      <c r="R27" s="101"/>
      <c r="S27" s="351"/>
      <c r="T27" s="280"/>
      <c r="U27" s="101"/>
      <c r="V27" s="351"/>
      <c r="W27" s="280"/>
      <c r="X27" s="101"/>
      <c r="Y27" s="351"/>
      <c r="Z27" s="102"/>
      <c r="AA27" s="103"/>
      <c r="AB27" s="212"/>
      <c r="AC27" s="102"/>
      <c r="AD27" s="103"/>
      <c r="AE27" s="212"/>
    </row>
    <row r="28" spans="1:31" s="39" customFormat="1" ht="13.5" thickBot="1" x14ac:dyDescent="0.25">
      <c r="D28" s="120"/>
      <c r="E28" s="280"/>
      <c r="F28" s="52"/>
      <c r="G28" s="351"/>
      <c r="H28" s="280"/>
      <c r="I28" s="101"/>
      <c r="J28" s="351"/>
      <c r="K28" s="280"/>
      <c r="L28" s="101"/>
      <c r="M28" s="351"/>
      <c r="N28" s="280"/>
      <c r="O28" s="101"/>
      <c r="P28" s="351"/>
      <c r="Q28" s="280"/>
      <c r="R28" s="101"/>
      <c r="S28" s="351"/>
      <c r="T28" s="280"/>
      <c r="U28" s="101"/>
      <c r="V28" s="351"/>
      <c r="W28" s="280"/>
      <c r="X28" s="101"/>
      <c r="Y28" s="351"/>
      <c r="Z28" s="102"/>
      <c r="AA28" s="103"/>
      <c r="AB28" s="212"/>
      <c r="AC28" s="102"/>
      <c r="AD28" s="103"/>
      <c r="AE28" s="212"/>
    </row>
    <row r="29" spans="1:31" ht="14.25" thickTop="1" thickBot="1" x14ac:dyDescent="0.25">
      <c r="A29" s="670" t="s">
        <v>120</v>
      </c>
      <c r="B29" s="675"/>
      <c r="C29" s="675"/>
      <c r="D29" s="675"/>
      <c r="E29" s="280"/>
      <c r="F29" s="52"/>
      <c r="G29" s="351"/>
      <c r="H29" s="280"/>
      <c r="I29" s="101"/>
      <c r="J29" s="351"/>
      <c r="K29" s="280"/>
      <c r="L29" s="101"/>
      <c r="M29" s="351"/>
      <c r="N29" s="280"/>
      <c r="O29" s="101"/>
      <c r="P29" s="351"/>
      <c r="Q29" s="280"/>
      <c r="R29" s="101"/>
      <c r="S29" s="351"/>
      <c r="T29" s="280"/>
      <c r="U29" s="101"/>
      <c r="V29" s="351"/>
      <c r="W29" s="280"/>
      <c r="X29" s="101"/>
      <c r="Y29" s="351"/>
      <c r="Z29" s="102"/>
      <c r="AA29" s="103"/>
      <c r="AB29" s="212"/>
      <c r="AC29" s="102"/>
      <c r="AD29" s="103"/>
      <c r="AE29" s="212"/>
    </row>
    <row r="30" spans="1:31" ht="13.5" thickBot="1" x14ac:dyDescent="0.25">
      <c r="A30" s="516" t="s">
        <v>121</v>
      </c>
      <c r="B30" s="517" t="s">
        <v>14</v>
      </c>
      <c r="C30" s="517" t="s">
        <v>132</v>
      </c>
      <c r="D30" s="517" t="s">
        <v>8</v>
      </c>
      <c r="E30" s="280"/>
      <c r="F30" s="52"/>
      <c r="G30" s="351"/>
      <c r="H30" s="280"/>
      <c r="I30" s="101"/>
      <c r="J30" s="351"/>
      <c r="K30" s="280"/>
      <c r="L30" s="101"/>
      <c r="M30" s="351"/>
      <c r="N30" s="280"/>
      <c r="O30" s="101"/>
      <c r="P30" s="351"/>
      <c r="Q30" s="280"/>
      <c r="R30" s="101"/>
      <c r="S30" s="351"/>
      <c r="T30" s="280"/>
      <c r="U30" s="101"/>
      <c r="V30" s="351"/>
      <c r="W30" s="280"/>
      <c r="X30" s="101"/>
      <c r="Y30" s="351"/>
      <c r="Z30" s="102"/>
      <c r="AA30" s="103"/>
      <c r="AB30" s="212"/>
      <c r="AC30" s="102"/>
      <c r="AD30" s="103"/>
      <c r="AE30" s="212"/>
    </row>
    <row r="31" spans="1:31" s="39" customFormat="1" ht="14.25" thickTop="1" thickBot="1" x14ac:dyDescent="0.25">
      <c r="A31" s="73"/>
      <c r="B31" s="73"/>
      <c r="C31" s="73"/>
      <c r="D31" s="73"/>
      <c r="E31" s="280"/>
      <c r="F31" s="52"/>
      <c r="G31" s="351"/>
      <c r="H31" s="280"/>
      <c r="I31" s="101"/>
      <c r="J31" s="351"/>
      <c r="K31" s="280"/>
      <c r="L31" s="101"/>
      <c r="M31" s="351"/>
      <c r="N31" s="280"/>
      <c r="O31" s="101"/>
      <c r="P31" s="351"/>
      <c r="Q31" s="280"/>
      <c r="R31" s="101"/>
      <c r="S31" s="351"/>
      <c r="T31" s="280"/>
      <c r="U31" s="101"/>
      <c r="V31" s="351"/>
      <c r="W31" s="280"/>
      <c r="X31" s="101"/>
      <c r="Y31" s="351"/>
      <c r="Z31" s="102"/>
      <c r="AA31" s="103"/>
      <c r="AB31" s="212"/>
      <c r="AC31" s="102"/>
      <c r="AD31" s="103"/>
      <c r="AE31" s="212"/>
    </row>
    <row r="32" spans="1:31" ht="14.25" thickTop="1" thickBot="1" x14ac:dyDescent="0.25">
      <c r="A32" s="676" t="s">
        <v>133</v>
      </c>
      <c r="B32" s="419"/>
      <c r="C32" s="419"/>
      <c r="D32" s="419"/>
      <c r="E32" s="280"/>
      <c r="F32" s="52"/>
      <c r="G32" s="351"/>
      <c r="H32" s="280"/>
      <c r="I32" s="101"/>
      <c r="J32" s="351"/>
      <c r="K32" s="280"/>
      <c r="L32" s="101"/>
      <c r="M32" s="351"/>
      <c r="N32" s="280"/>
      <c r="O32" s="101"/>
      <c r="P32" s="351"/>
      <c r="Q32" s="280"/>
      <c r="R32" s="101"/>
      <c r="S32" s="351"/>
      <c r="T32" s="280"/>
      <c r="U32" s="101"/>
      <c r="V32" s="351"/>
      <c r="W32" s="280"/>
      <c r="X32" s="101"/>
      <c r="Y32" s="351"/>
      <c r="Z32" s="102"/>
      <c r="AA32" s="103"/>
      <c r="AB32" s="212"/>
      <c r="AC32" s="102"/>
      <c r="AD32" s="103"/>
      <c r="AE32" s="212"/>
    </row>
    <row r="33" spans="1:31" ht="13.5" thickTop="1" x14ac:dyDescent="0.2">
      <c r="A33" s="475" t="s">
        <v>134</v>
      </c>
      <c r="B33" s="476" t="s">
        <v>7</v>
      </c>
      <c r="C33" s="476" t="s">
        <v>132</v>
      </c>
      <c r="D33" s="476" t="s">
        <v>8</v>
      </c>
      <c r="E33" s="280"/>
      <c r="F33" s="52"/>
      <c r="G33" s="351"/>
      <c r="H33" s="280"/>
      <c r="I33" s="101"/>
      <c r="J33" s="351"/>
      <c r="K33" s="280"/>
      <c r="L33" s="101"/>
      <c r="M33" s="351"/>
      <c r="N33" s="280"/>
      <c r="O33" s="101"/>
      <c r="P33" s="351"/>
      <c r="Q33" s="280"/>
      <c r="R33" s="101"/>
      <c r="S33" s="351"/>
      <c r="T33" s="280"/>
      <c r="U33" s="101"/>
      <c r="V33" s="351"/>
      <c r="W33" s="280"/>
      <c r="X33" s="101"/>
      <c r="Y33" s="351"/>
      <c r="Z33" s="102"/>
      <c r="AA33" s="103"/>
      <c r="AB33" s="212"/>
      <c r="AC33" s="102"/>
      <c r="AD33" s="103"/>
      <c r="AE33" s="212"/>
    </row>
    <row r="34" spans="1:31" s="473" customFormat="1" ht="13.5" thickBot="1" x14ac:dyDescent="0.25">
      <c r="A34" s="550" t="s">
        <v>50</v>
      </c>
      <c r="B34" s="551" t="s">
        <v>7</v>
      </c>
      <c r="C34" s="551" t="s">
        <v>44</v>
      </c>
      <c r="D34" s="773" t="s">
        <v>8</v>
      </c>
      <c r="E34" s="771">
        <f>SUM(F34:G34)</f>
        <v>20000000</v>
      </c>
      <c r="F34" s="505">
        <f>SUM(I34,L34,O34,R34,U34)</f>
        <v>1000000</v>
      </c>
      <c r="G34" s="772">
        <f>SUM(J34,M34,P34,S34,V34)</f>
        <v>19000000</v>
      </c>
      <c r="H34" s="771">
        <f>SUM(I34:J34)</f>
        <v>2000000</v>
      </c>
      <c r="I34" s="497">
        <v>0</v>
      </c>
      <c r="J34" s="772">
        <v>2000000</v>
      </c>
      <c r="K34" s="771">
        <f>SUM(L34:M34)</f>
        <v>6000000</v>
      </c>
      <c r="L34" s="497">
        <v>300000</v>
      </c>
      <c r="M34" s="772">
        <v>5700000</v>
      </c>
      <c r="N34" s="771">
        <f>SUM(O34:P34)</f>
        <v>2000000</v>
      </c>
      <c r="O34" s="497">
        <v>300000</v>
      </c>
      <c r="P34" s="772">
        <v>1700000</v>
      </c>
      <c r="Q34" s="771">
        <f>SUM(R34:S34)</f>
        <v>4000000</v>
      </c>
      <c r="R34" s="497">
        <v>300000</v>
      </c>
      <c r="S34" s="772">
        <v>3700000</v>
      </c>
      <c r="T34" s="771">
        <f>SUM(U34:V34)</f>
        <v>6000000</v>
      </c>
      <c r="U34" s="497">
        <v>100000</v>
      </c>
      <c r="V34" s="772">
        <v>5900000</v>
      </c>
      <c r="W34" s="771"/>
      <c r="X34" s="497"/>
      <c r="Y34" s="772"/>
      <c r="Z34" s="495"/>
      <c r="AA34" s="496"/>
      <c r="AB34" s="699"/>
      <c r="AC34" s="495"/>
      <c r="AD34" s="496"/>
      <c r="AE34" s="699"/>
    </row>
    <row r="35" spans="1:31" ht="14.25" thickTop="1" thickBot="1" x14ac:dyDescent="0.25">
      <c r="A35" s="39"/>
      <c r="B35" s="39"/>
      <c r="C35" s="39"/>
      <c r="D35" s="120"/>
      <c r="E35" s="280"/>
      <c r="F35" s="52"/>
      <c r="G35" s="351"/>
      <c r="H35" s="280"/>
      <c r="I35" s="101"/>
      <c r="J35" s="351"/>
      <c r="K35" s="280"/>
      <c r="L35" s="101"/>
      <c r="M35" s="351"/>
      <c r="N35" s="280"/>
      <c r="O35" s="101"/>
      <c r="P35" s="351"/>
      <c r="Q35" s="280"/>
      <c r="R35" s="101"/>
      <c r="S35" s="351"/>
      <c r="T35" s="280"/>
      <c r="U35" s="101"/>
      <c r="V35" s="351"/>
      <c r="W35" s="280"/>
      <c r="X35" s="101"/>
      <c r="Y35" s="351"/>
      <c r="Z35" s="102"/>
      <c r="AA35" s="103"/>
      <c r="AB35" s="212"/>
      <c r="AC35" s="102"/>
      <c r="AD35" s="103"/>
      <c r="AE35" s="212"/>
    </row>
    <row r="36" spans="1:31" ht="14.25" thickTop="1" thickBot="1" x14ac:dyDescent="0.25">
      <c r="A36" s="407" t="s">
        <v>186</v>
      </c>
      <c r="B36" s="109"/>
      <c r="C36" s="109"/>
      <c r="D36" s="109"/>
      <c r="E36" s="280"/>
      <c r="F36" s="101"/>
      <c r="G36" s="119"/>
      <c r="H36" s="280"/>
      <c r="I36" s="350"/>
      <c r="J36" s="119"/>
      <c r="K36" s="280"/>
      <c r="L36" s="350"/>
      <c r="M36" s="119"/>
      <c r="N36" s="280"/>
      <c r="O36" s="350"/>
      <c r="P36" s="119"/>
      <c r="Q36" s="280"/>
      <c r="R36" s="350"/>
      <c r="S36" s="119"/>
      <c r="T36" s="280"/>
      <c r="U36" s="350"/>
      <c r="V36" s="351"/>
      <c r="W36" s="280"/>
      <c r="X36" s="350"/>
      <c r="Y36" s="351"/>
      <c r="Z36" s="102"/>
      <c r="AA36" s="103"/>
      <c r="AB36" s="212"/>
      <c r="AC36" s="102"/>
      <c r="AD36" s="103"/>
      <c r="AE36" s="212"/>
    </row>
    <row r="37" spans="1:31" s="473" customFormat="1" ht="14.25" thickTop="1" thickBot="1" x14ac:dyDescent="0.25">
      <c r="A37" s="516" t="s">
        <v>188</v>
      </c>
      <c r="B37" s="517" t="s">
        <v>7</v>
      </c>
      <c r="C37" s="517" t="s">
        <v>132</v>
      </c>
      <c r="D37" s="517" t="s">
        <v>8</v>
      </c>
      <c r="E37" s="280"/>
      <c r="F37" s="52"/>
      <c r="G37" s="351"/>
      <c r="H37" s="280"/>
      <c r="I37" s="350"/>
      <c r="J37" s="119"/>
      <c r="K37" s="280"/>
      <c r="L37" s="350"/>
      <c r="M37" s="119"/>
      <c r="N37" s="280"/>
      <c r="O37" s="350"/>
      <c r="P37" s="119"/>
      <c r="Q37" s="280"/>
      <c r="R37" s="350"/>
      <c r="S37" s="119"/>
      <c r="T37" s="280"/>
      <c r="U37" s="350"/>
      <c r="V37" s="351"/>
      <c r="W37" s="280"/>
      <c r="X37" s="350"/>
      <c r="Y37" s="351"/>
      <c r="Z37" s="102"/>
      <c r="AA37" s="103"/>
      <c r="AB37" s="212"/>
      <c r="AC37" s="102"/>
      <c r="AD37" s="103"/>
      <c r="AE37" s="212"/>
    </row>
    <row r="38" spans="1:31" s="39" customFormat="1" ht="14.25" thickTop="1" thickBot="1" x14ac:dyDescent="0.25">
      <c r="A38" s="26"/>
      <c r="B38" s="26"/>
      <c r="C38" s="26"/>
      <c r="D38" s="26"/>
      <c r="E38" s="311"/>
      <c r="F38" s="101"/>
      <c r="G38" s="119"/>
      <c r="H38" s="280"/>
      <c r="I38" s="350"/>
      <c r="J38" s="119"/>
      <c r="K38" s="280"/>
      <c r="L38" s="350"/>
      <c r="M38" s="119"/>
      <c r="N38" s="280"/>
      <c r="O38" s="350"/>
      <c r="P38" s="119"/>
      <c r="Q38" s="280"/>
      <c r="R38" s="350"/>
      <c r="S38" s="119"/>
      <c r="T38" s="280"/>
      <c r="U38" s="350"/>
      <c r="V38" s="351"/>
      <c r="W38" s="280"/>
      <c r="X38" s="350"/>
      <c r="Y38" s="351"/>
      <c r="Z38" s="102"/>
      <c r="AA38" s="103"/>
      <c r="AB38" s="212"/>
      <c r="AC38" s="102"/>
      <c r="AD38" s="103"/>
      <c r="AE38" s="212"/>
    </row>
    <row r="39" spans="1:31" ht="14.25" thickTop="1" thickBot="1" x14ac:dyDescent="0.25">
      <c r="A39" s="407" t="s">
        <v>316</v>
      </c>
      <c r="B39" s="109"/>
      <c r="C39" s="109"/>
      <c r="D39" s="677"/>
      <c r="E39" s="311"/>
      <c r="F39" s="101"/>
      <c r="G39" s="119"/>
      <c r="H39" s="280"/>
      <c r="I39" s="350"/>
      <c r="J39" s="119"/>
      <c r="K39" s="280"/>
      <c r="L39" s="350"/>
      <c r="M39" s="119"/>
      <c r="N39" s="280"/>
      <c r="O39" s="350"/>
      <c r="P39" s="119"/>
      <c r="Q39" s="280"/>
      <c r="R39" s="350"/>
      <c r="S39" s="119"/>
      <c r="T39" s="280"/>
      <c r="U39" s="350"/>
      <c r="V39" s="351"/>
      <c r="W39" s="280"/>
      <c r="X39" s="350"/>
      <c r="Y39" s="351"/>
      <c r="Z39" s="102"/>
      <c r="AA39" s="103"/>
      <c r="AB39" s="212"/>
      <c r="AC39" s="102"/>
      <c r="AD39" s="103"/>
      <c r="AE39" s="212"/>
    </row>
    <row r="40" spans="1:31" s="473" customFormat="1" ht="13.5" thickTop="1" x14ac:dyDescent="0.2">
      <c r="A40" s="687" t="s">
        <v>125</v>
      </c>
      <c r="B40" s="468" t="s">
        <v>7</v>
      </c>
      <c r="C40" s="468" t="s">
        <v>44</v>
      </c>
      <c r="D40" s="688" t="s">
        <v>8</v>
      </c>
      <c r="E40" s="776">
        <f>SUM(F40:G40)</f>
        <v>540080</v>
      </c>
      <c r="F40" s="497">
        <f>SUM(I40,L40,O40,R40,U40)</f>
        <v>415080</v>
      </c>
      <c r="G40" s="775">
        <f>SUM(J40,M40,P40,S40,V40)</f>
        <v>125000</v>
      </c>
      <c r="H40" s="771">
        <f>SUM(I40:J40)</f>
        <v>100000</v>
      </c>
      <c r="I40" s="774">
        <v>75000</v>
      </c>
      <c r="J40" s="775">
        <v>25000</v>
      </c>
      <c r="K40" s="771">
        <f>SUM(L40:M40)</f>
        <v>100000</v>
      </c>
      <c r="L40" s="774">
        <v>75000</v>
      </c>
      <c r="M40" s="775">
        <v>25000</v>
      </c>
      <c r="N40" s="771">
        <f>SUM(O40:P40)</f>
        <v>100000</v>
      </c>
      <c r="O40" s="774">
        <v>75000</v>
      </c>
      <c r="P40" s="775">
        <v>25000</v>
      </c>
      <c r="Q40" s="771">
        <f>SUM(R40:S40)</f>
        <v>111400</v>
      </c>
      <c r="R40" s="774">
        <v>86400</v>
      </c>
      <c r="S40" s="775">
        <v>25000</v>
      </c>
      <c r="T40" s="771">
        <f>SUM(U40:V40)</f>
        <v>128680</v>
      </c>
      <c r="U40" s="774">
        <v>103680</v>
      </c>
      <c r="V40" s="772">
        <v>25000</v>
      </c>
      <c r="W40" s="771"/>
      <c r="X40" s="774"/>
      <c r="Y40" s="772"/>
      <c r="Z40" s="495"/>
      <c r="AA40" s="496"/>
      <c r="AB40" s="699"/>
      <c r="AC40" s="495"/>
      <c r="AD40" s="496"/>
      <c r="AE40" s="699"/>
    </row>
    <row r="41" spans="1:31" s="473" customFormat="1" x14ac:dyDescent="0.2">
      <c r="A41" s="687" t="s">
        <v>121</v>
      </c>
      <c r="B41" s="468" t="s">
        <v>7</v>
      </c>
      <c r="C41" s="468" t="s">
        <v>44</v>
      </c>
      <c r="D41" s="674" t="s">
        <v>8</v>
      </c>
      <c r="E41" s="776">
        <f>SUM(F41:G41)</f>
        <v>33975347</v>
      </c>
      <c r="F41" s="497">
        <f>SUM(I41,L41,O41,R41,U41)</f>
        <v>32190019</v>
      </c>
      <c r="G41" s="775">
        <f>SUM(J41,M41,P41,S41,V41)</f>
        <v>1785328</v>
      </c>
      <c r="H41" s="771">
        <f>SUM(I41:J41)</f>
        <v>13677077</v>
      </c>
      <c r="I41" s="774">
        <v>12541749</v>
      </c>
      <c r="J41" s="775">
        <v>1135328</v>
      </c>
      <c r="K41" s="771">
        <f>SUM(L41:M41)</f>
        <v>11786270</v>
      </c>
      <c r="L41" s="774">
        <v>11241270</v>
      </c>
      <c r="M41" s="775">
        <v>545000</v>
      </c>
      <c r="N41" s="771">
        <f>SUM(O41:P41)</f>
        <v>5142000</v>
      </c>
      <c r="O41" s="774">
        <v>5107000</v>
      </c>
      <c r="P41" s="775">
        <v>35000</v>
      </c>
      <c r="Q41" s="771">
        <f>SUM(R41:S41)</f>
        <v>2985000</v>
      </c>
      <c r="R41" s="774">
        <v>2950000</v>
      </c>
      <c r="S41" s="775">
        <v>35000</v>
      </c>
      <c r="T41" s="771">
        <f>SUM(U41:V41)</f>
        <v>385000</v>
      </c>
      <c r="U41" s="774">
        <v>350000</v>
      </c>
      <c r="V41" s="772">
        <v>35000</v>
      </c>
      <c r="W41" s="771"/>
      <c r="X41" s="774"/>
      <c r="Y41" s="772"/>
      <c r="Z41" s="495"/>
      <c r="AA41" s="496"/>
      <c r="AB41" s="699"/>
      <c r="AC41" s="495"/>
      <c r="AD41" s="496"/>
      <c r="AE41" s="699"/>
    </row>
    <row r="42" spans="1:31" ht="13.5" thickBot="1" x14ac:dyDescent="0.25">
      <c r="A42" s="1184" t="s">
        <v>300</v>
      </c>
      <c r="B42" s="1185" t="s">
        <v>14</v>
      </c>
      <c r="C42" s="1185" t="s">
        <v>132</v>
      </c>
      <c r="D42" s="1393" t="s">
        <v>8</v>
      </c>
      <c r="E42" s="311"/>
      <c r="F42" s="101"/>
      <c r="G42" s="119"/>
      <c r="H42" s="280"/>
      <c r="I42" s="350"/>
      <c r="J42" s="119"/>
      <c r="K42" s="280"/>
      <c r="L42" s="350"/>
      <c r="M42" s="119"/>
      <c r="N42" s="280"/>
      <c r="O42" s="350"/>
      <c r="P42" s="119"/>
      <c r="Q42" s="280"/>
      <c r="R42" s="350"/>
      <c r="S42" s="119"/>
      <c r="T42" s="280"/>
      <c r="U42" s="350"/>
      <c r="V42" s="351"/>
      <c r="W42" s="280"/>
      <c r="X42" s="350"/>
      <c r="Y42" s="351"/>
      <c r="Z42" s="102"/>
      <c r="AA42" s="103"/>
      <c r="AB42" s="212"/>
      <c r="AC42" s="102"/>
      <c r="AD42" s="103"/>
      <c r="AE42" s="212"/>
    </row>
    <row r="43" spans="1:31" ht="13.5" thickTop="1" x14ac:dyDescent="0.2">
      <c r="A43" s="26"/>
      <c r="B43" s="26"/>
      <c r="C43" s="26"/>
      <c r="D43" s="26"/>
      <c r="E43" s="311"/>
      <c r="F43" s="101"/>
      <c r="G43" s="119"/>
      <c r="H43" s="280"/>
      <c r="I43" s="350"/>
      <c r="J43" s="119"/>
      <c r="K43" s="280"/>
      <c r="L43" s="350"/>
      <c r="M43" s="119"/>
      <c r="N43" s="280"/>
      <c r="O43" s="350"/>
      <c r="P43" s="119"/>
      <c r="Q43" s="280"/>
      <c r="R43" s="350"/>
      <c r="S43" s="119"/>
      <c r="T43" s="280"/>
      <c r="U43" s="350"/>
      <c r="V43" s="351"/>
      <c r="W43" s="280"/>
      <c r="X43" s="350"/>
      <c r="Y43" s="351"/>
      <c r="Z43" s="102"/>
      <c r="AA43" s="103"/>
      <c r="AB43" s="212"/>
      <c r="AC43" s="102"/>
      <c r="AD43" s="103"/>
      <c r="AE43" s="212"/>
    </row>
    <row r="44" spans="1:31" s="39" customFormat="1" ht="13.5" thickBot="1" x14ac:dyDescent="0.25">
      <c r="D44" s="120"/>
      <c r="E44" s="311"/>
      <c r="F44" s="101"/>
      <c r="G44" s="119"/>
      <c r="H44" s="280"/>
      <c r="I44" s="350"/>
      <c r="J44" s="119"/>
      <c r="K44" s="280"/>
      <c r="L44" s="350"/>
      <c r="M44" s="119"/>
      <c r="N44" s="280"/>
      <c r="O44" s="350"/>
      <c r="P44" s="119"/>
      <c r="Q44" s="280"/>
      <c r="R44" s="350"/>
      <c r="S44" s="119"/>
      <c r="T44" s="280"/>
      <c r="U44" s="350"/>
      <c r="V44" s="351"/>
      <c r="W44" s="280"/>
      <c r="X44" s="350"/>
      <c r="Y44" s="351"/>
      <c r="Z44" s="102"/>
      <c r="AA44" s="103"/>
      <c r="AB44" s="212"/>
      <c r="AC44" s="102"/>
      <c r="AD44" s="103"/>
      <c r="AE44" s="212"/>
    </row>
    <row r="45" spans="1:31" ht="14.25" thickTop="1" thickBot="1" x14ac:dyDescent="0.25">
      <c r="A45" s="676" t="s">
        <v>389</v>
      </c>
      <c r="B45" s="696"/>
      <c r="C45" s="696"/>
      <c r="D45" s="697"/>
      <c r="E45" s="311"/>
      <c r="F45" s="101"/>
      <c r="G45" s="119"/>
      <c r="H45" s="280"/>
      <c r="I45" s="350"/>
      <c r="J45" s="119"/>
      <c r="K45" s="280"/>
      <c r="L45" s="350"/>
      <c r="M45" s="119"/>
      <c r="N45" s="280"/>
      <c r="O45" s="350"/>
      <c r="P45" s="119"/>
      <c r="Q45" s="280"/>
      <c r="R45" s="350"/>
      <c r="S45" s="119"/>
      <c r="T45" s="280"/>
      <c r="U45" s="350"/>
      <c r="V45" s="119"/>
      <c r="W45" s="280"/>
      <c r="X45" s="350"/>
      <c r="Y45" s="292"/>
      <c r="Z45" s="102"/>
      <c r="AA45" s="103"/>
      <c r="AB45" s="212"/>
      <c r="AC45" s="102"/>
      <c r="AD45" s="103"/>
      <c r="AE45" s="212"/>
    </row>
    <row r="46" spans="1:31" s="918" customFormat="1" ht="13.5" thickTop="1" x14ac:dyDescent="0.2">
      <c r="A46" s="1435" t="s">
        <v>383</v>
      </c>
      <c r="B46" s="1436" t="s">
        <v>14</v>
      </c>
      <c r="C46" s="1436" t="s">
        <v>132</v>
      </c>
      <c r="D46" s="1437" t="s">
        <v>8</v>
      </c>
      <c r="E46" s="418"/>
      <c r="F46" s="760"/>
      <c r="G46" s="74"/>
      <c r="H46" s="761"/>
      <c r="I46" s="762"/>
      <c r="J46" s="74"/>
      <c r="K46" s="761"/>
      <c r="L46" s="762"/>
      <c r="M46" s="74"/>
      <c r="N46" s="761"/>
      <c r="O46" s="762"/>
      <c r="P46" s="74"/>
      <c r="Q46" s="761"/>
      <c r="R46" s="762"/>
      <c r="S46" s="74"/>
      <c r="T46" s="761"/>
      <c r="U46" s="762"/>
      <c r="V46" s="74"/>
      <c r="W46" s="761"/>
      <c r="X46" s="762"/>
      <c r="Y46" s="285"/>
      <c r="Z46" s="1033"/>
      <c r="AA46" s="100"/>
      <c r="AB46" s="211"/>
      <c r="AC46" s="1033"/>
      <c r="AD46" s="100"/>
      <c r="AE46" s="211"/>
    </row>
    <row r="47" spans="1:31" ht="13.5" thickBot="1" x14ac:dyDescent="0.25">
      <c r="A47" s="1438" t="s">
        <v>385</v>
      </c>
      <c r="B47" s="1185" t="s">
        <v>14</v>
      </c>
      <c r="C47" s="1185" t="s">
        <v>132</v>
      </c>
      <c r="D47" s="1439" t="s">
        <v>8</v>
      </c>
      <c r="E47" s="311"/>
      <c r="F47" s="101"/>
      <c r="G47" s="119"/>
      <c r="H47" s="280"/>
      <c r="I47" s="350"/>
      <c r="J47" s="119"/>
      <c r="K47" s="280"/>
      <c r="L47" s="350"/>
      <c r="M47" s="119"/>
      <c r="N47" s="280"/>
      <c r="O47" s="350"/>
      <c r="P47" s="119"/>
      <c r="Q47" s="280"/>
      <c r="R47" s="350"/>
      <c r="S47" s="119"/>
      <c r="T47" s="280"/>
      <c r="U47" s="350"/>
      <c r="V47" s="119"/>
      <c r="W47" s="280"/>
      <c r="X47" s="350"/>
      <c r="Y47" s="292"/>
      <c r="Z47" s="102"/>
      <c r="AA47" s="103"/>
      <c r="AB47" s="212"/>
      <c r="AC47" s="102"/>
      <c r="AD47" s="103"/>
      <c r="AE47" s="212"/>
    </row>
    <row r="48" spans="1:31" ht="14.25" thickTop="1" thickBot="1" x14ac:dyDescent="0.25">
      <c r="A48" s="73"/>
      <c r="B48" s="73"/>
      <c r="C48" s="73"/>
      <c r="D48" s="58"/>
      <c r="E48" s="311"/>
      <c r="F48" s="101"/>
      <c r="G48" s="119"/>
      <c r="H48" s="280"/>
      <c r="I48" s="350"/>
      <c r="J48" s="119"/>
      <c r="K48" s="280"/>
      <c r="L48" s="350"/>
      <c r="M48" s="119"/>
      <c r="N48" s="280"/>
      <c r="O48" s="350"/>
      <c r="P48" s="119"/>
      <c r="Q48" s="280"/>
      <c r="R48" s="350"/>
      <c r="S48" s="119"/>
      <c r="T48" s="280"/>
      <c r="U48" s="350"/>
      <c r="V48" s="119"/>
      <c r="W48" s="280"/>
      <c r="X48" s="350"/>
      <c r="Y48" s="292"/>
      <c r="Z48" s="102"/>
      <c r="AA48" s="103"/>
      <c r="AB48" s="212"/>
      <c r="AC48" s="102"/>
      <c r="AD48" s="103"/>
      <c r="AE48" s="212"/>
    </row>
    <row r="49" spans="1:31" ht="14.25" thickTop="1" thickBot="1" x14ac:dyDescent="0.25">
      <c r="A49" s="698" t="s">
        <v>517</v>
      </c>
      <c r="B49" s="696"/>
      <c r="C49" s="696"/>
      <c r="D49" s="695"/>
      <c r="E49" s="311"/>
      <c r="F49" s="101"/>
      <c r="G49" s="119"/>
      <c r="H49" s="280"/>
      <c r="I49" s="350"/>
      <c r="J49" s="119"/>
      <c r="K49" s="280"/>
      <c r="L49" s="350"/>
      <c r="M49" s="119"/>
      <c r="N49" s="280"/>
      <c r="O49" s="350"/>
      <c r="P49" s="119"/>
      <c r="Q49" s="280"/>
      <c r="R49" s="350"/>
      <c r="S49" s="119"/>
      <c r="T49" s="280"/>
      <c r="U49" s="350"/>
      <c r="V49" s="119"/>
      <c r="W49" s="280"/>
      <c r="X49" s="350"/>
      <c r="Y49" s="292"/>
      <c r="Z49" s="102"/>
      <c r="AA49" s="103"/>
      <c r="AB49" s="212"/>
      <c r="AC49" s="102"/>
      <c r="AD49" s="103"/>
      <c r="AE49" s="212"/>
    </row>
    <row r="50" spans="1:31" ht="14.25" thickTop="1" thickBot="1" x14ac:dyDescent="0.25">
      <c r="A50" s="1596" t="s">
        <v>466</v>
      </c>
      <c r="B50" s="1596" t="s">
        <v>14</v>
      </c>
      <c r="C50" s="1596" t="s">
        <v>132</v>
      </c>
      <c r="D50" s="1597" t="s">
        <v>8</v>
      </c>
      <c r="E50" s="311"/>
      <c r="F50" s="101"/>
      <c r="G50" s="119"/>
      <c r="H50" s="280"/>
      <c r="I50" s="350"/>
      <c r="J50" s="119"/>
      <c r="K50" s="280"/>
      <c r="L50" s="350"/>
      <c r="M50" s="119"/>
      <c r="N50" s="280"/>
      <c r="O50" s="350"/>
      <c r="P50" s="119"/>
      <c r="Q50" s="280"/>
      <c r="R50" s="350"/>
      <c r="S50" s="119"/>
      <c r="T50" s="280"/>
      <c r="U50" s="350"/>
      <c r="V50" s="119"/>
      <c r="W50" s="280"/>
      <c r="X50" s="350"/>
      <c r="Y50" s="292"/>
      <c r="Z50" s="102"/>
      <c r="AA50" s="103"/>
      <c r="AB50" s="212"/>
      <c r="AC50" s="102"/>
      <c r="AD50" s="103"/>
      <c r="AE50" s="212"/>
    </row>
    <row r="51" spans="1:31" ht="14.25" thickTop="1" thickBot="1" x14ac:dyDescent="0.25">
      <c r="A51" s="73"/>
      <c r="B51" s="73"/>
      <c r="C51" s="73"/>
      <c r="D51" s="58"/>
      <c r="E51" s="311"/>
      <c r="F51" s="101"/>
      <c r="G51" s="119"/>
      <c r="H51" s="280"/>
      <c r="I51" s="350"/>
      <c r="J51" s="119"/>
      <c r="K51" s="280"/>
      <c r="L51" s="350"/>
      <c r="M51" s="119"/>
      <c r="N51" s="280"/>
      <c r="O51" s="350"/>
      <c r="P51" s="119"/>
      <c r="Q51" s="280"/>
      <c r="R51" s="350"/>
      <c r="S51" s="119"/>
      <c r="T51" s="280"/>
      <c r="U51" s="350"/>
      <c r="V51" s="119"/>
      <c r="W51" s="280"/>
      <c r="X51" s="350"/>
      <c r="Y51" s="292"/>
      <c r="Z51" s="102"/>
      <c r="AA51" s="103"/>
      <c r="AB51" s="212"/>
      <c r="AC51" s="102"/>
      <c r="AD51" s="103"/>
      <c r="AE51" s="212"/>
    </row>
    <row r="52" spans="1:31" ht="14.25" thickTop="1" thickBot="1" x14ac:dyDescent="0.25">
      <c r="A52" s="419" t="s">
        <v>516</v>
      </c>
      <c r="B52" s="696"/>
      <c r="C52" s="696"/>
      <c r="D52" s="696"/>
      <c r="E52" s="311"/>
      <c r="F52" s="101"/>
      <c r="G52" s="119"/>
      <c r="H52" s="280"/>
      <c r="I52" s="350"/>
      <c r="J52" s="119"/>
      <c r="K52" s="280"/>
      <c r="L52" s="350"/>
      <c r="M52" s="119"/>
      <c r="N52" s="280"/>
      <c r="O52" s="350"/>
      <c r="P52" s="119"/>
      <c r="Q52" s="280"/>
      <c r="R52" s="350"/>
      <c r="S52" s="119"/>
      <c r="T52" s="280"/>
      <c r="U52" s="350"/>
      <c r="V52" s="119"/>
      <c r="W52" s="280"/>
      <c r="X52" s="350"/>
      <c r="Y52" s="292"/>
      <c r="Z52" s="102"/>
      <c r="AA52" s="103"/>
      <c r="AB52" s="212"/>
      <c r="AC52" s="102"/>
      <c r="AD52" s="103"/>
      <c r="AE52" s="212"/>
    </row>
    <row r="53" spans="1:31" s="1196" customFormat="1" ht="13.5" thickTop="1" x14ac:dyDescent="0.2">
      <c r="A53" s="1235" t="s">
        <v>466</v>
      </c>
      <c r="B53" s="1209" t="s">
        <v>7</v>
      </c>
      <c r="C53" s="1209" t="s">
        <v>44</v>
      </c>
      <c r="D53" s="1441" t="s">
        <v>8</v>
      </c>
      <c r="E53" s="1601">
        <f>SUM(F53:G53)</f>
        <v>535000</v>
      </c>
      <c r="F53" s="1602">
        <f>SUM(I53,L53,O53,R53,U53,X53)</f>
        <v>410000</v>
      </c>
      <c r="G53" s="1341">
        <f>SUM(J53,M53,P53,S53,V53,Y53)</f>
        <v>125000</v>
      </c>
      <c r="H53" s="1603"/>
      <c r="I53" s="1604"/>
      <c r="J53" s="1341"/>
      <c r="K53" s="1603">
        <f>SUM(L53:M53)</f>
        <v>200000</v>
      </c>
      <c r="L53" s="1604">
        <v>150000</v>
      </c>
      <c r="M53" s="1341">
        <v>50000</v>
      </c>
      <c r="N53" s="1603">
        <f>SUM(O53:P53)</f>
        <v>120000</v>
      </c>
      <c r="O53" s="1604">
        <v>95000</v>
      </c>
      <c r="P53" s="1341">
        <v>25000</v>
      </c>
      <c r="Q53" s="1603">
        <f>SUM(R53:S53)</f>
        <v>85000</v>
      </c>
      <c r="R53" s="1604">
        <v>65000</v>
      </c>
      <c r="S53" s="1341">
        <v>20000</v>
      </c>
      <c r="T53" s="1603">
        <f>SUM(U53:V53)</f>
        <v>70000</v>
      </c>
      <c r="U53" s="1604">
        <v>50000</v>
      </c>
      <c r="V53" s="1341">
        <v>20000</v>
      </c>
      <c r="W53" s="1603">
        <f>SUM(X53:Y53)</f>
        <v>60000</v>
      </c>
      <c r="X53" s="1604">
        <v>50000</v>
      </c>
      <c r="Y53" s="1381">
        <v>10000</v>
      </c>
      <c r="Z53" s="1620"/>
      <c r="AA53" s="1605"/>
      <c r="AB53" s="1606"/>
      <c r="AC53" s="1620"/>
      <c r="AD53" s="1605"/>
      <c r="AE53" s="1606"/>
    </row>
    <row r="54" spans="1:31" ht="13.5" thickBot="1" x14ac:dyDescent="0.25">
      <c r="A54" s="1185" t="s">
        <v>513</v>
      </c>
      <c r="B54" s="1165" t="s">
        <v>14</v>
      </c>
      <c r="C54" s="1165" t="s">
        <v>132</v>
      </c>
      <c r="D54" s="1393" t="s">
        <v>8</v>
      </c>
      <c r="E54" s="311"/>
      <c r="F54" s="101"/>
      <c r="G54" s="119"/>
      <c r="H54" s="280"/>
      <c r="I54" s="350"/>
      <c r="J54" s="119"/>
      <c r="K54" s="280"/>
      <c r="L54" s="350"/>
      <c r="M54" s="119"/>
      <c r="N54" s="280"/>
      <c r="O54" s="350"/>
      <c r="P54" s="119"/>
      <c r="Q54" s="280"/>
      <c r="R54" s="350"/>
      <c r="S54" s="119"/>
      <c r="T54" s="280"/>
      <c r="U54" s="350"/>
      <c r="V54" s="119"/>
      <c r="W54" s="280"/>
      <c r="X54" s="350"/>
      <c r="Y54" s="292"/>
      <c r="Z54" s="102"/>
      <c r="AA54" s="103"/>
      <c r="AB54" s="212"/>
      <c r="AC54" s="102"/>
      <c r="AD54" s="103"/>
      <c r="AE54" s="212"/>
    </row>
    <row r="55" spans="1:31" ht="14.25" thickTop="1" thickBot="1" x14ac:dyDescent="0.25">
      <c r="A55" s="73"/>
      <c r="B55" s="73"/>
      <c r="C55" s="73"/>
      <c r="D55" s="58"/>
      <c r="E55" s="311"/>
      <c r="F55" s="101"/>
      <c r="G55" s="119"/>
      <c r="H55" s="280"/>
      <c r="I55" s="350"/>
      <c r="J55" s="119"/>
      <c r="K55" s="280"/>
      <c r="L55" s="350"/>
      <c r="M55" s="119"/>
      <c r="N55" s="280"/>
      <c r="O55" s="350"/>
      <c r="P55" s="119"/>
      <c r="Q55" s="280"/>
      <c r="R55" s="350"/>
      <c r="S55" s="119"/>
      <c r="T55" s="280"/>
      <c r="U55" s="350"/>
      <c r="V55" s="119"/>
      <c r="W55" s="280"/>
      <c r="X55" s="350"/>
      <c r="Y55" s="292"/>
      <c r="Z55" s="102"/>
      <c r="AA55" s="103"/>
      <c r="AB55" s="212"/>
      <c r="AC55" s="102"/>
      <c r="AD55" s="103"/>
      <c r="AE55" s="212"/>
    </row>
    <row r="56" spans="1:31" ht="14.25" thickTop="1" thickBot="1" x14ac:dyDescent="0.25">
      <c r="A56" s="698" t="s">
        <v>524</v>
      </c>
      <c r="B56" s="696"/>
      <c r="C56" s="696"/>
      <c r="D56" s="696"/>
      <c r="E56" s="311"/>
      <c r="F56" s="101"/>
      <c r="G56" s="119"/>
      <c r="H56" s="280"/>
      <c r="I56" s="350"/>
      <c r="J56" s="119"/>
      <c r="K56" s="280"/>
      <c r="L56" s="350"/>
      <c r="M56" s="119"/>
      <c r="N56" s="280"/>
      <c r="O56" s="350"/>
      <c r="P56" s="119"/>
      <c r="Q56" s="280"/>
      <c r="R56" s="350"/>
      <c r="S56" s="119"/>
      <c r="T56" s="280"/>
      <c r="U56" s="350"/>
      <c r="V56" s="119"/>
      <c r="W56" s="280"/>
      <c r="X56" s="350"/>
      <c r="Y56" s="292"/>
      <c r="Z56" s="102"/>
      <c r="AA56" s="103"/>
      <c r="AB56" s="212"/>
      <c r="AC56" s="102"/>
      <c r="AD56" s="103"/>
      <c r="AE56" s="212"/>
    </row>
    <row r="57" spans="1:31" ht="13.5" thickTop="1" x14ac:dyDescent="0.2">
      <c r="A57" s="1598" t="s">
        <v>582</v>
      </c>
      <c r="B57" s="1599" t="s">
        <v>14</v>
      </c>
      <c r="C57" s="1599" t="s">
        <v>132</v>
      </c>
      <c r="D57" s="1600" t="s">
        <v>8</v>
      </c>
      <c r="E57" s="311"/>
      <c r="F57" s="101"/>
      <c r="G57" s="119"/>
      <c r="H57" s="280"/>
      <c r="I57" s="350"/>
      <c r="J57" s="119"/>
      <c r="K57" s="280"/>
      <c r="L57" s="350"/>
      <c r="M57" s="119"/>
      <c r="N57" s="280"/>
      <c r="O57" s="350"/>
      <c r="P57" s="119"/>
      <c r="Q57" s="280"/>
      <c r="R57" s="350"/>
      <c r="S57" s="119"/>
      <c r="T57" s="280"/>
      <c r="U57" s="350"/>
      <c r="V57" s="119"/>
      <c r="W57" s="280"/>
      <c r="X57" s="350"/>
      <c r="Y57" s="292"/>
      <c r="Z57" s="102"/>
      <c r="AA57" s="103"/>
      <c r="AB57" s="212"/>
      <c r="AC57" s="102"/>
      <c r="AD57" s="103"/>
      <c r="AE57" s="212"/>
    </row>
    <row r="58" spans="1:31" s="1196" customFormat="1" ht="13.5" thickBot="1" x14ac:dyDescent="0.25">
      <c r="A58" s="1404" t="s">
        <v>521</v>
      </c>
      <c r="B58" s="1405" t="s">
        <v>7</v>
      </c>
      <c r="C58" s="1405" t="s">
        <v>44</v>
      </c>
      <c r="D58" s="1416" t="s">
        <v>8</v>
      </c>
      <c r="E58" s="1601">
        <f>SUM(F58:G58)</f>
        <v>500000</v>
      </c>
      <c r="F58" s="1602">
        <f>SUM(I58,L58,O58,R58,U58,X58)</f>
        <v>0</v>
      </c>
      <c r="G58" s="1341">
        <f>SUM(J58,M58,P58,S58,V58,Y58)</f>
        <v>500000</v>
      </c>
      <c r="H58" s="1603"/>
      <c r="I58" s="1604"/>
      <c r="J58" s="1341"/>
      <c r="K58" s="1603">
        <f>SUM(L58:M58)</f>
        <v>0</v>
      </c>
      <c r="L58" s="1604">
        <v>0</v>
      </c>
      <c r="M58" s="1341">
        <v>0</v>
      </c>
      <c r="N58" s="1603">
        <f>SUM(O58:P58)</f>
        <v>200000</v>
      </c>
      <c r="O58" s="1604">
        <v>0</v>
      </c>
      <c r="P58" s="1341">
        <v>200000</v>
      </c>
      <c r="Q58" s="1603">
        <f>SUM(R58:S58)</f>
        <v>100000</v>
      </c>
      <c r="R58" s="1604">
        <v>0</v>
      </c>
      <c r="S58" s="1341">
        <v>100000</v>
      </c>
      <c r="T58" s="1603">
        <f>SUM(U58:V58)</f>
        <v>100000</v>
      </c>
      <c r="U58" s="1604">
        <v>0</v>
      </c>
      <c r="V58" s="1341">
        <v>100000</v>
      </c>
      <c r="W58" s="1603">
        <f>SUM(X58:Y58)</f>
        <v>100000</v>
      </c>
      <c r="X58" s="1604">
        <v>0</v>
      </c>
      <c r="Y58" s="1381">
        <v>100000</v>
      </c>
      <c r="Z58" s="1620"/>
      <c r="AA58" s="1605"/>
      <c r="AB58" s="1606"/>
      <c r="AC58" s="1620"/>
      <c r="AD58" s="1605"/>
      <c r="AE58" s="1606"/>
    </row>
    <row r="59" spans="1:31" ht="14.25" thickTop="1" thickBot="1" x14ac:dyDescent="0.25">
      <c r="A59" s="73"/>
      <c r="B59" s="73"/>
      <c r="C59" s="73"/>
      <c r="D59" s="58"/>
      <c r="E59" s="311"/>
      <c r="F59" s="101"/>
      <c r="G59" s="119"/>
      <c r="H59" s="280"/>
      <c r="I59" s="350"/>
      <c r="J59" s="119"/>
      <c r="K59" s="280"/>
      <c r="L59" s="350"/>
      <c r="M59" s="119"/>
      <c r="N59" s="280"/>
      <c r="O59" s="350"/>
      <c r="P59" s="119"/>
      <c r="Q59" s="280"/>
      <c r="R59" s="350"/>
      <c r="S59" s="119"/>
      <c r="T59" s="280"/>
      <c r="U59" s="350"/>
      <c r="V59" s="119"/>
      <c r="W59" s="280"/>
      <c r="X59" s="350"/>
      <c r="Y59" s="292"/>
      <c r="Z59" s="102"/>
      <c r="AA59" s="103"/>
      <c r="AB59" s="212"/>
      <c r="AC59" s="102"/>
      <c r="AD59" s="103"/>
      <c r="AE59" s="212"/>
    </row>
    <row r="60" spans="1:31" ht="14.25" thickTop="1" thickBot="1" x14ac:dyDescent="0.25">
      <c r="A60" s="698" t="s">
        <v>559</v>
      </c>
      <c r="B60" s="696"/>
      <c r="C60" s="696"/>
      <c r="D60" s="696"/>
      <c r="E60" s="311"/>
      <c r="F60" s="101"/>
      <c r="G60" s="119"/>
      <c r="H60" s="280"/>
      <c r="I60" s="350"/>
      <c r="J60" s="119"/>
      <c r="K60" s="280"/>
      <c r="L60" s="350"/>
      <c r="M60" s="119"/>
      <c r="N60" s="280"/>
      <c r="O60" s="350"/>
      <c r="P60" s="119"/>
      <c r="Q60" s="280"/>
      <c r="R60" s="350"/>
      <c r="S60" s="119"/>
      <c r="T60" s="280"/>
      <c r="U60" s="350"/>
      <c r="V60" s="119"/>
      <c r="W60" s="280"/>
      <c r="X60" s="350"/>
      <c r="Y60" s="292"/>
      <c r="Z60" s="102"/>
      <c r="AA60" s="103"/>
      <c r="AB60" s="212"/>
      <c r="AC60" s="102"/>
      <c r="AD60" s="103"/>
      <c r="AE60" s="212"/>
    </row>
    <row r="61" spans="1:31" s="564" customFormat="1" ht="13.5" thickTop="1" x14ac:dyDescent="0.2">
      <c r="A61" s="1174" t="s">
        <v>582</v>
      </c>
      <c r="B61" s="1222" t="s">
        <v>7</v>
      </c>
      <c r="C61" s="1222" t="s">
        <v>132</v>
      </c>
      <c r="D61" s="1451" t="s">
        <v>8</v>
      </c>
      <c r="E61" s="311"/>
      <c r="F61" s="101"/>
      <c r="G61" s="119"/>
      <c r="H61" s="280"/>
      <c r="I61" s="350"/>
      <c r="J61" s="119"/>
      <c r="K61" s="280"/>
      <c r="L61" s="350"/>
      <c r="M61" s="119"/>
      <c r="N61" s="280"/>
      <c r="O61" s="350"/>
      <c r="P61" s="119"/>
      <c r="Q61" s="280"/>
      <c r="R61" s="350"/>
      <c r="S61" s="119"/>
      <c r="T61" s="280"/>
      <c r="U61" s="350"/>
      <c r="V61" s="119"/>
      <c r="W61" s="280"/>
      <c r="X61" s="350"/>
      <c r="Y61" s="292"/>
      <c r="Z61" s="102"/>
      <c r="AA61" s="103"/>
      <c r="AB61" s="212"/>
      <c r="AC61" s="102"/>
      <c r="AD61" s="103"/>
      <c r="AE61" s="212"/>
    </row>
    <row r="62" spans="1:31" s="409" customFormat="1" x14ac:dyDescent="0.2">
      <c r="A62" s="1243" t="s">
        <v>580</v>
      </c>
      <c r="B62" s="1254" t="s">
        <v>14</v>
      </c>
      <c r="C62" s="1254" t="s">
        <v>132</v>
      </c>
      <c r="D62" s="1409" t="s">
        <v>8</v>
      </c>
      <c r="E62" s="418"/>
      <c r="F62" s="760"/>
      <c r="G62" s="74"/>
      <c r="H62" s="761"/>
      <c r="I62" s="762"/>
      <c r="J62" s="74"/>
      <c r="K62" s="761"/>
      <c r="L62" s="762"/>
      <c r="M62" s="74"/>
      <c r="N62" s="761"/>
      <c r="O62" s="762"/>
      <c r="P62" s="74"/>
      <c r="Q62" s="761"/>
      <c r="R62" s="762"/>
      <c r="S62" s="74"/>
      <c r="T62" s="761"/>
      <c r="U62" s="762"/>
      <c r="V62" s="74"/>
      <c r="W62" s="761"/>
      <c r="X62" s="762"/>
      <c r="Y62" s="285"/>
      <c r="Z62" s="1033"/>
      <c r="AA62" s="100"/>
      <c r="AB62" s="211"/>
      <c r="AC62" s="1033"/>
      <c r="AD62" s="100"/>
      <c r="AE62" s="211"/>
    </row>
    <row r="63" spans="1:31" s="410" customFormat="1" x14ac:dyDescent="0.2">
      <c r="A63" s="1456" t="s">
        <v>556</v>
      </c>
      <c r="B63" s="1218" t="s">
        <v>14</v>
      </c>
      <c r="C63" s="1218" t="s">
        <v>132</v>
      </c>
      <c r="D63" s="1407" t="s">
        <v>8</v>
      </c>
      <c r="E63" s="418"/>
      <c r="F63" s="760"/>
      <c r="G63" s="74"/>
      <c r="H63" s="761"/>
      <c r="I63" s="762"/>
      <c r="J63" s="74"/>
      <c r="K63" s="761"/>
      <c r="L63" s="762"/>
      <c r="M63" s="74"/>
      <c r="N63" s="761"/>
      <c r="O63" s="762"/>
      <c r="P63" s="74"/>
      <c r="Q63" s="761"/>
      <c r="R63" s="762"/>
      <c r="S63" s="74"/>
      <c r="T63" s="761"/>
      <c r="U63" s="762"/>
      <c r="V63" s="74"/>
      <c r="W63" s="761"/>
      <c r="X63" s="762"/>
      <c r="Y63" s="285"/>
      <c r="Z63" s="1033"/>
      <c r="AA63" s="100"/>
      <c r="AB63" s="211"/>
      <c r="AC63" s="1033"/>
      <c r="AD63" s="100"/>
      <c r="AE63" s="211"/>
    </row>
    <row r="64" spans="1:31" ht="13.5" thickBot="1" x14ac:dyDescent="0.25">
      <c r="A64" s="759"/>
      <c r="B64" s="100"/>
      <c r="C64" s="100"/>
      <c r="D64" s="754"/>
      <c r="E64" s="311"/>
      <c r="F64" s="101"/>
      <c r="G64" s="119"/>
      <c r="H64" s="280"/>
      <c r="I64" s="350"/>
      <c r="J64" s="119"/>
      <c r="K64" s="280"/>
      <c r="L64" s="350"/>
      <c r="M64" s="119"/>
      <c r="N64" s="280"/>
      <c r="O64" s="350"/>
      <c r="P64" s="119"/>
      <c r="Q64" s="280"/>
      <c r="R64" s="350"/>
      <c r="S64" s="119"/>
      <c r="T64" s="280"/>
      <c r="U64" s="350"/>
      <c r="V64" s="119"/>
      <c r="W64" s="280"/>
      <c r="X64" s="350"/>
      <c r="Y64" s="292"/>
      <c r="Z64" s="102"/>
      <c r="AA64" s="103"/>
      <c r="AB64" s="212"/>
      <c r="AC64" s="102"/>
      <c r="AD64" s="103"/>
      <c r="AE64" s="212"/>
    </row>
    <row r="65" spans="1:31" ht="14.25" thickTop="1" thickBot="1" x14ac:dyDescent="0.25">
      <c r="A65" s="698" t="s">
        <v>595</v>
      </c>
      <c r="B65" s="696"/>
      <c r="C65" s="696"/>
      <c r="D65" s="695"/>
      <c r="E65" s="311"/>
      <c r="F65" s="101"/>
      <c r="G65" s="119"/>
      <c r="H65" s="280"/>
      <c r="I65" s="350"/>
      <c r="J65" s="119"/>
      <c r="K65" s="280"/>
      <c r="L65" s="350"/>
      <c r="M65" s="119"/>
      <c r="N65" s="280"/>
      <c r="O65" s="350"/>
      <c r="P65" s="119"/>
      <c r="Q65" s="280"/>
      <c r="R65" s="350"/>
      <c r="S65" s="119"/>
      <c r="T65" s="280"/>
      <c r="U65" s="350"/>
      <c r="V65" s="119"/>
      <c r="W65" s="280"/>
      <c r="X65" s="350"/>
      <c r="Y65" s="292"/>
      <c r="Z65" s="102"/>
      <c r="AA65" s="103"/>
      <c r="AB65" s="212"/>
      <c r="AC65" s="102"/>
      <c r="AD65" s="103"/>
      <c r="AE65" s="212"/>
    </row>
    <row r="66" spans="1:31" s="413" customFormat="1" ht="14.25" thickTop="1" thickBot="1" x14ac:dyDescent="0.25">
      <c r="A66" s="1596" t="s">
        <v>600</v>
      </c>
      <c r="B66" s="1596" t="s">
        <v>14</v>
      </c>
      <c r="C66" s="1596" t="s">
        <v>132</v>
      </c>
      <c r="D66" s="1597" t="s">
        <v>8</v>
      </c>
      <c r="E66" s="763"/>
      <c r="F66" s="764"/>
      <c r="G66" s="627"/>
      <c r="H66" s="765"/>
      <c r="I66" s="766"/>
      <c r="J66" s="627"/>
      <c r="K66" s="280"/>
      <c r="L66" s="766"/>
      <c r="M66" s="627"/>
      <c r="N66" s="280"/>
      <c r="O66" s="766"/>
      <c r="P66" s="627"/>
      <c r="Q66" s="280"/>
      <c r="R66" s="766"/>
      <c r="S66" s="627"/>
      <c r="T66" s="280"/>
      <c r="U66" s="766"/>
      <c r="V66" s="627"/>
      <c r="W66" s="280"/>
      <c r="X66" s="766"/>
      <c r="Y66" s="767"/>
      <c r="Z66" s="977"/>
      <c r="AA66" s="758"/>
      <c r="AB66" s="576"/>
      <c r="AC66" s="977"/>
      <c r="AD66" s="758"/>
      <c r="AE66" s="576"/>
    </row>
    <row r="67" spans="1:31" s="413" customFormat="1" ht="14.25" thickTop="1" thickBot="1" x14ac:dyDescent="0.25">
      <c r="A67" s="408"/>
      <c r="B67" s="408"/>
      <c r="C67" s="408"/>
      <c r="D67" s="769"/>
      <c r="E67" s="763"/>
      <c r="F67" s="764"/>
      <c r="G67" s="627"/>
      <c r="H67" s="765"/>
      <c r="I67" s="766"/>
      <c r="J67" s="627"/>
      <c r="K67" s="280"/>
      <c r="L67" s="766"/>
      <c r="M67" s="627"/>
      <c r="N67" s="280"/>
      <c r="O67" s="766"/>
      <c r="P67" s="627"/>
      <c r="Q67" s="280"/>
      <c r="R67" s="766"/>
      <c r="S67" s="627"/>
      <c r="T67" s="280"/>
      <c r="U67" s="766"/>
      <c r="V67" s="627"/>
      <c r="W67" s="280"/>
      <c r="X67" s="766"/>
      <c r="Y67" s="767"/>
      <c r="Z67" s="977"/>
      <c r="AA67" s="758"/>
      <c r="AB67" s="576"/>
      <c r="AC67" s="977"/>
      <c r="AD67" s="758"/>
      <c r="AE67" s="576"/>
    </row>
    <row r="68" spans="1:31" ht="14.25" thickTop="1" thickBot="1" x14ac:dyDescent="0.25">
      <c r="A68" s="698" t="s">
        <v>610</v>
      </c>
      <c r="B68" s="696"/>
      <c r="C68" s="696"/>
      <c r="D68" s="696"/>
      <c r="E68" s="311"/>
      <c r="F68" s="101"/>
      <c r="G68" s="119"/>
      <c r="H68" s="280"/>
      <c r="I68" s="350"/>
      <c r="J68" s="119"/>
      <c r="K68" s="280"/>
      <c r="L68" s="350"/>
      <c r="M68" s="119"/>
      <c r="N68" s="280"/>
      <c r="O68" s="350"/>
      <c r="P68" s="119"/>
      <c r="Q68" s="280"/>
      <c r="R68" s="350"/>
      <c r="S68" s="119"/>
      <c r="T68" s="280"/>
      <c r="U68" s="350"/>
      <c r="V68" s="119"/>
      <c r="W68" s="280"/>
      <c r="X68" s="350"/>
      <c r="Y68" s="292"/>
      <c r="Z68" s="102"/>
      <c r="AA68" s="103"/>
      <c r="AB68" s="212"/>
      <c r="AC68" s="102"/>
      <c r="AD68" s="103"/>
      <c r="AE68" s="212"/>
    </row>
    <row r="69" spans="1:31" s="564" customFormat="1" ht="13.5" thickTop="1" x14ac:dyDescent="0.2">
      <c r="A69" s="1174" t="s">
        <v>616</v>
      </c>
      <c r="B69" s="1222" t="s">
        <v>7</v>
      </c>
      <c r="C69" s="1222" t="s">
        <v>132</v>
      </c>
      <c r="D69" s="1451" t="s">
        <v>8</v>
      </c>
      <c r="E69" s="311"/>
      <c r="F69" s="101"/>
      <c r="G69" s="119"/>
      <c r="H69" s="280"/>
      <c r="I69" s="350"/>
      <c r="J69" s="119"/>
      <c r="K69" s="280"/>
      <c r="L69" s="350"/>
      <c r="M69" s="119"/>
      <c r="N69" s="280"/>
      <c r="O69" s="350"/>
      <c r="P69" s="119"/>
      <c r="Q69" s="280"/>
      <c r="R69" s="350"/>
      <c r="S69" s="119"/>
      <c r="T69" s="280"/>
      <c r="U69" s="350"/>
      <c r="V69" s="119"/>
      <c r="W69" s="280"/>
      <c r="X69" s="350"/>
      <c r="Y69" s="292"/>
      <c r="Z69" s="102"/>
      <c r="AA69" s="103"/>
      <c r="AB69" s="212"/>
      <c r="AC69" s="102"/>
      <c r="AD69" s="103"/>
      <c r="AE69" s="212"/>
    </row>
    <row r="70" spans="1:31" s="1196" customFormat="1" ht="13.5" thickBot="1" x14ac:dyDescent="0.25">
      <c r="A70" s="1404" t="s">
        <v>617</v>
      </c>
      <c r="B70" s="1405" t="s">
        <v>7</v>
      </c>
      <c r="C70" s="1405" t="s">
        <v>44</v>
      </c>
      <c r="D70" s="1416" t="s">
        <v>8</v>
      </c>
      <c r="E70" s="1601">
        <f>SUM(F70:G70)</f>
        <v>3913621</v>
      </c>
      <c r="F70" s="1602">
        <f>SUM(I70,L70,O70,R70,U70,X70)</f>
        <v>1913621</v>
      </c>
      <c r="G70" s="1341">
        <f>SUM(J70,M70,P70,S70,V70,Y70)</f>
        <v>2000000</v>
      </c>
      <c r="H70" s="1603"/>
      <c r="I70" s="1604"/>
      <c r="J70" s="1341"/>
      <c r="K70" s="1603">
        <f>SUM(L70:M70)</f>
        <v>1313621</v>
      </c>
      <c r="L70" s="1604">
        <v>313621</v>
      </c>
      <c r="M70" s="1341">
        <v>1000000</v>
      </c>
      <c r="N70" s="1603">
        <f>SUM(O70:P70)</f>
        <v>1400000</v>
      </c>
      <c r="O70" s="1604">
        <v>400000</v>
      </c>
      <c r="P70" s="1341">
        <v>1000000</v>
      </c>
      <c r="Q70" s="1603">
        <f>SUM(R70:S70)</f>
        <v>400000</v>
      </c>
      <c r="R70" s="1604">
        <v>400000</v>
      </c>
      <c r="S70" s="1341">
        <v>0</v>
      </c>
      <c r="T70" s="1603">
        <f>SUM(U70:V70)</f>
        <v>400000</v>
      </c>
      <c r="U70" s="1604">
        <v>400000</v>
      </c>
      <c r="V70" s="1341">
        <v>0</v>
      </c>
      <c r="W70" s="1603">
        <f>SUM(X70:Y70)</f>
        <v>400000</v>
      </c>
      <c r="X70" s="1604">
        <v>400000</v>
      </c>
      <c r="Y70" s="1381">
        <v>0</v>
      </c>
      <c r="Z70" s="1620"/>
      <c r="AA70" s="1605"/>
      <c r="AB70" s="1606"/>
      <c r="AC70" s="1620"/>
      <c r="AD70" s="1605"/>
      <c r="AE70" s="1606"/>
    </row>
    <row r="71" spans="1:31" ht="14.25" thickTop="1" thickBot="1" x14ac:dyDescent="0.25">
      <c r="A71" s="73"/>
      <c r="B71" s="73"/>
      <c r="C71" s="73"/>
      <c r="D71" s="58"/>
      <c r="E71" s="311"/>
      <c r="F71" s="101"/>
      <c r="G71" s="119"/>
      <c r="H71" s="280"/>
      <c r="I71" s="350"/>
      <c r="J71" s="119"/>
      <c r="K71" s="280"/>
      <c r="L71" s="350"/>
      <c r="M71" s="119"/>
      <c r="N71" s="280"/>
      <c r="O71" s="350"/>
      <c r="P71" s="119"/>
      <c r="Q71" s="280"/>
      <c r="R71" s="350"/>
      <c r="S71" s="119"/>
      <c r="T71" s="280"/>
      <c r="U71" s="350"/>
      <c r="V71" s="119"/>
      <c r="W71" s="280"/>
      <c r="X71" s="350"/>
      <c r="Y71" s="292"/>
      <c r="Z71" s="102"/>
      <c r="AA71" s="103"/>
      <c r="AB71" s="212"/>
      <c r="AC71" s="102"/>
      <c r="AD71" s="103"/>
      <c r="AE71" s="212"/>
    </row>
    <row r="72" spans="1:31" ht="14.25" thickTop="1" thickBot="1" x14ac:dyDescent="0.25">
      <c r="A72" s="698" t="s">
        <v>631</v>
      </c>
      <c r="B72" s="696"/>
      <c r="C72" s="696"/>
      <c r="D72" s="696"/>
      <c r="E72" s="311"/>
      <c r="F72" s="101"/>
      <c r="G72" s="119"/>
      <c r="H72" s="280"/>
      <c r="I72" s="350"/>
      <c r="J72" s="119"/>
      <c r="K72" s="280"/>
      <c r="L72" s="350"/>
      <c r="M72" s="119"/>
      <c r="N72" s="280"/>
      <c r="O72" s="350"/>
      <c r="P72" s="119"/>
      <c r="Q72" s="280"/>
      <c r="R72" s="350"/>
      <c r="S72" s="119"/>
      <c r="T72" s="280"/>
      <c r="U72" s="350"/>
      <c r="V72" s="119"/>
      <c r="W72" s="280"/>
      <c r="X72" s="350"/>
      <c r="Y72" s="292"/>
      <c r="Z72" s="102"/>
      <c r="AA72" s="103"/>
      <c r="AB72" s="212"/>
      <c r="AC72" s="102"/>
      <c r="AD72" s="103"/>
      <c r="AE72" s="212"/>
    </row>
    <row r="73" spans="1:31" s="1196" customFormat="1" ht="13.5" thickTop="1" x14ac:dyDescent="0.2">
      <c r="A73" s="1235" t="s">
        <v>556</v>
      </c>
      <c r="B73" s="1209" t="s">
        <v>7</v>
      </c>
      <c r="C73" s="1209" t="s">
        <v>44</v>
      </c>
      <c r="D73" s="1441" t="s">
        <v>8</v>
      </c>
      <c r="E73" s="1601">
        <f>SUM(F73:G73)</f>
        <v>675000</v>
      </c>
      <c r="F73" s="1602">
        <f>SUM(I73,L73,O73,R73,U73,X73)</f>
        <v>425000</v>
      </c>
      <c r="G73" s="1341">
        <f>SUM(J73,M73,P73,S73,V73,Y73)</f>
        <v>250000</v>
      </c>
      <c r="H73" s="1603"/>
      <c r="I73" s="1604"/>
      <c r="J73" s="1341"/>
      <c r="K73" s="1603">
        <f>SUM(L73:M73)</f>
        <v>100000</v>
      </c>
      <c r="L73" s="1604">
        <v>100000</v>
      </c>
      <c r="M73" s="1341">
        <v>0</v>
      </c>
      <c r="N73" s="1603">
        <f>SUM(O73:P73)</f>
        <v>500000</v>
      </c>
      <c r="O73" s="1604">
        <v>250000</v>
      </c>
      <c r="P73" s="1341">
        <v>250000</v>
      </c>
      <c r="Q73" s="1603">
        <f>SUM(R73:S73)</f>
        <v>75000</v>
      </c>
      <c r="R73" s="1604">
        <v>75000</v>
      </c>
      <c r="S73" s="1341">
        <v>0</v>
      </c>
      <c r="T73" s="1603">
        <f>SUM(U73:V73)</f>
        <v>0</v>
      </c>
      <c r="U73" s="1604">
        <v>0</v>
      </c>
      <c r="V73" s="1341">
        <v>0</v>
      </c>
      <c r="W73" s="1603">
        <f>SUM(X73:Y73)</f>
        <v>0</v>
      </c>
      <c r="X73" s="1604">
        <v>0</v>
      </c>
      <c r="Y73" s="1381">
        <v>0</v>
      </c>
      <c r="Z73" s="1620"/>
      <c r="AA73" s="1605"/>
      <c r="AB73" s="1606"/>
      <c r="AC73" s="1620"/>
      <c r="AD73" s="1605"/>
      <c r="AE73" s="1606"/>
    </row>
    <row r="74" spans="1:31" s="410" customFormat="1" ht="13.5" thickBot="1" x14ac:dyDescent="0.25">
      <c r="A74" s="1410" t="s">
        <v>626</v>
      </c>
      <c r="B74" s="1391" t="s">
        <v>14</v>
      </c>
      <c r="C74" s="1391" t="s">
        <v>132</v>
      </c>
      <c r="D74" s="1392" t="s">
        <v>8</v>
      </c>
      <c r="E74" s="418"/>
      <c r="F74" s="760"/>
      <c r="G74" s="74"/>
      <c r="H74" s="761"/>
      <c r="I74" s="762"/>
      <c r="J74" s="74"/>
      <c r="K74" s="761"/>
      <c r="L74" s="762"/>
      <c r="M74" s="74"/>
      <c r="N74" s="761"/>
      <c r="O74" s="762"/>
      <c r="P74" s="74"/>
      <c r="Q74" s="761"/>
      <c r="R74" s="762"/>
      <c r="S74" s="74"/>
      <c r="T74" s="761"/>
      <c r="U74" s="762"/>
      <c r="V74" s="74"/>
      <c r="W74" s="761"/>
      <c r="X74" s="762"/>
      <c r="Y74" s="285"/>
      <c r="Z74" s="1033"/>
      <c r="AA74" s="100"/>
      <c r="AB74" s="211"/>
      <c r="AC74" s="1033"/>
      <c r="AD74" s="100"/>
      <c r="AE74" s="211"/>
    </row>
    <row r="75" spans="1:31" s="413" customFormat="1" ht="14.25" thickTop="1" thickBot="1" x14ac:dyDescent="0.25">
      <c r="A75" s="408"/>
      <c r="B75" s="408"/>
      <c r="C75" s="408"/>
      <c r="D75" s="408"/>
      <c r="E75" s="763"/>
      <c r="F75" s="764"/>
      <c r="G75" s="627"/>
      <c r="H75" s="765"/>
      <c r="I75" s="766"/>
      <c r="J75" s="627"/>
      <c r="K75" s="765"/>
      <c r="L75" s="766"/>
      <c r="M75" s="627"/>
      <c r="N75" s="765"/>
      <c r="O75" s="766"/>
      <c r="P75" s="627"/>
      <c r="Q75" s="765"/>
      <c r="R75" s="766"/>
      <c r="S75" s="627"/>
      <c r="T75" s="765"/>
      <c r="U75" s="766"/>
      <c r="V75" s="627"/>
      <c r="W75" s="765"/>
      <c r="X75" s="766"/>
      <c r="Y75" s="767"/>
      <c r="Z75" s="977"/>
      <c r="AA75" s="758"/>
      <c r="AB75" s="576"/>
      <c r="AC75" s="977"/>
      <c r="AD75" s="758"/>
      <c r="AE75" s="576"/>
    </row>
    <row r="76" spans="1:31" s="413" customFormat="1" ht="14.25" thickTop="1" thickBot="1" x14ac:dyDescent="0.25">
      <c r="A76" s="698" t="s">
        <v>677</v>
      </c>
      <c r="B76" s="696"/>
      <c r="C76" s="696"/>
      <c r="D76" s="696"/>
      <c r="E76" s="763"/>
      <c r="F76" s="764"/>
      <c r="G76" s="627"/>
      <c r="H76" s="765"/>
      <c r="I76" s="766"/>
      <c r="J76" s="627"/>
      <c r="K76" s="765"/>
      <c r="L76" s="766"/>
      <c r="M76" s="627"/>
      <c r="N76" s="765"/>
      <c r="O76" s="766"/>
      <c r="P76" s="627"/>
      <c r="Q76" s="765"/>
      <c r="R76" s="766"/>
      <c r="S76" s="627"/>
      <c r="T76" s="765"/>
      <c r="U76" s="766"/>
      <c r="V76" s="627"/>
      <c r="W76" s="765"/>
      <c r="X76" s="766"/>
      <c r="Y76" s="767"/>
      <c r="Z76" s="977"/>
      <c r="AA76" s="758"/>
      <c r="AB76" s="576"/>
      <c r="AC76" s="977"/>
      <c r="AD76" s="758"/>
      <c r="AE76" s="576"/>
    </row>
    <row r="77" spans="1:31" s="413" customFormat="1" ht="13.5" thickTop="1" x14ac:dyDescent="0.2">
      <c r="A77" s="1221" t="s">
        <v>683</v>
      </c>
      <c r="B77" s="1222" t="s">
        <v>7</v>
      </c>
      <c r="C77" s="1222" t="s">
        <v>46</v>
      </c>
      <c r="D77" s="1451" t="s">
        <v>8</v>
      </c>
      <c r="E77" s="763"/>
      <c r="F77" s="764"/>
      <c r="G77" s="627"/>
      <c r="H77" s="765"/>
      <c r="I77" s="766"/>
      <c r="J77" s="627"/>
      <c r="K77" s="765"/>
      <c r="L77" s="766"/>
      <c r="M77" s="627"/>
      <c r="N77" s="765"/>
      <c r="O77" s="766"/>
      <c r="P77" s="627"/>
      <c r="Q77" s="765"/>
      <c r="R77" s="766"/>
      <c r="S77" s="627"/>
      <c r="T77" s="765"/>
      <c r="U77" s="766"/>
      <c r="V77" s="627"/>
      <c r="W77" s="765"/>
      <c r="X77" s="766"/>
      <c r="Y77" s="767"/>
      <c r="Z77" s="977"/>
      <c r="AA77" s="758"/>
      <c r="AB77" s="576"/>
      <c r="AC77" s="977"/>
      <c r="AD77" s="758"/>
      <c r="AE77" s="576"/>
    </row>
    <row r="78" spans="1:31" s="1415" customFormat="1" x14ac:dyDescent="0.2">
      <c r="A78" s="1412" t="s">
        <v>412</v>
      </c>
      <c r="B78" s="1201" t="s">
        <v>7</v>
      </c>
      <c r="C78" s="1201" t="s">
        <v>44</v>
      </c>
      <c r="D78" s="1465" t="s">
        <v>8</v>
      </c>
      <c r="E78" s="1608">
        <f>SUM(F78:G78)</f>
        <v>808000</v>
      </c>
      <c r="F78" s="1503">
        <f>SUM(I78,L78,O78,R78,U78,X78,AA78)</f>
        <v>328000</v>
      </c>
      <c r="G78" s="1609">
        <f>SUM(J78,M78,P78,S78,V78,Y78,AB78)</f>
        <v>480000</v>
      </c>
      <c r="H78" s="1610"/>
      <c r="I78" s="1611"/>
      <c r="J78" s="1609"/>
      <c r="K78" s="1610">
        <f>SUM(L78:M78)</f>
        <v>93000</v>
      </c>
      <c r="L78" s="1611">
        <v>43000</v>
      </c>
      <c r="M78" s="1609">
        <v>50000</v>
      </c>
      <c r="N78" s="1610">
        <f>SUM(O78:P78)</f>
        <v>265000</v>
      </c>
      <c r="O78" s="1611">
        <v>35000</v>
      </c>
      <c r="P78" s="1609">
        <v>230000</v>
      </c>
      <c r="Q78" s="1610">
        <f>SUM(R78:S78)</f>
        <v>450000</v>
      </c>
      <c r="R78" s="1611">
        <v>250000</v>
      </c>
      <c r="S78" s="1609">
        <v>200000</v>
      </c>
      <c r="T78" s="1610">
        <f>SUM(U78:V78)</f>
        <v>0</v>
      </c>
      <c r="U78" s="1611">
        <v>0</v>
      </c>
      <c r="V78" s="1609">
        <v>0</v>
      </c>
      <c r="W78" s="1610">
        <f>SUM(X78:Y78)</f>
        <v>0</v>
      </c>
      <c r="X78" s="1611">
        <v>0</v>
      </c>
      <c r="Y78" s="1612">
        <v>0</v>
      </c>
      <c r="Z78" s="1504"/>
      <c r="AA78" s="1502"/>
      <c r="AB78" s="1613"/>
      <c r="AC78" s="1504"/>
      <c r="AD78" s="1502"/>
      <c r="AE78" s="1613"/>
    </row>
    <row r="79" spans="1:31" s="409" customFormat="1" x14ac:dyDescent="0.2">
      <c r="A79" s="1253" t="s">
        <v>679</v>
      </c>
      <c r="B79" s="1254" t="s">
        <v>14</v>
      </c>
      <c r="C79" s="1254" t="s">
        <v>132</v>
      </c>
      <c r="D79" s="1455" t="s">
        <v>8</v>
      </c>
      <c r="E79" s="418"/>
      <c r="F79" s="760"/>
      <c r="G79" s="74"/>
      <c r="H79" s="761"/>
      <c r="I79" s="762"/>
      <c r="J79" s="74"/>
      <c r="K79" s="761"/>
      <c r="L79" s="762"/>
      <c r="M79" s="74"/>
      <c r="N79" s="761"/>
      <c r="O79" s="762"/>
      <c r="P79" s="74"/>
      <c r="Q79" s="761"/>
      <c r="R79" s="762"/>
      <c r="S79" s="74"/>
      <c r="T79" s="761"/>
      <c r="U79" s="762"/>
      <c r="V79" s="74"/>
      <c r="W79" s="761"/>
      <c r="X79" s="762"/>
      <c r="Y79" s="285"/>
      <c r="Z79" s="1033"/>
      <c r="AA79" s="100"/>
      <c r="AB79" s="211"/>
      <c r="AC79" s="1033"/>
      <c r="AD79" s="100"/>
      <c r="AE79" s="211"/>
    </row>
    <row r="80" spans="1:31" s="409" customFormat="1" x14ac:dyDescent="0.2">
      <c r="A80" s="1253" t="s">
        <v>685</v>
      </c>
      <c r="B80" s="1254" t="s">
        <v>14</v>
      </c>
      <c r="C80" s="1254" t="s">
        <v>132</v>
      </c>
      <c r="D80" s="1455" t="s">
        <v>8</v>
      </c>
      <c r="E80" s="418"/>
      <c r="F80" s="760"/>
      <c r="G80" s="74"/>
      <c r="H80" s="761"/>
      <c r="I80" s="762"/>
      <c r="J80" s="74"/>
      <c r="K80" s="761"/>
      <c r="L80" s="762"/>
      <c r="M80" s="74"/>
      <c r="N80" s="761"/>
      <c r="O80" s="762"/>
      <c r="P80" s="74"/>
      <c r="Q80" s="761"/>
      <c r="R80" s="762"/>
      <c r="S80" s="74"/>
      <c r="T80" s="761"/>
      <c r="U80" s="762"/>
      <c r="V80" s="74"/>
      <c r="W80" s="761"/>
      <c r="X80" s="762"/>
      <c r="Y80" s="285"/>
      <c r="Z80" s="1033"/>
      <c r="AA80" s="100"/>
      <c r="AB80" s="211"/>
      <c r="AC80" s="1033"/>
      <c r="AD80" s="100"/>
      <c r="AE80" s="211"/>
    </row>
    <row r="81" spans="1:31" s="1282" customFormat="1" ht="13.5" thickBot="1" x14ac:dyDescent="0.25">
      <c r="A81" s="1364" t="s">
        <v>671</v>
      </c>
      <c r="B81" s="1417" t="s">
        <v>7</v>
      </c>
      <c r="C81" s="1418" t="s">
        <v>44</v>
      </c>
      <c r="D81" s="1417" t="s">
        <v>8</v>
      </c>
      <c r="E81" s="1614">
        <f>SUM(F81:G81)</f>
        <v>760000</v>
      </c>
      <c r="F81" s="1280">
        <f>SUM(I81,L81,O81,R81,U81,X81,AA81)</f>
        <v>260000</v>
      </c>
      <c r="G81" s="1365">
        <f>SUM(J81,M81,P81,S81,V81,Y81,AB81)</f>
        <v>500000</v>
      </c>
      <c r="H81" s="1615"/>
      <c r="I81" s="1616"/>
      <c r="J81" s="1365"/>
      <c r="K81" s="1615"/>
      <c r="L81" s="1616"/>
      <c r="M81" s="1365"/>
      <c r="N81" s="1615">
        <f>SUM(O81:P81)</f>
        <v>660000</v>
      </c>
      <c r="O81" s="1616">
        <v>260000</v>
      </c>
      <c r="P81" s="1365">
        <v>400000</v>
      </c>
      <c r="Q81" s="1615">
        <f>SUM(R81:S81)</f>
        <v>0</v>
      </c>
      <c r="R81" s="1616">
        <v>0</v>
      </c>
      <c r="S81" s="1365">
        <v>0</v>
      </c>
      <c r="T81" s="1615">
        <f>SUM(U81:V81)</f>
        <v>100000</v>
      </c>
      <c r="U81" s="1616">
        <v>0</v>
      </c>
      <c r="V81" s="1365">
        <v>100000</v>
      </c>
      <c r="W81" s="1615">
        <f>SUM(X81:Y81)</f>
        <v>0</v>
      </c>
      <c r="X81" s="1616">
        <v>0</v>
      </c>
      <c r="Y81" s="1617">
        <v>0</v>
      </c>
      <c r="Z81" s="1499">
        <f>SUM(AA81:AB81)</f>
        <v>0</v>
      </c>
      <c r="AA81" s="1279">
        <v>0</v>
      </c>
      <c r="AB81" s="1478">
        <v>0</v>
      </c>
      <c r="AC81" s="1499"/>
      <c r="AD81" s="1279"/>
      <c r="AE81" s="1478"/>
    </row>
    <row r="82" spans="1:31" s="413" customFormat="1" ht="14.25" thickTop="1" thickBot="1" x14ac:dyDescent="0.25">
      <c r="A82" s="408"/>
      <c r="B82" s="408"/>
      <c r="C82" s="408"/>
      <c r="D82" s="408"/>
      <c r="E82" s="763"/>
      <c r="F82" s="764"/>
      <c r="G82" s="627"/>
      <c r="H82" s="765"/>
      <c r="I82" s="766"/>
      <c r="J82" s="627"/>
      <c r="K82" s="765"/>
      <c r="L82" s="766"/>
      <c r="M82" s="627"/>
      <c r="N82" s="765"/>
      <c r="O82" s="766"/>
      <c r="P82" s="627"/>
      <c r="Q82" s="765"/>
      <c r="R82" s="766"/>
      <c r="S82" s="627"/>
      <c r="T82" s="765"/>
      <c r="U82" s="766"/>
      <c r="V82" s="627"/>
      <c r="W82" s="765"/>
      <c r="X82" s="766"/>
      <c r="Y82" s="767"/>
      <c r="Z82" s="977"/>
      <c r="AA82" s="758"/>
      <c r="AB82" s="576"/>
      <c r="AC82" s="977"/>
      <c r="AD82" s="758"/>
      <c r="AE82" s="576"/>
    </row>
    <row r="83" spans="1:31" s="413" customFormat="1" ht="14.25" thickTop="1" thickBot="1" x14ac:dyDescent="0.25">
      <c r="A83" s="933" t="s">
        <v>744</v>
      </c>
      <c r="B83" s="934"/>
      <c r="C83" s="934"/>
      <c r="D83" s="941"/>
      <c r="E83" s="763"/>
      <c r="F83" s="764"/>
      <c r="G83" s="627"/>
      <c r="H83" s="765"/>
      <c r="I83" s="766"/>
      <c r="J83" s="627"/>
      <c r="K83" s="765"/>
      <c r="L83" s="766"/>
      <c r="M83" s="627"/>
      <c r="N83" s="765"/>
      <c r="O83" s="766"/>
      <c r="P83" s="627"/>
      <c r="Q83" s="765"/>
      <c r="R83" s="766"/>
      <c r="S83" s="627"/>
      <c r="T83" s="765"/>
      <c r="U83" s="766"/>
      <c r="V83" s="627"/>
      <c r="W83" s="765"/>
      <c r="X83" s="766"/>
      <c r="Y83" s="767"/>
      <c r="Z83" s="977"/>
      <c r="AA83" s="758"/>
      <c r="AB83" s="576"/>
      <c r="AC83" s="977"/>
      <c r="AD83" s="758"/>
      <c r="AE83" s="576"/>
    </row>
    <row r="84" spans="1:31" s="1282" customFormat="1" x14ac:dyDescent="0.2">
      <c r="A84" s="1263" t="s">
        <v>383</v>
      </c>
      <c r="B84" s="1264" t="s">
        <v>7</v>
      </c>
      <c r="C84" s="1264" t="s">
        <v>44</v>
      </c>
      <c r="D84" s="1476" t="s">
        <v>8</v>
      </c>
      <c r="E84" s="1614">
        <f>SUM(F84:G84)</f>
        <v>4725000</v>
      </c>
      <c r="F84" s="1280">
        <f>SUM(I84,L84,O84,R84,U84,X84,AA84)</f>
        <v>2400000</v>
      </c>
      <c r="G84" s="1365">
        <f>SUM(J84,M84,P84,S84,V84,Y84,AB84)</f>
        <v>2325000</v>
      </c>
      <c r="H84" s="1615"/>
      <c r="I84" s="1616"/>
      <c r="J84" s="1365"/>
      <c r="K84" s="1615"/>
      <c r="L84" s="1616"/>
      <c r="M84" s="1365"/>
      <c r="N84" s="1615">
        <f>SUM(O84:P84)</f>
        <v>3820000</v>
      </c>
      <c r="O84" s="1616">
        <v>1920000</v>
      </c>
      <c r="P84" s="1365">
        <v>1900000</v>
      </c>
      <c r="Q84" s="1615">
        <f>SUM(R84:S84)</f>
        <v>0</v>
      </c>
      <c r="R84" s="1616">
        <v>0</v>
      </c>
      <c r="S84" s="1365">
        <v>0</v>
      </c>
      <c r="T84" s="1615">
        <f>SUM(U84:V84)</f>
        <v>525000</v>
      </c>
      <c r="U84" s="1616">
        <v>100000</v>
      </c>
      <c r="V84" s="1365">
        <v>425000</v>
      </c>
      <c r="W84" s="1615">
        <f>SUM(X84:Y84)</f>
        <v>0</v>
      </c>
      <c r="X84" s="1616">
        <v>0</v>
      </c>
      <c r="Y84" s="1617">
        <v>0</v>
      </c>
      <c r="Z84" s="1499">
        <f>SUM(AA84:AB84)</f>
        <v>380000</v>
      </c>
      <c r="AA84" s="1279">
        <v>380000</v>
      </c>
      <c r="AB84" s="1478">
        <v>0</v>
      </c>
      <c r="AC84" s="1499"/>
      <c r="AD84" s="1279"/>
      <c r="AE84" s="1478"/>
    </row>
    <row r="85" spans="1:31" s="1282" customFormat="1" x14ac:dyDescent="0.2">
      <c r="A85" s="1263" t="s">
        <v>748</v>
      </c>
      <c r="B85" s="1264" t="s">
        <v>7</v>
      </c>
      <c r="C85" s="1264" t="s">
        <v>44</v>
      </c>
      <c r="D85" s="1478" t="s">
        <v>8</v>
      </c>
      <c r="E85" s="1614">
        <f>SUM(F85:G85)</f>
        <v>200000</v>
      </c>
      <c r="F85" s="1280">
        <f>SUM(I85,L85,O85,R85,U85,X85,AA85)</f>
        <v>90000</v>
      </c>
      <c r="G85" s="1365">
        <f>SUM(J85,M85,P85,S85,V85,Y85,AB85)</f>
        <v>110000</v>
      </c>
      <c r="H85" s="1615"/>
      <c r="I85" s="1616"/>
      <c r="J85" s="1365"/>
      <c r="K85" s="1615"/>
      <c r="L85" s="1616"/>
      <c r="M85" s="1365"/>
      <c r="N85" s="1615">
        <f>SUM(O85:P85)</f>
        <v>200000</v>
      </c>
      <c r="O85" s="1616">
        <v>90000</v>
      </c>
      <c r="P85" s="1365">
        <v>110000</v>
      </c>
      <c r="Q85" s="1615">
        <f>SUM(R85:S85)</f>
        <v>0</v>
      </c>
      <c r="R85" s="1616">
        <v>0</v>
      </c>
      <c r="S85" s="1365">
        <v>0</v>
      </c>
      <c r="T85" s="1615">
        <f>SUM(U85:V85)</f>
        <v>0</v>
      </c>
      <c r="U85" s="1616">
        <v>0</v>
      </c>
      <c r="V85" s="1365">
        <v>0</v>
      </c>
      <c r="W85" s="1615">
        <f>SUM(X85:Y85)</f>
        <v>0</v>
      </c>
      <c r="X85" s="1616">
        <v>0</v>
      </c>
      <c r="Y85" s="1617">
        <v>0</v>
      </c>
      <c r="Z85" s="1499">
        <f>SUM(AA85:AB85)</f>
        <v>0</v>
      </c>
      <c r="AA85" s="1279">
        <v>0</v>
      </c>
      <c r="AB85" s="1478">
        <v>0</v>
      </c>
      <c r="AC85" s="1499"/>
      <c r="AD85" s="1279"/>
      <c r="AE85" s="1478"/>
    </row>
    <row r="86" spans="1:31" s="413" customFormat="1" ht="13.5" thickBot="1" x14ac:dyDescent="0.25">
      <c r="A86" s="1253" t="s">
        <v>751</v>
      </c>
      <c r="B86" s="1254" t="s">
        <v>14</v>
      </c>
      <c r="C86" s="1254" t="s">
        <v>132</v>
      </c>
      <c r="D86" s="1392" t="s">
        <v>8</v>
      </c>
      <c r="E86" s="763"/>
      <c r="F86" s="764"/>
      <c r="G86" s="627"/>
      <c r="H86" s="765"/>
      <c r="I86" s="766"/>
      <c r="J86" s="627"/>
      <c r="K86" s="765"/>
      <c r="L86" s="766"/>
      <c r="M86" s="627"/>
      <c r="N86" s="765"/>
      <c r="O86" s="766"/>
      <c r="P86" s="627"/>
      <c r="Q86" s="765"/>
      <c r="R86" s="766"/>
      <c r="S86" s="627"/>
      <c r="T86" s="765"/>
      <c r="U86" s="766"/>
      <c r="V86" s="627"/>
      <c r="W86" s="765"/>
      <c r="X86" s="766"/>
      <c r="Y86" s="767"/>
      <c r="Z86" s="977"/>
      <c r="AA86" s="758"/>
      <c r="AB86" s="576"/>
      <c r="AC86" s="977"/>
      <c r="AD86" s="758"/>
      <c r="AE86" s="576"/>
    </row>
    <row r="87" spans="1:31" s="413" customFormat="1" ht="14.25" thickTop="1" thickBot="1" x14ac:dyDescent="0.25">
      <c r="A87" s="939"/>
      <c r="B87" s="940"/>
      <c r="C87" s="940"/>
      <c r="D87" s="613"/>
      <c r="E87" s="763"/>
      <c r="F87" s="764"/>
      <c r="G87" s="627"/>
      <c r="H87" s="765"/>
      <c r="I87" s="766"/>
      <c r="J87" s="627"/>
      <c r="K87" s="765"/>
      <c r="L87" s="766"/>
      <c r="M87" s="627"/>
      <c r="N87" s="765"/>
      <c r="O87" s="766"/>
      <c r="P87" s="627"/>
      <c r="Q87" s="765"/>
      <c r="R87" s="766"/>
      <c r="S87" s="627"/>
      <c r="T87" s="765"/>
      <c r="U87" s="766"/>
      <c r="V87" s="627"/>
      <c r="W87" s="765"/>
      <c r="X87" s="766"/>
      <c r="Y87" s="767"/>
      <c r="Z87" s="977"/>
      <c r="AA87" s="758"/>
      <c r="AB87" s="576"/>
      <c r="AC87" s="977"/>
      <c r="AD87" s="758"/>
      <c r="AE87" s="576"/>
    </row>
    <row r="88" spans="1:31" s="413" customFormat="1" ht="14.25" thickTop="1" thickBot="1" x14ac:dyDescent="0.25">
      <c r="A88" s="933" t="s">
        <v>754</v>
      </c>
      <c r="B88" s="934"/>
      <c r="C88" s="934"/>
      <c r="D88" s="756"/>
      <c r="E88" s="763"/>
      <c r="F88" s="764"/>
      <c r="G88" s="627"/>
      <c r="H88" s="765"/>
      <c r="I88" s="766"/>
      <c r="J88" s="627"/>
      <c r="K88" s="765"/>
      <c r="L88" s="766"/>
      <c r="M88" s="627"/>
      <c r="N88" s="765"/>
      <c r="O88" s="766"/>
      <c r="P88" s="627"/>
      <c r="Q88" s="765"/>
      <c r="R88" s="766"/>
      <c r="S88" s="627"/>
      <c r="T88" s="765"/>
      <c r="U88" s="766"/>
      <c r="V88" s="627"/>
      <c r="W88" s="765"/>
      <c r="X88" s="766"/>
      <c r="Y88" s="767"/>
      <c r="Z88" s="977"/>
      <c r="AA88" s="758"/>
      <c r="AB88" s="576"/>
      <c r="AC88" s="977"/>
      <c r="AD88" s="758"/>
      <c r="AE88" s="576"/>
    </row>
    <row r="89" spans="1:31" s="1245" customFormat="1" ht="13.5" thickBot="1" x14ac:dyDescent="0.25">
      <c r="A89" s="2076" t="s">
        <v>756</v>
      </c>
      <c r="B89" s="2077" t="s">
        <v>14</v>
      </c>
      <c r="C89" s="2077" t="s">
        <v>132</v>
      </c>
      <c r="D89" s="2079" t="s">
        <v>8</v>
      </c>
      <c r="E89" s="418"/>
      <c r="F89" s="760"/>
      <c r="G89" s="74"/>
      <c r="H89" s="761"/>
      <c r="I89" s="762"/>
      <c r="J89" s="74"/>
      <c r="K89" s="761"/>
      <c r="L89" s="762"/>
      <c r="M89" s="74"/>
      <c r="N89" s="761"/>
      <c r="O89" s="762"/>
      <c r="P89" s="74"/>
      <c r="Q89" s="761"/>
      <c r="R89" s="762"/>
      <c r="S89" s="74"/>
      <c r="T89" s="761"/>
      <c r="U89" s="762"/>
      <c r="V89" s="74"/>
      <c r="W89" s="761"/>
      <c r="X89" s="762"/>
      <c r="Y89" s="285"/>
      <c r="Z89" s="1033"/>
      <c r="AA89" s="100"/>
      <c r="AB89" s="211"/>
      <c r="AC89" s="1033"/>
      <c r="AD89" s="100"/>
      <c r="AE89" s="211"/>
    </row>
    <row r="90" spans="1:31" s="413" customFormat="1" ht="14.25" thickTop="1" thickBot="1" x14ac:dyDescent="0.25">
      <c r="A90" s="408"/>
      <c r="B90" s="408"/>
      <c r="C90" s="408"/>
      <c r="D90" s="408"/>
      <c r="E90" s="763"/>
      <c r="F90" s="764"/>
      <c r="G90" s="627"/>
      <c r="H90" s="765"/>
      <c r="I90" s="766"/>
      <c r="J90" s="627"/>
      <c r="K90" s="765"/>
      <c r="L90" s="766"/>
      <c r="M90" s="627"/>
      <c r="N90" s="765"/>
      <c r="O90" s="766"/>
      <c r="P90" s="627"/>
      <c r="Q90" s="765"/>
      <c r="R90" s="766"/>
      <c r="S90" s="627"/>
      <c r="T90" s="765"/>
      <c r="U90" s="766"/>
      <c r="V90" s="627"/>
      <c r="W90" s="765"/>
      <c r="X90" s="766"/>
      <c r="Y90" s="767"/>
      <c r="Z90" s="977"/>
      <c r="AA90" s="758"/>
      <c r="AB90" s="576"/>
      <c r="AC90" s="977"/>
      <c r="AD90" s="758"/>
      <c r="AE90" s="576"/>
    </row>
    <row r="91" spans="1:31" s="413" customFormat="1" ht="14.25" thickTop="1" thickBot="1" x14ac:dyDescent="0.25">
      <c r="A91" s="933" t="s">
        <v>814</v>
      </c>
      <c r="B91" s="934"/>
      <c r="C91" s="934"/>
      <c r="D91" s="941"/>
      <c r="E91" s="763"/>
      <c r="F91" s="764"/>
      <c r="G91" s="627"/>
      <c r="H91" s="765"/>
      <c r="I91" s="766"/>
      <c r="J91" s="627"/>
      <c r="K91" s="765"/>
      <c r="L91" s="766"/>
      <c r="M91" s="627"/>
      <c r="N91" s="765"/>
      <c r="O91" s="766"/>
      <c r="P91" s="627"/>
      <c r="Q91" s="765"/>
      <c r="R91" s="766"/>
      <c r="S91" s="627"/>
      <c r="T91" s="765"/>
      <c r="U91" s="766"/>
      <c r="V91" s="627"/>
      <c r="W91" s="765"/>
      <c r="X91" s="766"/>
      <c r="Y91" s="767"/>
      <c r="Z91" s="977"/>
      <c r="AA91" s="758"/>
      <c r="AB91" s="576"/>
      <c r="AC91" s="977"/>
      <c r="AD91" s="758"/>
      <c r="AE91" s="576"/>
    </row>
    <row r="92" spans="1:31" s="1282" customFormat="1" x14ac:dyDescent="0.2">
      <c r="A92" s="1263" t="s">
        <v>808</v>
      </c>
      <c r="B92" s="1264" t="s">
        <v>7</v>
      </c>
      <c r="C92" s="1264" t="s">
        <v>44</v>
      </c>
      <c r="D92" s="1479" t="s">
        <v>8</v>
      </c>
      <c r="E92" s="1614">
        <f>SUM(F92:G92)</f>
        <v>4828664</v>
      </c>
      <c r="F92" s="1280">
        <f>SUM(I92,L92,O92,R92,U92,X92,AA92)</f>
        <v>4478664</v>
      </c>
      <c r="G92" s="1365">
        <f>SUM(J92,M92,P92,S92,V92,Y92,AB92)</f>
        <v>350000</v>
      </c>
      <c r="H92" s="1615"/>
      <c r="I92" s="1616"/>
      <c r="J92" s="1365"/>
      <c r="K92" s="1615"/>
      <c r="L92" s="1616"/>
      <c r="M92" s="1365"/>
      <c r="N92" s="1615">
        <f>SUM(O92:P92)</f>
        <v>1828664</v>
      </c>
      <c r="O92" s="1616">
        <f>(941664+637000)</f>
        <v>1578664</v>
      </c>
      <c r="P92" s="1365">
        <v>250000</v>
      </c>
      <c r="Q92" s="1615">
        <f>SUM(R92:S92)</f>
        <v>1600000</v>
      </c>
      <c r="R92" s="1616">
        <f>(1300000+200000)</f>
        <v>1500000</v>
      </c>
      <c r="S92" s="1365">
        <v>100000</v>
      </c>
      <c r="T92" s="1615">
        <f>SUM(U92:V92)</f>
        <v>900000</v>
      </c>
      <c r="U92" s="1616">
        <v>900000</v>
      </c>
      <c r="V92" s="1365">
        <v>0</v>
      </c>
      <c r="W92" s="1615">
        <f>SUM(X92:Y92)</f>
        <v>500000</v>
      </c>
      <c r="X92" s="1616">
        <v>500000</v>
      </c>
      <c r="Y92" s="1617">
        <v>0</v>
      </c>
      <c r="Z92" s="1499">
        <f>SUM(AA92:AB92)</f>
        <v>0</v>
      </c>
      <c r="AA92" s="1279">
        <v>0</v>
      </c>
      <c r="AB92" s="1478">
        <v>0</v>
      </c>
      <c r="AC92" s="1499"/>
      <c r="AD92" s="1279"/>
      <c r="AE92" s="1478"/>
    </row>
    <row r="93" spans="1:31" s="1282" customFormat="1" x14ac:dyDescent="0.2">
      <c r="A93" s="1263" t="s">
        <v>810</v>
      </c>
      <c r="B93" s="1264" t="s">
        <v>7</v>
      </c>
      <c r="C93" s="1264" t="s">
        <v>44</v>
      </c>
      <c r="D93" s="1479" t="s">
        <v>8</v>
      </c>
      <c r="E93" s="1614">
        <f>SUM(F93:G93)</f>
        <v>1680000</v>
      </c>
      <c r="F93" s="1280">
        <f>SUM(I93,L93,O93,R93,U93,X93,AA93)</f>
        <v>1540000</v>
      </c>
      <c r="G93" s="1365">
        <f>SUM(J93,M93,P93,S93,V93,Y93,AB93)</f>
        <v>140000</v>
      </c>
      <c r="H93" s="1615"/>
      <c r="I93" s="1616"/>
      <c r="J93" s="1365"/>
      <c r="K93" s="1615"/>
      <c r="L93" s="1616"/>
      <c r="M93" s="1365"/>
      <c r="N93" s="1615">
        <f>SUM(O93:P93)</f>
        <v>1110000</v>
      </c>
      <c r="O93" s="1616">
        <v>1020000</v>
      </c>
      <c r="P93" s="1365">
        <v>90000</v>
      </c>
      <c r="Q93" s="1615">
        <f>SUM(R93:S93)</f>
        <v>570000</v>
      </c>
      <c r="R93" s="1616">
        <v>520000</v>
      </c>
      <c r="S93" s="1365">
        <v>50000</v>
      </c>
      <c r="T93" s="1615">
        <f>SUM(U93:V93)</f>
        <v>0</v>
      </c>
      <c r="U93" s="1616">
        <v>0</v>
      </c>
      <c r="V93" s="1365">
        <v>0</v>
      </c>
      <c r="W93" s="1615">
        <f>SUM(X93:Y93)</f>
        <v>0</v>
      </c>
      <c r="X93" s="1616">
        <v>0</v>
      </c>
      <c r="Y93" s="1617">
        <v>0</v>
      </c>
      <c r="Z93" s="1499">
        <f>SUM(AA93:AB93)</f>
        <v>0</v>
      </c>
      <c r="AA93" s="1279">
        <v>0</v>
      </c>
      <c r="AB93" s="1478">
        <v>0</v>
      </c>
      <c r="AC93" s="1499"/>
      <c r="AD93" s="1279"/>
      <c r="AE93" s="1478"/>
    </row>
    <row r="94" spans="1:31" s="566" customFormat="1" ht="13.5" thickBot="1" x14ac:dyDescent="0.25">
      <c r="A94" s="1427" t="s">
        <v>811</v>
      </c>
      <c r="B94" s="1391" t="s">
        <v>14</v>
      </c>
      <c r="C94" s="1391" t="s">
        <v>132</v>
      </c>
      <c r="D94" s="1392" t="s">
        <v>8</v>
      </c>
      <c r="E94" s="763"/>
      <c r="F94" s="764"/>
      <c r="G94" s="627"/>
      <c r="H94" s="765"/>
      <c r="I94" s="766"/>
      <c r="J94" s="627"/>
      <c r="K94" s="765"/>
      <c r="L94" s="766"/>
      <c r="M94" s="627"/>
      <c r="N94" s="765"/>
      <c r="O94" s="766"/>
      <c r="P94" s="627"/>
      <c r="Q94" s="765"/>
      <c r="R94" s="766"/>
      <c r="S94" s="627"/>
      <c r="T94" s="765"/>
      <c r="U94" s="766"/>
      <c r="V94" s="627"/>
      <c r="W94" s="765"/>
      <c r="X94" s="766"/>
      <c r="Y94" s="767"/>
      <c r="Z94" s="977"/>
      <c r="AA94" s="758"/>
      <c r="AB94" s="576"/>
      <c r="AC94" s="977"/>
      <c r="AD94" s="758"/>
      <c r="AE94" s="576"/>
    </row>
    <row r="95" spans="1:31" s="413" customFormat="1" ht="14.25" thickTop="1" thickBot="1" x14ac:dyDescent="0.25">
      <c r="A95" s="408"/>
      <c r="B95" s="408"/>
      <c r="C95" s="408"/>
      <c r="D95" s="408"/>
      <c r="E95" s="763"/>
      <c r="F95" s="764"/>
      <c r="G95" s="627"/>
      <c r="H95" s="765"/>
      <c r="I95" s="766"/>
      <c r="J95" s="627"/>
      <c r="K95" s="765"/>
      <c r="L95" s="766"/>
      <c r="M95" s="627"/>
      <c r="N95" s="765"/>
      <c r="O95" s="766"/>
      <c r="P95" s="627"/>
      <c r="Q95" s="765"/>
      <c r="R95" s="766"/>
      <c r="S95" s="627"/>
      <c r="T95" s="765"/>
      <c r="U95" s="766"/>
      <c r="V95" s="627"/>
      <c r="W95" s="765"/>
      <c r="X95" s="766"/>
      <c r="Y95" s="767"/>
      <c r="Z95" s="977"/>
      <c r="AA95" s="758"/>
      <c r="AB95" s="576"/>
      <c r="AC95" s="977"/>
      <c r="AD95" s="758"/>
      <c r="AE95" s="576"/>
    </row>
    <row r="96" spans="1:31" s="413" customFormat="1" ht="14.25" thickTop="1" thickBot="1" x14ac:dyDescent="0.25">
      <c r="A96" s="933" t="s">
        <v>850</v>
      </c>
      <c r="B96" s="934"/>
      <c r="C96" s="934"/>
      <c r="D96" s="1108"/>
      <c r="E96" s="763"/>
      <c r="F96" s="764"/>
      <c r="G96" s="627"/>
      <c r="H96" s="765"/>
      <c r="I96" s="766"/>
      <c r="J96" s="627"/>
      <c r="K96" s="765"/>
      <c r="L96" s="766"/>
      <c r="M96" s="627"/>
      <c r="N96" s="765"/>
      <c r="O96" s="766"/>
      <c r="P96" s="627"/>
      <c r="Q96" s="765"/>
      <c r="R96" s="766"/>
      <c r="S96" s="627"/>
      <c r="T96" s="765"/>
      <c r="U96" s="766"/>
      <c r="V96" s="627"/>
      <c r="W96" s="765"/>
      <c r="X96" s="766"/>
      <c r="Y96" s="767"/>
      <c r="Z96" s="977"/>
      <c r="AA96" s="758"/>
      <c r="AB96" s="576"/>
      <c r="AC96" s="977"/>
      <c r="AD96" s="758"/>
      <c r="AE96" s="576"/>
    </row>
    <row r="97" spans="1:31" s="1282" customFormat="1" ht="13.5" thickBot="1" x14ac:dyDescent="0.25">
      <c r="A97" s="1285" t="s">
        <v>751</v>
      </c>
      <c r="B97" s="1286" t="s">
        <v>7</v>
      </c>
      <c r="C97" s="1286" t="s">
        <v>44</v>
      </c>
      <c r="D97" s="1428" t="s">
        <v>8</v>
      </c>
      <c r="E97" s="1614">
        <f>SUM(F97:G97)</f>
        <v>526405</v>
      </c>
      <c r="F97" s="1280">
        <f>SUM(I97,L97,O97,R97,U97,X97,AA97)</f>
        <v>258286</v>
      </c>
      <c r="G97" s="1365">
        <f>SUM(J97,M97,P97,S97,V97,Y97,AB97)</f>
        <v>268119</v>
      </c>
      <c r="H97" s="1615"/>
      <c r="I97" s="1616"/>
      <c r="J97" s="1365"/>
      <c r="K97" s="1615"/>
      <c r="L97" s="1616"/>
      <c r="M97" s="1365"/>
      <c r="N97" s="1615">
        <f>SUM(O97:P97)</f>
        <v>285655</v>
      </c>
      <c r="O97" s="1616">
        <v>17536</v>
      </c>
      <c r="P97" s="1365">
        <v>268119</v>
      </c>
      <c r="Q97" s="1615">
        <f>SUM(R97:S97)</f>
        <v>5000</v>
      </c>
      <c r="R97" s="1616">
        <v>5000</v>
      </c>
      <c r="S97" s="1365">
        <v>0</v>
      </c>
      <c r="T97" s="1615">
        <f>SUM(U97:V97)</f>
        <v>50000</v>
      </c>
      <c r="U97" s="1616">
        <v>50000</v>
      </c>
      <c r="V97" s="1365">
        <v>0</v>
      </c>
      <c r="W97" s="1615">
        <f>SUM(X97:Y97)</f>
        <v>135750</v>
      </c>
      <c r="X97" s="1616">
        <v>135750</v>
      </c>
      <c r="Y97" s="1617">
        <v>0</v>
      </c>
      <c r="Z97" s="1499">
        <f>SUM(AA97:AB97)</f>
        <v>50000</v>
      </c>
      <c r="AA97" s="1279">
        <v>50000</v>
      </c>
      <c r="AB97" s="1478">
        <v>0</v>
      </c>
      <c r="AC97" s="1499"/>
      <c r="AD97" s="1279"/>
      <c r="AE97" s="1478"/>
    </row>
    <row r="98" spans="1:31" s="413" customFormat="1" ht="14.25" thickTop="1" thickBot="1" x14ac:dyDescent="0.25">
      <c r="A98" s="611"/>
      <c r="B98" s="408"/>
      <c r="C98" s="408"/>
      <c r="D98" s="408"/>
      <c r="E98" s="763"/>
      <c r="F98" s="764"/>
      <c r="G98" s="627"/>
      <c r="H98" s="765"/>
      <c r="I98" s="766"/>
      <c r="J98" s="627"/>
      <c r="K98" s="765"/>
      <c r="L98" s="766"/>
      <c r="M98" s="627"/>
      <c r="N98" s="765"/>
      <c r="O98" s="766"/>
      <c r="P98" s="627"/>
      <c r="Q98" s="765"/>
      <c r="R98" s="766"/>
      <c r="S98" s="627"/>
      <c r="T98" s="765"/>
      <c r="U98" s="766"/>
      <c r="V98" s="627"/>
      <c r="W98" s="765"/>
      <c r="X98" s="766"/>
      <c r="Y98" s="767"/>
      <c r="Z98" s="977"/>
      <c r="AA98" s="758"/>
      <c r="AB98" s="576"/>
      <c r="AC98" s="977"/>
      <c r="AD98" s="758"/>
      <c r="AE98" s="576"/>
    </row>
    <row r="99" spans="1:31" s="413" customFormat="1" ht="14.25" thickTop="1" thickBot="1" x14ac:dyDescent="0.25">
      <c r="A99" s="407" t="s">
        <v>854</v>
      </c>
      <c r="B99" s="109"/>
      <c r="C99" s="109"/>
      <c r="D99" s="1109"/>
      <c r="E99" s="763"/>
      <c r="F99" s="764"/>
      <c r="G99" s="627"/>
      <c r="H99" s="765"/>
      <c r="I99" s="766"/>
      <c r="J99" s="627"/>
      <c r="K99" s="765"/>
      <c r="L99" s="766"/>
      <c r="M99" s="627"/>
      <c r="N99" s="765"/>
      <c r="O99" s="766"/>
      <c r="P99" s="627"/>
      <c r="Q99" s="765"/>
      <c r="R99" s="766"/>
      <c r="S99" s="627"/>
      <c r="T99" s="765"/>
      <c r="U99" s="766"/>
      <c r="V99" s="627"/>
      <c r="W99" s="765"/>
      <c r="X99" s="766"/>
      <c r="Y99" s="767"/>
      <c r="Z99" s="977"/>
      <c r="AA99" s="758"/>
      <c r="AB99" s="576"/>
      <c r="AC99" s="977"/>
      <c r="AD99" s="758"/>
      <c r="AE99" s="576"/>
    </row>
    <row r="100" spans="1:31" s="1282" customFormat="1" ht="13.5" thickTop="1" x14ac:dyDescent="0.2">
      <c r="A100" s="1292" t="s">
        <v>811</v>
      </c>
      <c r="B100" s="1293" t="s">
        <v>7</v>
      </c>
      <c r="C100" s="1293" t="s">
        <v>44</v>
      </c>
      <c r="D100" s="1426" t="s">
        <v>8</v>
      </c>
      <c r="E100" s="1614">
        <f>SUM(F100:G100)</f>
        <v>1200000</v>
      </c>
      <c r="F100" s="1280">
        <f>SUM(I100,L100,O100,R100,U100,X100,AA100)</f>
        <v>0</v>
      </c>
      <c r="G100" s="1365">
        <f>SUM(J100,M100,P100,S100,V100,Y100,AB100)</f>
        <v>1200000</v>
      </c>
      <c r="H100" s="1615"/>
      <c r="I100" s="1616"/>
      <c r="J100" s="1365"/>
      <c r="K100" s="1615"/>
      <c r="L100" s="1616"/>
      <c r="M100" s="1365"/>
      <c r="N100" s="1615">
        <f>SUM(O100:P100)</f>
        <v>200000</v>
      </c>
      <c r="O100" s="1616">
        <v>0</v>
      </c>
      <c r="P100" s="1365">
        <v>200000</v>
      </c>
      <c r="Q100" s="1615">
        <f>SUM(R100:S100)</f>
        <v>0</v>
      </c>
      <c r="R100" s="1616">
        <v>0</v>
      </c>
      <c r="S100" s="1365">
        <v>0</v>
      </c>
      <c r="T100" s="1615">
        <f>SUM(U100:V100)</f>
        <v>0</v>
      </c>
      <c r="U100" s="1616">
        <v>0</v>
      </c>
      <c r="V100" s="1365">
        <v>0</v>
      </c>
      <c r="W100" s="1615">
        <f>SUM(X100:Y100)</f>
        <v>1000000</v>
      </c>
      <c r="X100" s="1616">
        <v>0</v>
      </c>
      <c r="Y100" s="1617">
        <v>1000000</v>
      </c>
      <c r="Z100" s="1499">
        <f>SUM(AA100:AB100)</f>
        <v>0</v>
      </c>
      <c r="AA100" s="1279">
        <v>0</v>
      </c>
      <c r="AB100" s="1478">
        <v>0</v>
      </c>
      <c r="AC100" s="1499"/>
      <c r="AD100" s="1279"/>
      <c r="AE100" s="1478"/>
    </row>
    <row r="101" spans="1:31" s="1245" customFormat="1" ht="13.5" thickBot="1" x14ac:dyDescent="0.25">
      <c r="A101" s="1260" t="s">
        <v>859</v>
      </c>
      <c r="B101" s="1254" t="s">
        <v>14</v>
      </c>
      <c r="C101" s="1254" t="s">
        <v>132</v>
      </c>
      <c r="D101" s="1411" t="s">
        <v>8</v>
      </c>
      <c r="E101" s="418"/>
      <c r="F101" s="760"/>
      <c r="G101" s="74"/>
      <c r="H101" s="761"/>
      <c r="I101" s="762"/>
      <c r="J101" s="74"/>
      <c r="K101" s="761"/>
      <c r="L101" s="762"/>
      <c r="M101" s="74"/>
      <c r="N101" s="761"/>
      <c r="O101" s="762"/>
      <c r="P101" s="74"/>
      <c r="Q101" s="761"/>
      <c r="R101" s="762"/>
      <c r="S101" s="74"/>
      <c r="T101" s="761"/>
      <c r="U101" s="762"/>
      <c r="V101" s="74"/>
      <c r="W101" s="761"/>
      <c r="X101" s="762"/>
      <c r="Y101" s="285"/>
      <c r="Z101" s="1033"/>
      <c r="AA101" s="100"/>
      <c r="AB101" s="211"/>
      <c r="AC101" s="1033"/>
      <c r="AD101" s="100"/>
      <c r="AE101" s="211"/>
    </row>
    <row r="102" spans="1:31" s="413" customFormat="1" ht="14.25" thickTop="1" thickBot="1" x14ac:dyDescent="0.25">
      <c r="A102" s="961"/>
      <c r="B102" s="961"/>
      <c r="C102" s="961"/>
      <c r="D102" s="408"/>
      <c r="E102" s="763"/>
      <c r="F102" s="764"/>
      <c r="G102" s="627"/>
      <c r="H102" s="765"/>
      <c r="I102" s="766"/>
      <c r="J102" s="627"/>
      <c r="K102" s="765"/>
      <c r="L102" s="766"/>
      <c r="M102" s="627"/>
      <c r="N102" s="765"/>
      <c r="O102" s="766"/>
      <c r="P102" s="627"/>
      <c r="Q102" s="765"/>
      <c r="R102" s="766"/>
      <c r="S102" s="627"/>
      <c r="T102" s="765"/>
      <c r="U102" s="766"/>
      <c r="V102" s="627"/>
      <c r="W102" s="765"/>
      <c r="X102" s="766"/>
      <c r="Y102" s="767"/>
      <c r="Z102" s="977"/>
      <c r="AA102" s="758"/>
      <c r="AB102" s="576"/>
      <c r="AC102" s="977"/>
      <c r="AD102" s="758"/>
      <c r="AE102" s="576"/>
    </row>
    <row r="103" spans="1:31" s="413" customFormat="1" ht="14.25" thickTop="1" thickBot="1" x14ac:dyDescent="0.25">
      <c r="A103" s="407" t="s">
        <v>886</v>
      </c>
      <c r="B103" s="109"/>
      <c r="C103" s="109"/>
      <c r="D103" s="1482"/>
      <c r="E103" s="763"/>
      <c r="F103" s="764"/>
      <c r="G103" s="627"/>
      <c r="H103" s="765"/>
      <c r="I103" s="766"/>
      <c r="J103" s="627"/>
      <c r="K103" s="765"/>
      <c r="L103" s="766"/>
      <c r="M103" s="627"/>
      <c r="N103" s="765"/>
      <c r="O103" s="766"/>
      <c r="P103" s="627"/>
      <c r="Q103" s="765"/>
      <c r="R103" s="766"/>
      <c r="S103" s="627"/>
      <c r="T103" s="765"/>
      <c r="U103" s="766"/>
      <c r="V103" s="627"/>
      <c r="W103" s="765"/>
      <c r="X103" s="766"/>
      <c r="Y103" s="767"/>
      <c r="Z103" s="977"/>
      <c r="AA103" s="758"/>
      <c r="AB103" s="576"/>
      <c r="AC103" s="977"/>
      <c r="AD103" s="758"/>
      <c r="AE103" s="576"/>
    </row>
    <row r="104" spans="1:31" s="1282" customFormat="1" ht="13.5" thickTop="1" x14ac:dyDescent="0.2">
      <c r="A104" s="1292" t="s">
        <v>563</v>
      </c>
      <c r="B104" s="1293" t="s">
        <v>7</v>
      </c>
      <c r="C104" s="1293" t="s">
        <v>44</v>
      </c>
      <c r="D104" s="1479" t="s">
        <v>8</v>
      </c>
      <c r="E104" s="1614">
        <f>SUM(F104:G104)</f>
        <v>16350000</v>
      </c>
      <c r="F104" s="1280">
        <f>SUM(I104,L104,O104,R104,U104,X104,AA104)</f>
        <v>8550000</v>
      </c>
      <c r="G104" s="1365">
        <f>SUM(J104,M104,P104,S104,V104,Y104,AB104)</f>
        <v>7800000</v>
      </c>
      <c r="H104" s="1615"/>
      <c r="I104" s="1616"/>
      <c r="J104" s="1365"/>
      <c r="K104" s="1615"/>
      <c r="L104" s="1616"/>
      <c r="M104" s="1365"/>
      <c r="N104" s="1615">
        <f>SUM(O104:P104)</f>
        <v>4784000</v>
      </c>
      <c r="O104" s="1616">
        <v>2650000</v>
      </c>
      <c r="P104" s="1365">
        <v>2134000</v>
      </c>
      <c r="Q104" s="1615">
        <f>SUM(R104:S104)</f>
        <v>10266000</v>
      </c>
      <c r="R104" s="1616">
        <v>4600000</v>
      </c>
      <c r="S104" s="1365">
        <v>5666000</v>
      </c>
      <c r="T104" s="1615">
        <f>SUM(U104:V104)</f>
        <v>0</v>
      </c>
      <c r="U104" s="1616">
        <v>0</v>
      </c>
      <c r="V104" s="1365">
        <v>0</v>
      </c>
      <c r="W104" s="1615">
        <f>SUM(X104:Y104)</f>
        <v>300000</v>
      </c>
      <c r="X104" s="1616">
        <v>300000</v>
      </c>
      <c r="Y104" s="1617">
        <v>0</v>
      </c>
      <c r="Z104" s="1499">
        <f>SUM(AA104:AB104)</f>
        <v>1000000</v>
      </c>
      <c r="AA104" s="1279">
        <v>1000000</v>
      </c>
      <c r="AB104" s="1478">
        <v>0</v>
      </c>
      <c r="AC104" s="1499"/>
      <c r="AD104" s="1279"/>
      <c r="AE104" s="1478"/>
    </row>
    <row r="105" spans="1:31" s="2034" customFormat="1" x14ac:dyDescent="0.2">
      <c r="A105" s="2054" t="s">
        <v>910</v>
      </c>
      <c r="B105" s="2018" t="s">
        <v>14</v>
      </c>
      <c r="C105" s="2018" t="s">
        <v>132</v>
      </c>
      <c r="D105" s="2062" t="s">
        <v>8</v>
      </c>
      <c r="E105" s="418"/>
      <c r="F105" s="760"/>
      <c r="G105" s="74"/>
      <c r="H105" s="761"/>
      <c r="I105" s="762"/>
      <c r="J105" s="74"/>
      <c r="K105" s="761"/>
      <c r="L105" s="762"/>
      <c r="M105" s="74"/>
      <c r="N105" s="761"/>
      <c r="O105" s="762"/>
      <c r="P105" s="74"/>
      <c r="Q105" s="761"/>
      <c r="R105" s="762"/>
      <c r="S105" s="74"/>
      <c r="T105" s="761"/>
      <c r="U105" s="762"/>
      <c r="V105" s="74"/>
      <c r="W105" s="761"/>
      <c r="X105" s="762"/>
      <c r="Y105" s="285"/>
      <c r="Z105" s="1033"/>
      <c r="AA105" s="100"/>
      <c r="AB105" s="211"/>
      <c r="AC105" s="1033"/>
      <c r="AD105" s="100"/>
      <c r="AE105" s="211"/>
    </row>
    <row r="106" spans="1:31" s="1245" customFormat="1" ht="13.5" thickBot="1" x14ac:dyDescent="0.25">
      <c r="A106" s="1427" t="s">
        <v>911</v>
      </c>
      <c r="B106" s="1391" t="s">
        <v>14</v>
      </c>
      <c r="C106" s="1391" t="s">
        <v>132</v>
      </c>
      <c r="D106" s="1392" t="s">
        <v>8</v>
      </c>
      <c r="E106" s="418"/>
      <c r="F106" s="760"/>
      <c r="G106" s="74"/>
      <c r="H106" s="761"/>
      <c r="I106" s="762"/>
      <c r="J106" s="74"/>
      <c r="K106" s="761"/>
      <c r="L106" s="762"/>
      <c r="M106" s="74"/>
      <c r="N106" s="761"/>
      <c r="O106" s="762"/>
      <c r="P106" s="74"/>
      <c r="Q106" s="761"/>
      <c r="R106" s="762"/>
      <c r="S106" s="74"/>
      <c r="T106" s="761"/>
      <c r="U106" s="762"/>
      <c r="V106" s="74"/>
      <c r="W106" s="761"/>
      <c r="X106" s="762"/>
      <c r="Y106" s="285"/>
      <c r="Z106" s="1033"/>
      <c r="AA106" s="100"/>
      <c r="AB106" s="211"/>
      <c r="AC106" s="1033"/>
      <c r="AD106" s="100"/>
      <c r="AE106" s="211"/>
    </row>
    <row r="107" spans="1:31" s="413" customFormat="1" ht="13.5" customHeight="1" thickTop="1" thickBot="1" x14ac:dyDescent="0.25">
      <c r="A107" s="1032"/>
      <c r="B107" s="408"/>
      <c r="C107" s="408"/>
      <c r="D107" s="408"/>
      <c r="E107" s="763"/>
      <c r="F107" s="764"/>
      <c r="G107" s="627"/>
      <c r="H107" s="765"/>
      <c r="I107" s="766"/>
      <c r="J107" s="627"/>
      <c r="K107" s="765"/>
      <c r="L107" s="766"/>
      <c r="M107" s="627"/>
      <c r="N107" s="765"/>
      <c r="O107" s="766"/>
      <c r="P107" s="627"/>
      <c r="Q107" s="765"/>
      <c r="R107" s="766"/>
      <c r="S107" s="627"/>
      <c r="T107" s="765"/>
      <c r="U107" s="766"/>
      <c r="V107" s="627"/>
      <c r="W107" s="765"/>
      <c r="X107" s="766"/>
      <c r="Y107" s="767"/>
      <c r="Z107" s="977"/>
      <c r="AA107" s="758"/>
      <c r="AB107" s="576"/>
      <c r="AC107" s="977"/>
      <c r="AD107" s="758"/>
      <c r="AE107" s="576"/>
    </row>
    <row r="108" spans="1:31" s="413" customFormat="1" ht="14.25" thickTop="1" thickBot="1" x14ac:dyDescent="0.25">
      <c r="A108" s="933" t="s">
        <v>895</v>
      </c>
      <c r="B108" s="934"/>
      <c r="C108" s="934"/>
      <c r="D108" s="941"/>
      <c r="E108" s="763"/>
      <c r="F108" s="764"/>
      <c r="G108" s="627"/>
      <c r="H108" s="765"/>
      <c r="I108" s="766"/>
      <c r="J108" s="627"/>
      <c r="K108" s="765"/>
      <c r="L108" s="766"/>
      <c r="M108" s="627"/>
      <c r="N108" s="765"/>
      <c r="O108" s="766"/>
      <c r="P108" s="627"/>
      <c r="Q108" s="765"/>
      <c r="R108" s="766"/>
      <c r="S108" s="627"/>
      <c r="T108" s="765"/>
      <c r="U108" s="766"/>
      <c r="V108" s="627"/>
      <c r="W108" s="765"/>
      <c r="X108" s="766"/>
      <c r="Y108" s="767"/>
      <c r="Z108" s="977"/>
      <c r="AA108" s="758"/>
      <c r="AB108" s="576"/>
      <c r="AC108" s="977"/>
      <c r="AD108" s="758"/>
      <c r="AE108" s="576"/>
    </row>
    <row r="109" spans="1:31" s="1245" customFormat="1" x14ac:dyDescent="0.2">
      <c r="A109" s="1260" t="s">
        <v>912</v>
      </c>
      <c r="B109" s="1254" t="s">
        <v>14</v>
      </c>
      <c r="C109" s="1254" t="s">
        <v>132</v>
      </c>
      <c r="D109" s="1455" t="s">
        <v>8</v>
      </c>
      <c r="E109" s="418"/>
      <c r="F109" s="760"/>
      <c r="G109" s="74"/>
      <c r="H109" s="761"/>
      <c r="I109" s="762"/>
      <c r="J109" s="74"/>
      <c r="K109" s="761"/>
      <c r="L109" s="762"/>
      <c r="M109" s="74"/>
      <c r="N109" s="761"/>
      <c r="O109" s="762"/>
      <c r="P109" s="74"/>
      <c r="Q109" s="761"/>
      <c r="R109" s="762"/>
      <c r="S109" s="74"/>
      <c r="T109" s="761"/>
      <c r="U109" s="762"/>
      <c r="V109" s="74"/>
      <c r="W109" s="761"/>
      <c r="X109" s="762"/>
      <c r="Y109" s="285"/>
      <c r="Z109" s="1033"/>
      <c r="AA109" s="100"/>
      <c r="AB109" s="211"/>
      <c r="AC109" s="1033"/>
      <c r="AD109" s="100"/>
      <c r="AE109" s="211"/>
    </row>
    <row r="110" spans="1:31" s="1245" customFormat="1" ht="13.5" thickBot="1" x14ac:dyDescent="0.25">
      <c r="A110" s="1427" t="s">
        <v>129</v>
      </c>
      <c r="B110" s="1391" t="s">
        <v>14</v>
      </c>
      <c r="C110" s="1391" t="s">
        <v>132</v>
      </c>
      <c r="D110" s="1392" t="s">
        <v>8</v>
      </c>
      <c r="E110" s="418"/>
      <c r="F110" s="760"/>
      <c r="G110" s="74"/>
      <c r="H110" s="761"/>
      <c r="I110" s="762"/>
      <c r="J110" s="74"/>
      <c r="K110" s="761"/>
      <c r="L110" s="762"/>
      <c r="M110" s="74"/>
      <c r="N110" s="761"/>
      <c r="O110" s="762"/>
      <c r="P110" s="74"/>
      <c r="Q110" s="761"/>
      <c r="R110" s="762"/>
      <c r="S110" s="74"/>
      <c r="T110" s="761"/>
      <c r="U110" s="762"/>
      <c r="V110" s="74"/>
      <c r="W110" s="761"/>
      <c r="X110" s="762"/>
      <c r="Y110" s="285"/>
      <c r="Z110" s="1033"/>
      <c r="AA110" s="100"/>
      <c r="AB110" s="211"/>
      <c r="AC110" s="1033"/>
      <c r="AD110" s="100"/>
      <c r="AE110" s="211"/>
    </row>
    <row r="111" spans="1:31" s="413" customFormat="1" ht="14.25" thickTop="1" thickBot="1" x14ac:dyDescent="0.25">
      <c r="A111" s="408"/>
      <c r="B111" s="408"/>
      <c r="C111" s="408"/>
      <c r="D111" s="408"/>
      <c r="E111" s="763"/>
      <c r="F111" s="764"/>
      <c r="G111" s="627"/>
      <c r="H111" s="765"/>
      <c r="I111" s="766"/>
      <c r="J111" s="627"/>
      <c r="K111" s="765"/>
      <c r="L111" s="766"/>
      <c r="M111" s="627"/>
      <c r="N111" s="765"/>
      <c r="O111" s="766"/>
      <c r="P111" s="627"/>
      <c r="Q111" s="765"/>
      <c r="R111" s="766"/>
      <c r="S111" s="627"/>
      <c r="T111" s="765"/>
      <c r="U111" s="766"/>
      <c r="V111" s="627"/>
      <c r="W111" s="765"/>
      <c r="X111" s="766"/>
      <c r="Y111" s="767"/>
      <c r="Z111" s="977"/>
      <c r="AA111" s="758"/>
      <c r="AB111" s="576"/>
      <c r="AC111" s="977"/>
      <c r="AD111" s="758"/>
      <c r="AE111" s="576"/>
    </row>
    <row r="112" spans="1:31" s="413" customFormat="1" ht="14.25" thickTop="1" thickBot="1" x14ac:dyDescent="0.25">
      <c r="A112" s="933" t="s">
        <v>955</v>
      </c>
      <c r="B112" s="934"/>
      <c r="C112" s="934"/>
      <c r="D112" s="756"/>
      <c r="E112" s="763"/>
      <c r="F112" s="764"/>
      <c r="G112" s="627"/>
      <c r="H112" s="765"/>
      <c r="I112" s="766"/>
      <c r="J112" s="627"/>
      <c r="K112" s="765"/>
      <c r="L112" s="766"/>
      <c r="M112" s="627"/>
      <c r="N112" s="765"/>
      <c r="O112" s="766"/>
      <c r="P112" s="627"/>
      <c r="Q112" s="765"/>
      <c r="R112" s="766"/>
      <c r="S112" s="627"/>
      <c r="T112" s="765"/>
      <c r="U112" s="766"/>
      <c r="V112" s="627"/>
      <c r="W112" s="765"/>
      <c r="X112" s="766"/>
      <c r="Y112" s="767"/>
      <c r="Z112" s="977"/>
      <c r="AA112" s="758"/>
      <c r="AB112" s="576"/>
      <c r="AC112" s="977"/>
      <c r="AD112" s="758"/>
      <c r="AE112" s="576"/>
    </row>
    <row r="113" spans="1:31" s="2034" customFormat="1" ht="13.5" thickBot="1" x14ac:dyDescent="0.25">
      <c r="A113" s="2036" t="s">
        <v>957</v>
      </c>
      <c r="B113" s="2037" t="s">
        <v>14</v>
      </c>
      <c r="C113" s="2037" t="s">
        <v>132</v>
      </c>
      <c r="D113" s="2063" t="s">
        <v>8</v>
      </c>
      <c r="E113" s="418"/>
      <c r="F113" s="760"/>
      <c r="G113" s="74"/>
      <c r="H113" s="761"/>
      <c r="I113" s="762"/>
      <c r="J113" s="74"/>
      <c r="K113" s="761"/>
      <c r="L113" s="762"/>
      <c r="M113" s="74"/>
      <c r="N113" s="761"/>
      <c r="O113" s="762"/>
      <c r="P113" s="74"/>
      <c r="Q113" s="761"/>
      <c r="R113" s="762"/>
      <c r="S113" s="74"/>
      <c r="T113" s="761"/>
      <c r="U113" s="762"/>
      <c r="V113" s="74"/>
      <c r="W113" s="761"/>
      <c r="X113" s="762"/>
      <c r="Y113" s="285"/>
      <c r="Z113" s="1033"/>
      <c r="AA113" s="100"/>
      <c r="AB113" s="211"/>
      <c r="AC113" s="1033"/>
      <c r="AD113" s="100"/>
      <c r="AE113" s="211"/>
    </row>
    <row r="114" spans="1:31" s="413" customFormat="1" ht="14.25" thickTop="1" thickBot="1" x14ac:dyDescent="0.25">
      <c r="A114" s="408"/>
      <c r="B114" s="408"/>
      <c r="C114" s="408"/>
      <c r="D114" s="408"/>
      <c r="E114" s="763"/>
      <c r="F114" s="764"/>
      <c r="G114" s="627"/>
      <c r="H114" s="765"/>
      <c r="I114" s="766"/>
      <c r="J114" s="627"/>
      <c r="K114" s="765"/>
      <c r="L114" s="766"/>
      <c r="M114" s="627"/>
      <c r="N114" s="765"/>
      <c r="O114" s="766"/>
      <c r="P114" s="627"/>
      <c r="Q114" s="765"/>
      <c r="R114" s="766"/>
      <c r="S114" s="627"/>
      <c r="T114" s="765"/>
      <c r="U114" s="766"/>
      <c r="V114" s="627"/>
      <c r="W114" s="765"/>
      <c r="X114" s="766"/>
      <c r="Y114" s="767"/>
      <c r="Z114" s="977"/>
      <c r="AA114" s="758"/>
      <c r="AB114" s="576"/>
      <c r="AC114" s="977"/>
      <c r="AD114" s="758"/>
      <c r="AE114" s="576"/>
    </row>
    <row r="115" spans="1:31" s="413" customFormat="1" ht="14.25" thickTop="1" thickBot="1" x14ac:dyDescent="0.25">
      <c r="A115" s="933" t="s">
        <v>973</v>
      </c>
      <c r="B115" s="934"/>
      <c r="C115" s="934"/>
      <c r="D115" s="935"/>
      <c r="E115" s="763"/>
      <c r="F115" s="764"/>
      <c r="G115" s="627"/>
      <c r="H115" s="765"/>
      <c r="I115" s="766"/>
      <c r="J115" s="627"/>
      <c r="K115" s="765"/>
      <c r="L115" s="766"/>
      <c r="M115" s="627"/>
      <c r="N115" s="765"/>
      <c r="O115" s="766"/>
      <c r="P115" s="627"/>
      <c r="Q115" s="765"/>
      <c r="R115" s="766"/>
      <c r="S115" s="627"/>
      <c r="T115" s="765"/>
      <c r="U115" s="766"/>
      <c r="V115" s="627"/>
      <c r="W115" s="765"/>
      <c r="X115" s="766"/>
      <c r="Y115" s="767"/>
      <c r="Z115" s="977"/>
      <c r="AA115" s="758"/>
      <c r="AB115" s="576"/>
      <c r="AC115" s="977"/>
      <c r="AD115" s="758"/>
      <c r="AE115" s="576"/>
    </row>
    <row r="116" spans="1:31" s="1271" customFormat="1" ht="13.5" thickBot="1" x14ac:dyDescent="0.25">
      <c r="A116" s="1285" t="s">
        <v>859</v>
      </c>
      <c r="B116" s="1286" t="s">
        <v>7</v>
      </c>
      <c r="C116" s="1286" t="s">
        <v>44</v>
      </c>
      <c r="D116" s="1428" t="s">
        <v>8</v>
      </c>
      <c r="E116" s="1635">
        <f>SUM(F116:G116)</f>
        <v>4728159</v>
      </c>
      <c r="F116" s="1265">
        <f>SUM(I116,L116,O116,R116,U116,X116,AA116)</f>
        <v>4298159</v>
      </c>
      <c r="G116" s="1318">
        <f>SUM(J116,M116,P116,S116,V116,Y116,AB116)</f>
        <v>430000</v>
      </c>
      <c r="H116" s="1659"/>
      <c r="I116" s="1665"/>
      <c r="J116" s="1318"/>
      <c r="K116" s="1659"/>
      <c r="L116" s="1665"/>
      <c r="M116" s="1318"/>
      <c r="N116" s="1659">
        <f>SUM(O116:P116)</f>
        <v>1637242</v>
      </c>
      <c r="O116" s="1665">
        <v>1247242</v>
      </c>
      <c r="P116" s="1318">
        <v>390000</v>
      </c>
      <c r="Q116" s="1659">
        <f>SUM(R116:S116)</f>
        <v>31825</v>
      </c>
      <c r="R116" s="1665">
        <v>11825</v>
      </c>
      <c r="S116" s="1318">
        <v>20000</v>
      </c>
      <c r="T116" s="1659">
        <f>SUM(U116:V116)</f>
        <v>871050</v>
      </c>
      <c r="U116" s="1665">
        <v>851050</v>
      </c>
      <c r="V116" s="1318">
        <v>20000</v>
      </c>
      <c r="W116" s="1659">
        <f>SUM(X116:Y116)</f>
        <v>2188042</v>
      </c>
      <c r="X116" s="1665">
        <v>2188042</v>
      </c>
      <c r="Y116" s="1636">
        <v>0</v>
      </c>
      <c r="Z116" s="1909">
        <f>SUM(AA116:AB116)</f>
        <v>0</v>
      </c>
      <c r="AA116" s="1264">
        <v>0</v>
      </c>
      <c r="AB116" s="1479">
        <v>0</v>
      </c>
      <c r="AC116" s="1909"/>
      <c r="AD116" s="1264"/>
      <c r="AE116" s="1479"/>
    </row>
    <row r="117" spans="1:31" s="413" customFormat="1" ht="14.25" thickTop="1" thickBot="1" x14ac:dyDescent="0.25">
      <c r="A117" s="408"/>
      <c r="B117" s="408"/>
      <c r="C117" s="408"/>
      <c r="D117" s="408"/>
      <c r="E117" s="763"/>
      <c r="F117" s="764"/>
      <c r="G117" s="627"/>
      <c r="H117" s="765"/>
      <c r="I117" s="766"/>
      <c r="J117" s="627"/>
      <c r="K117" s="765"/>
      <c r="L117" s="766"/>
      <c r="M117" s="627"/>
      <c r="N117" s="765"/>
      <c r="O117" s="766"/>
      <c r="P117" s="627"/>
      <c r="Q117" s="765"/>
      <c r="R117" s="766"/>
      <c r="S117" s="627"/>
      <c r="T117" s="765"/>
      <c r="U117" s="766"/>
      <c r="V117" s="627"/>
      <c r="W117" s="765"/>
      <c r="X117" s="766"/>
      <c r="Y117" s="767"/>
      <c r="Z117" s="977"/>
      <c r="AA117" s="758"/>
      <c r="AB117" s="576"/>
      <c r="AC117" s="977"/>
      <c r="AD117" s="758"/>
      <c r="AE117" s="576"/>
    </row>
    <row r="118" spans="1:31" s="413" customFormat="1" ht="14.25" thickTop="1" thickBot="1" x14ac:dyDescent="0.25">
      <c r="A118" s="933" t="s">
        <v>998</v>
      </c>
      <c r="B118" s="934"/>
      <c r="C118" s="934"/>
      <c r="D118" s="756"/>
      <c r="E118" s="763"/>
      <c r="F118" s="764"/>
      <c r="G118" s="627"/>
      <c r="H118" s="765"/>
      <c r="I118" s="766"/>
      <c r="J118" s="627"/>
      <c r="K118" s="765"/>
      <c r="L118" s="766"/>
      <c r="M118" s="627"/>
      <c r="N118" s="765"/>
      <c r="O118" s="766"/>
      <c r="P118" s="627"/>
      <c r="Q118" s="765"/>
      <c r="R118" s="766"/>
      <c r="S118" s="627"/>
      <c r="T118" s="765"/>
      <c r="U118" s="766"/>
      <c r="V118" s="627"/>
      <c r="W118" s="765"/>
      <c r="X118" s="766"/>
      <c r="Y118" s="767"/>
      <c r="Z118" s="977"/>
      <c r="AA118" s="758"/>
      <c r="AB118" s="576"/>
      <c r="AC118" s="977"/>
      <c r="AD118" s="758"/>
      <c r="AE118" s="576"/>
    </row>
    <row r="119" spans="1:31" s="1932" customFormat="1" ht="13.5" thickBot="1" x14ac:dyDescent="0.25">
      <c r="A119" s="1952" t="s">
        <v>985</v>
      </c>
      <c r="B119" s="1953" t="s">
        <v>7</v>
      </c>
      <c r="C119" s="1953" t="s">
        <v>44</v>
      </c>
      <c r="D119" s="1966" t="s">
        <v>8</v>
      </c>
      <c r="E119" s="1646">
        <f>SUM(F119:G119)</f>
        <v>550000</v>
      </c>
      <c r="F119" s="1935">
        <f>SUM(I119,L119,O119,R119,U119,X119,AA119,AD119)</f>
        <v>550000</v>
      </c>
      <c r="G119" s="1315">
        <f>SUM(J119,M119,P119,S119,V119,Y119,AB119,AE119)</f>
        <v>0</v>
      </c>
      <c r="H119" s="1967"/>
      <c r="I119" s="1968"/>
      <c r="J119" s="1315"/>
      <c r="K119" s="1967"/>
      <c r="L119" s="1968"/>
      <c r="M119" s="1315"/>
      <c r="N119" s="1967">
        <v>0</v>
      </c>
      <c r="O119" s="1968">
        <v>0</v>
      </c>
      <c r="P119" s="1315">
        <v>0</v>
      </c>
      <c r="Q119" s="1967">
        <f>SUM(R119:S119)</f>
        <v>150000</v>
      </c>
      <c r="R119" s="1968">
        <v>150000</v>
      </c>
      <c r="S119" s="1315">
        <v>0</v>
      </c>
      <c r="T119" s="1967">
        <f>SUM(U119:V119)</f>
        <v>100000</v>
      </c>
      <c r="U119" s="1968">
        <v>100000</v>
      </c>
      <c r="V119" s="1315">
        <v>0</v>
      </c>
      <c r="W119" s="1967">
        <f>SUM(X119:Y119)</f>
        <v>100000</v>
      </c>
      <c r="X119" s="1968">
        <v>100000</v>
      </c>
      <c r="Y119" s="1647">
        <v>0</v>
      </c>
      <c r="Z119" s="1969">
        <f>SUM(AA119:AB119)</f>
        <v>100000</v>
      </c>
      <c r="AA119" s="1926">
        <v>100000</v>
      </c>
      <c r="AB119" s="1970">
        <v>0</v>
      </c>
      <c r="AC119" s="1969">
        <f>SUM(AD119:AE119)</f>
        <v>100000</v>
      </c>
      <c r="AD119" s="1926">
        <v>100000</v>
      </c>
      <c r="AE119" s="1970">
        <v>0</v>
      </c>
    </row>
    <row r="120" spans="1:31" s="413" customFormat="1" ht="13.5" customHeight="1" thickTop="1" thickBot="1" x14ac:dyDescent="0.25">
      <c r="A120" s="1032"/>
      <c r="B120" s="408"/>
      <c r="C120" s="408"/>
      <c r="D120" s="408"/>
      <c r="E120" s="763"/>
      <c r="F120" s="764"/>
      <c r="G120" s="627"/>
      <c r="H120" s="765"/>
      <c r="I120" s="766"/>
      <c r="J120" s="627"/>
      <c r="K120" s="765"/>
      <c r="L120" s="766"/>
      <c r="M120" s="627"/>
      <c r="N120" s="765"/>
      <c r="O120" s="766"/>
      <c r="P120" s="627"/>
      <c r="Q120" s="765"/>
      <c r="R120" s="766"/>
      <c r="S120" s="627"/>
      <c r="T120" s="765"/>
      <c r="U120" s="766"/>
      <c r="V120" s="627"/>
      <c r="W120" s="765"/>
      <c r="X120" s="766"/>
      <c r="Y120" s="767"/>
      <c r="Z120" s="977"/>
      <c r="AA120" s="758"/>
      <c r="AB120" s="576"/>
      <c r="AC120" s="977"/>
      <c r="AD120" s="758"/>
      <c r="AE120" s="576"/>
    </row>
    <row r="121" spans="1:31" s="413" customFormat="1" ht="14.25" thickTop="1" thickBot="1" x14ac:dyDescent="0.25">
      <c r="A121" s="933" t="s">
        <v>1004</v>
      </c>
      <c r="B121" s="934"/>
      <c r="C121" s="934"/>
      <c r="D121" s="941"/>
      <c r="E121" s="763"/>
      <c r="F121" s="764"/>
      <c r="G121" s="627"/>
      <c r="H121" s="765"/>
      <c r="I121" s="766"/>
      <c r="J121" s="627"/>
      <c r="K121" s="765"/>
      <c r="L121" s="766"/>
      <c r="M121" s="627"/>
      <c r="N121" s="765"/>
      <c r="O121" s="766"/>
      <c r="P121" s="627"/>
      <c r="Q121" s="765"/>
      <c r="R121" s="766"/>
      <c r="S121" s="627"/>
      <c r="T121" s="765"/>
      <c r="U121" s="766"/>
      <c r="V121" s="627"/>
      <c r="W121" s="765"/>
      <c r="X121" s="766"/>
      <c r="Y121" s="767"/>
      <c r="Z121" s="977"/>
      <c r="AA121" s="758"/>
      <c r="AB121" s="576"/>
      <c r="AC121" s="977"/>
      <c r="AD121" s="758"/>
      <c r="AE121" s="576"/>
    </row>
    <row r="122" spans="1:31" s="1271" customFormat="1" x14ac:dyDescent="0.2">
      <c r="A122" s="1996" t="s">
        <v>912</v>
      </c>
      <c r="B122" s="1997" t="s">
        <v>7</v>
      </c>
      <c r="C122" s="1997" t="s">
        <v>44</v>
      </c>
      <c r="D122" s="1998" t="s">
        <v>8</v>
      </c>
      <c r="E122" s="1635">
        <f t="shared" ref="E122:E127" si="0">SUM(F122:G122)</f>
        <v>2975000</v>
      </c>
      <c r="F122" s="1265">
        <f t="shared" ref="F122:G125" si="1">SUM(I122,L122,O122,R122,U122,X122,AA122)</f>
        <v>900000</v>
      </c>
      <c r="G122" s="1318">
        <f t="shared" si="1"/>
        <v>2075000</v>
      </c>
      <c r="H122" s="1659"/>
      <c r="I122" s="1665"/>
      <c r="J122" s="1318"/>
      <c r="K122" s="1659"/>
      <c r="L122" s="1665"/>
      <c r="M122" s="1318"/>
      <c r="N122" s="1659">
        <f>SUM(O122:P122)</f>
        <v>475000</v>
      </c>
      <c r="O122" s="1665">
        <v>100000</v>
      </c>
      <c r="P122" s="1318">
        <v>375000</v>
      </c>
      <c r="Q122" s="1659">
        <f t="shared" ref="Q122:Q127" si="2">SUM(R122:S122)</f>
        <v>1400000</v>
      </c>
      <c r="R122" s="1665">
        <v>400000</v>
      </c>
      <c r="S122" s="1318">
        <v>1000000</v>
      </c>
      <c r="T122" s="1659">
        <f t="shared" ref="T122:T127" si="3">SUM(U122:V122)</f>
        <v>450000</v>
      </c>
      <c r="U122" s="1665">
        <v>200000</v>
      </c>
      <c r="V122" s="1318">
        <v>250000</v>
      </c>
      <c r="W122" s="1659">
        <f t="shared" ref="W122:W127" si="4">SUM(X122:Y122)</f>
        <v>400000</v>
      </c>
      <c r="X122" s="1665">
        <v>150000</v>
      </c>
      <c r="Y122" s="1636">
        <v>250000</v>
      </c>
      <c r="Z122" s="1909">
        <f t="shared" ref="Z122:Z127" si="5">SUM(AA122:AB122)</f>
        <v>250000</v>
      </c>
      <c r="AA122" s="1264">
        <v>50000</v>
      </c>
      <c r="AB122" s="1479">
        <v>200000</v>
      </c>
      <c r="AC122" s="1909"/>
      <c r="AD122" s="1264"/>
      <c r="AE122" s="1479"/>
    </row>
    <row r="123" spans="1:31" s="1271" customFormat="1" x14ac:dyDescent="0.2">
      <c r="A123" s="1263" t="s">
        <v>756</v>
      </c>
      <c r="B123" s="1264" t="s">
        <v>7</v>
      </c>
      <c r="C123" s="1264" t="s">
        <v>44</v>
      </c>
      <c r="D123" s="1426" t="s">
        <v>8</v>
      </c>
      <c r="E123" s="1635">
        <f t="shared" si="0"/>
        <v>2340000</v>
      </c>
      <c r="F123" s="1265">
        <f>SUM(I123,L123,O123,R123,U123,X123,AA123)</f>
        <v>2100000</v>
      </c>
      <c r="G123" s="1318">
        <f>SUM(J123,M123,P123,S123,V123,Y123,AB123)</f>
        <v>240000</v>
      </c>
      <c r="H123" s="1659"/>
      <c r="I123" s="1665"/>
      <c r="J123" s="1318"/>
      <c r="K123" s="1659"/>
      <c r="L123" s="1665"/>
      <c r="M123" s="1318"/>
      <c r="N123" s="1659">
        <f>SUM(O123:P123)</f>
        <v>1350000</v>
      </c>
      <c r="O123" s="1665">
        <v>1200000</v>
      </c>
      <c r="P123" s="1318">
        <v>150000</v>
      </c>
      <c r="Q123" s="1659">
        <f t="shared" si="2"/>
        <v>850000</v>
      </c>
      <c r="R123" s="1665">
        <v>800000</v>
      </c>
      <c r="S123" s="1318">
        <v>50000</v>
      </c>
      <c r="T123" s="1659">
        <f t="shared" si="3"/>
        <v>70000</v>
      </c>
      <c r="U123" s="1665">
        <v>50000</v>
      </c>
      <c r="V123" s="1318">
        <v>20000</v>
      </c>
      <c r="W123" s="1659">
        <f t="shared" si="4"/>
        <v>70000</v>
      </c>
      <c r="X123" s="1665">
        <v>50000</v>
      </c>
      <c r="Y123" s="1636">
        <v>20000</v>
      </c>
      <c r="Z123" s="1909">
        <f t="shared" si="5"/>
        <v>0</v>
      </c>
      <c r="AA123" s="1264">
        <v>0</v>
      </c>
      <c r="AB123" s="1479">
        <v>0</v>
      </c>
      <c r="AC123" s="1909"/>
      <c r="AD123" s="1264"/>
      <c r="AE123" s="1479"/>
    </row>
    <row r="124" spans="1:31" s="1271" customFormat="1" x14ac:dyDescent="0.2">
      <c r="A124" s="1263" t="s">
        <v>911</v>
      </c>
      <c r="B124" s="1264" t="s">
        <v>7</v>
      </c>
      <c r="C124" s="1264" t="s">
        <v>44</v>
      </c>
      <c r="D124" s="1426" t="s">
        <v>8</v>
      </c>
      <c r="E124" s="1635">
        <f t="shared" si="0"/>
        <v>15000</v>
      </c>
      <c r="F124" s="1265">
        <f t="shared" si="1"/>
        <v>15000</v>
      </c>
      <c r="G124" s="1318">
        <f t="shared" si="1"/>
        <v>0</v>
      </c>
      <c r="H124" s="1659"/>
      <c r="I124" s="1665"/>
      <c r="J124" s="1318"/>
      <c r="K124" s="1659"/>
      <c r="L124" s="1665"/>
      <c r="M124" s="1318"/>
      <c r="N124" s="1659">
        <f>SUM(O124:P124)</f>
        <v>10000</v>
      </c>
      <c r="O124" s="1665">
        <v>10000</v>
      </c>
      <c r="P124" s="1318">
        <v>0</v>
      </c>
      <c r="Q124" s="1659">
        <f t="shared" si="2"/>
        <v>5000</v>
      </c>
      <c r="R124" s="1665">
        <v>5000</v>
      </c>
      <c r="S124" s="1318">
        <v>0</v>
      </c>
      <c r="T124" s="1659">
        <f t="shared" si="3"/>
        <v>0</v>
      </c>
      <c r="U124" s="1665">
        <v>0</v>
      </c>
      <c r="V124" s="1318">
        <v>0</v>
      </c>
      <c r="W124" s="1659">
        <f t="shared" si="4"/>
        <v>0</v>
      </c>
      <c r="X124" s="1665">
        <v>0</v>
      </c>
      <c r="Y124" s="1636">
        <v>0</v>
      </c>
      <c r="Z124" s="1909">
        <f t="shared" si="5"/>
        <v>0</v>
      </c>
      <c r="AA124" s="1264">
        <v>0</v>
      </c>
      <c r="AB124" s="1479">
        <v>0</v>
      </c>
      <c r="AC124" s="1909"/>
      <c r="AD124" s="1264"/>
      <c r="AE124" s="1479"/>
    </row>
    <row r="125" spans="1:31" s="1271" customFormat="1" x14ac:dyDescent="0.2">
      <c r="A125" s="1263" t="s">
        <v>129</v>
      </c>
      <c r="B125" s="1264" t="s">
        <v>7</v>
      </c>
      <c r="C125" s="1264" t="s">
        <v>44</v>
      </c>
      <c r="D125" s="1426" t="s">
        <v>8</v>
      </c>
      <c r="E125" s="1635">
        <f t="shared" si="0"/>
        <v>4250000</v>
      </c>
      <c r="F125" s="1265">
        <f t="shared" si="1"/>
        <v>950000</v>
      </c>
      <c r="G125" s="1318">
        <f t="shared" si="1"/>
        <v>3300000</v>
      </c>
      <c r="H125" s="1659"/>
      <c r="I125" s="1665"/>
      <c r="J125" s="1318"/>
      <c r="K125" s="1659"/>
      <c r="L125" s="1665"/>
      <c r="M125" s="1318"/>
      <c r="N125" s="1659">
        <f>SUM(O125:P125)</f>
        <v>225000</v>
      </c>
      <c r="O125" s="1665">
        <v>225000</v>
      </c>
      <c r="P125" s="1318">
        <v>0</v>
      </c>
      <c r="Q125" s="1659">
        <f t="shared" si="2"/>
        <v>1775000</v>
      </c>
      <c r="R125" s="1665">
        <v>325000</v>
      </c>
      <c r="S125" s="1318">
        <v>1450000</v>
      </c>
      <c r="T125" s="1659">
        <f t="shared" si="3"/>
        <v>750000</v>
      </c>
      <c r="U125" s="1665">
        <v>100000</v>
      </c>
      <c r="V125" s="1318">
        <v>650000</v>
      </c>
      <c r="W125" s="1659">
        <f t="shared" si="4"/>
        <v>750000</v>
      </c>
      <c r="X125" s="1665">
        <v>250000</v>
      </c>
      <c r="Y125" s="1636">
        <v>500000</v>
      </c>
      <c r="Z125" s="1909">
        <f t="shared" si="5"/>
        <v>750000</v>
      </c>
      <c r="AA125" s="1264">
        <v>50000</v>
      </c>
      <c r="AB125" s="1479">
        <v>700000</v>
      </c>
      <c r="AC125" s="1909"/>
      <c r="AD125" s="1264"/>
      <c r="AE125" s="1479"/>
    </row>
    <row r="126" spans="1:31" s="1932" customFormat="1" x14ac:dyDescent="0.2">
      <c r="A126" s="1969" t="s">
        <v>910</v>
      </c>
      <c r="B126" s="1926" t="s">
        <v>7</v>
      </c>
      <c r="C126" s="1926" t="s">
        <v>44</v>
      </c>
      <c r="D126" s="1974" t="s">
        <v>8</v>
      </c>
      <c r="E126" s="1646">
        <f t="shared" si="0"/>
        <v>11243934</v>
      </c>
      <c r="F126" s="1935">
        <f t="shared" ref="F126:G128" si="6">SUM(I126,L126,O126,R126,U126,X126,AA126,AD126)</f>
        <v>4833934</v>
      </c>
      <c r="G126" s="1315">
        <f t="shared" si="6"/>
        <v>6410000</v>
      </c>
      <c r="H126" s="1967"/>
      <c r="I126" s="1968"/>
      <c r="J126" s="1315"/>
      <c r="K126" s="1967"/>
      <c r="L126" s="1968"/>
      <c r="M126" s="1315"/>
      <c r="N126" s="1967"/>
      <c r="O126" s="1968"/>
      <c r="P126" s="1315"/>
      <c r="Q126" s="1967">
        <f t="shared" si="2"/>
        <v>8005186</v>
      </c>
      <c r="R126" s="1968">
        <v>2058186</v>
      </c>
      <c r="S126" s="1315">
        <v>5947000</v>
      </c>
      <c r="T126" s="1967">
        <f t="shared" si="3"/>
        <v>642261</v>
      </c>
      <c r="U126" s="1968">
        <v>521261</v>
      </c>
      <c r="V126" s="1315">
        <v>121000</v>
      </c>
      <c r="W126" s="1967">
        <f t="shared" si="4"/>
        <v>2496487</v>
      </c>
      <c r="X126" s="1968">
        <v>2254487</v>
      </c>
      <c r="Y126" s="1647">
        <v>242000</v>
      </c>
      <c r="Z126" s="1967">
        <f t="shared" si="5"/>
        <v>50000</v>
      </c>
      <c r="AA126" s="1935">
        <v>0</v>
      </c>
      <c r="AB126" s="2043">
        <v>50000</v>
      </c>
      <c r="AC126" s="1967">
        <f>SUM(AD126:AE126)</f>
        <v>50000</v>
      </c>
      <c r="AD126" s="1935">
        <v>0</v>
      </c>
      <c r="AE126" s="2043">
        <v>50000</v>
      </c>
    </row>
    <row r="127" spans="1:31" s="1932" customFormat="1" x14ac:dyDescent="0.2">
      <c r="A127" s="1934" t="s">
        <v>957</v>
      </c>
      <c r="B127" s="1926" t="s">
        <v>7</v>
      </c>
      <c r="C127" s="1926" t="s">
        <v>44</v>
      </c>
      <c r="D127" s="1974" t="s">
        <v>8</v>
      </c>
      <c r="E127" s="1646">
        <f t="shared" si="0"/>
        <v>4688040</v>
      </c>
      <c r="F127" s="1935">
        <f t="shared" si="6"/>
        <v>4688040</v>
      </c>
      <c r="G127" s="1315">
        <f t="shared" si="6"/>
        <v>0</v>
      </c>
      <c r="H127" s="1967"/>
      <c r="I127" s="1968"/>
      <c r="J127" s="1315"/>
      <c r="K127" s="1967"/>
      <c r="L127" s="1968"/>
      <c r="M127" s="1315"/>
      <c r="N127" s="1967"/>
      <c r="O127" s="1968"/>
      <c r="P127" s="1315"/>
      <c r="Q127" s="1967">
        <f t="shared" si="2"/>
        <v>389000</v>
      </c>
      <c r="R127" s="1968">
        <v>389000</v>
      </c>
      <c r="S127" s="1315">
        <v>0</v>
      </c>
      <c r="T127" s="1967">
        <f t="shared" si="3"/>
        <v>665920</v>
      </c>
      <c r="U127" s="1968">
        <v>665920</v>
      </c>
      <c r="V127" s="1315">
        <v>0</v>
      </c>
      <c r="W127" s="1967">
        <f t="shared" si="4"/>
        <v>2235360</v>
      </c>
      <c r="X127" s="1968">
        <v>2235360</v>
      </c>
      <c r="Y127" s="1647">
        <v>0</v>
      </c>
      <c r="Z127" s="1967">
        <f t="shared" si="5"/>
        <v>895680</v>
      </c>
      <c r="AA127" s="1935">
        <v>895680</v>
      </c>
      <c r="AB127" s="2043">
        <v>0</v>
      </c>
      <c r="AC127" s="1967">
        <f>SUM(AD127:AE127)</f>
        <v>502080</v>
      </c>
      <c r="AD127" s="1935">
        <v>502080</v>
      </c>
      <c r="AE127" s="2043">
        <v>0</v>
      </c>
    </row>
    <row r="128" spans="1:31" s="1251" customFormat="1" ht="12.75" customHeight="1" thickBot="1" x14ac:dyDescent="0.25">
      <c r="A128" s="2134" t="s">
        <v>1057</v>
      </c>
      <c r="B128" s="2114" t="s">
        <v>14</v>
      </c>
      <c r="C128" s="2114" t="s">
        <v>44</v>
      </c>
      <c r="D128" s="2115" t="s">
        <v>8</v>
      </c>
      <c r="E128" s="2135">
        <f>SUM(F128:G128)</f>
        <v>12605150</v>
      </c>
      <c r="F128" s="2136">
        <f t="shared" si="6"/>
        <v>8300000</v>
      </c>
      <c r="G128" s="2137">
        <f t="shared" si="6"/>
        <v>4305150</v>
      </c>
      <c r="H128" s="2138"/>
      <c r="I128" s="2139"/>
      <c r="J128" s="2137"/>
      <c r="K128" s="2138"/>
      <c r="L128" s="2139"/>
      <c r="M128" s="2137"/>
      <c r="N128" s="2138"/>
      <c r="O128" s="2139"/>
      <c r="P128" s="2137"/>
      <c r="Q128" s="2138">
        <f>SUM(R128:S128)</f>
        <v>5000000</v>
      </c>
      <c r="R128" s="2139">
        <v>3000000</v>
      </c>
      <c r="S128" s="2137">
        <v>2000000</v>
      </c>
      <c r="T128" s="2138">
        <f>SUM(U128:V128)</f>
        <v>4700000</v>
      </c>
      <c r="U128" s="2139">
        <v>2700000</v>
      </c>
      <c r="V128" s="2137">
        <v>2000000</v>
      </c>
      <c r="W128" s="2138">
        <f>SUM(X128:Y128)</f>
        <v>2905150</v>
      </c>
      <c r="X128" s="2139">
        <v>2600000</v>
      </c>
      <c r="Y128" s="2140">
        <v>305150</v>
      </c>
      <c r="Z128" s="1432">
        <f>SUM(AA128:AB128)</f>
        <v>0</v>
      </c>
      <c r="AA128" s="1249">
        <v>0</v>
      </c>
      <c r="AB128" s="1484">
        <v>0</v>
      </c>
      <c r="AC128" s="1432">
        <f>SUM(AD128:AE128)</f>
        <v>0</v>
      </c>
      <c r="AD128" s="1249">
        <v>0</v>
      </c>
      <c r="AE128" s="1484">
        <v>0</v>
      </c>
    </row>
    <row r="129" spans="1:31" s="413" customFormat="1" ht="13.5" thickTop="1" x14ac:dyDescent="0.2">
      <c r="A129" s="408"/>
      <c r="B129" s="408"/>
      <c r="C129" s="408"/>
      <c r="D129" s="408"/>
      <c r="E129" s="763"/>
      <c r="F129" s="764"/>
      <c r="G129" s="627"/>
      <c r="H129" s="765"/>
      <c r="I129" s="766"/>
      <c r="J129" s="627"/>
      <c r="K129" s="765"/>
      <c r="L129" s="766"/>
      <c r="M129" s="627"/>
      <c r="N129" s="765"/>
      <c r="O129" s="766"/>
      <c r="P129" s="627"/>
      <c r="Q129" s="765"/>
      <c r="R129" s="766"/>
      <c r="S129" s="627"/>
      <c r="T129" s="765"/>
      <c r="U129" s="766"/>
      <c r="V129" s="627"/>
      <c r="W129" s="765"/>
      <c r="X129" s="766"/>
      <c r="Y129" s="767"/>
      <c r="Z129" s="977"/>
      <c r="AA129" s="758"/>
      <c r="AB129" s="576"/>
      <c r="AC129" s="977"/>
      <c r="AD129" s="758"/>
      <c r="AE129" s="576"/>
    </row>
    <row r="130" spans="1:31" s="413" customFormat="1" x14ac:dyDescent="0.2">
      <c r="A130" s="408"/>
      <c r="B130" s="408"/>
      <c r="C130" s="408"/>
      <c r="D130" s="408"/>
      <c r="E130" s="763"/>
      <c r="F130" s="764"/>
      <c r="G130" s="627"/>
      <c r="H130" s="765"/>
      <c r="I130" s="766"/>
      <c r="J130" s="627"/>
      <c r="K130" s="765"/>
      <c r="L130" s="766"/>
      <c r="M130" s="627"/>
      <c r="N130" s="765"/>
      <c r="O130" s="766"/>
      <c r="P130" s="627"/>
      <c r="Q130" s="765"/>
      <c r="R130" s="766"/>
      <c r="S130" s="627"/>
      <c r="T130" s="765"/>
      <c r="U130" s="766"/>
      <c r="V130" s="627"/>
      <c r="W130" s="765"/>
      <c r="X130" s="766"/>
      <c r="Y130" s="767"/>
      <c r="Z130" s="977"/>
      <c r="AA130" s="758"/>
      <c r="AB130" s="576"/>
      <c r="AC130" s="977"/>
      <c r="AD130" s="758"/>
      <c r="AE130" s="576"/>
    </row>
    <row r="131" spans="1:31" s="39" customFormat="1" x14ac:dyDescent="0.2">
      <c r="D131" s="120"/>
      <c r="E131" s="311"/>
      <c r="F131" s="101"/>
      <c r="G131" s="119"/>
      <c r="H131" s="280"/>
      <c r="I131" s="350"/>
      <c r="J131" s="119"/>
      <c r="K131" s="280"/>
      <c r="L131" s="350"/>
      <c r="M131" s="119"/>
      <c r="N131" s="280"/>
      <c r="O131" s="350"/>
      <c r="P131" s="119"/>
      <c r="Q131" s="280"/>
      <c r="R131" s="350"/>
      <c r="S131" s="119"/>
      <c r="T131" s="280"/>
      <c r="U131" s="350"/>
      <c r="V131" s="119"/>
      <c r="W131" s="280"/>
      <c r="X131" s="350"/>
      <c r="Y131" s="292"/>
      <c r="Z131" s="102"/>
      <c r="AA131" s="103"/>
      <c r="AB131" s="212"/>
      <c r="AC131" s="102"/>
      <c r="AD131" s="103"/>
      <c r="AE131" s="212"/>
    </row>
    <row r="132" spans="1:31" x14ac:dyDescent="0.2">
      <c r="A132" t="s">
        <v>106</v>
      </c>
      <c r="D132" s="3"/>
      <c r="E132" s="280">
        <f>SUM(E10:E130)</f>
        <v>137131025</v>
      </c>
      <c r="F132" s="101">
        <f>SUM(F7:F130)</f>
        <v>82897428</v>
      </c>
      <c r="G132" s="351">
        <f>SUM(G7:G130)</f>
        <v>54233597</v>
      </c>
      <c r="H132" s="280">
        <f>SUM(H10:H130)</f>
        <v>17295702</v>
      </c>
      <c r="I132" s="101">
        <f>SUM(I7:I130)</f>
        <v>13620374</v>
      </c>
      <c r="J132" s="351">
        <f>SUM(J7:J130)</f>
        <v>3675328</v>
      </c>
      <c r="K132" s="280">
        <f>SUM(K10:K130)</f>
        <v>19692891</v>
      </c>
      <c r="L132" s="101">
        <f>SUM(L7:L130)</f>
        <v>12322891</v>
      </c>
      <c r="M132" s="351">
        <f>SUM(M7:M130)</f>
        <v>7370000</v>
      </c>
      <c r="N132" s="280">
        <f>SUM(N10:N130)</f>
        <v>26412561</v>
      </c>
      <c r="O132" s="101">
        <f>SUM(O7:O130)</f>
        <v>16680442</v>
      </c>
      <c r="P132" s="351">
        <f>SUM(P7:P130)</f>
        <v>9732119</v>
      </c>
      <c r="Q132" s="280">
        <f>SUM(Q10:Q130)</f>
        <v>38353411</v>
      </c>
      <c r="R132" s="101">
        <f>SUM(R7:R130)</f>
        <v>17990411</v>
      </c>
      <c r="S132" s="351">
        <f>SUM(S7:S130)</f>
        <v>20363000</v>
      </c>
      <c r="T132" s="280">
        <f>SUM(T10:T130)</f>
        <v>17607911</v>
      </c>
      <c r="U132" s="101">
        <f>SUM(U7:U130)</f>
        <v>7941911</v>
      </c>
      <c r="V132" s="351">
        <f>SUM(V7:V130)</f>
        <v>9666000</v>
      </c>
      <c r="W132" s="280">
        <f>SUM(W10:W130)</f>
        <v>13640789</v>
      </c>
      <c r="X132" s="101">
        <f>SUM(X7:X130)</f>
        <v>11213639</v>
      </c>
      <c r="Y132" s="351">
        <f>SUM(Y7:Y130)</f>
        <v>2427150</v>
      </c>
      <c r="Z132" s="280">
        <f>SUM(Z10:Z130)</f>
        <v>3475680</v>
      </c>
      <c r="AA132" s="101">
        <f>SUM(AA7:AA130)</f>
        <v>2525680</v>
      </c>
      <c r="AB132" s="351">
        <f>SUM(AB7:AB130)</f>
        <v>950000</v>
      </c>
      <c r="AC132" s="280">
        <f>SUM(AC10:AC130)</f>
        <v>652080</v>
      </c>
      <c r="AD132" s="101">
        <f>SUM(AD7:AD130)</f>
        <v>602080</v>
      </c>
      <c r="AE132" s="351">
        <f>SUM(AE7:AE130)</f>
        <v>50000</v>
      </c>
    </row>
    <row r="133" spans="1:31" x14ac:dyDescent="0.2">
      <c r="D133" s="3"/>
      <c r="E133" s="280" t="s">
        <v>70</v>
      </c>
      <c r="F133" s="52">
        <f>SUM(F132:G132)</f>
        <v>137131025</v>
      </c>
      <c r="G133" s="351"/>
      <c r="H133" s="280">
        <f>SUM(I132:J132)</f>
        <v>17295702</v>
      </c>
      <c r="I133" s="101"/>
      <c r="J133" s="351"/>
      <c r="K133" s="280">
        <f>SUM(L132:M132)</f>
        <v>19692891</v>
      </c>
      <c r="L133" s="101"/>
      <c r="M133" s="351"/>
      <c r="N133" s="280">
        <f>SUM(O132:P132)</f>
        <v>26412561</v>
      </c>
      <c r="O133" s="101"/>
      <c r="P133" s="351"/>
      <c r="Q133" s="280">
        <f>SUM(R132:S132)</f>
        <v>38353411</v>
      </c>
      <c r="R133" s="101"/>
      <c r="S133" s="351"/>
      <c r="T133" s="280">
        <f>SUM(U132:V132)</f>
        <v>17607911</v>
      </c>
      <c r="U133" s="101"/>
      <c r="V133" s="351"/>
      <c r="W133" s="280">
        <f>SUM(X132:Y132)</f>
        <v>13640789</v>
      </c>
      <c r="X133" s="101"/>
      <c r="Y133" s="351"/>
      <c r="Z133" s="102">
        <f>SUM(AA132:AB132)</f>
        <v>3475680</v>
      </c>
      <c r="AA133" s="103"/>
      <c r="AB133" s="212"/>
      <c r="AC133" s="962">
        <f>SUM(AD132:AE132)</f>
        <v>652080</v>
      </c>
      <c r="AD133" s="103"/>
      <c r="AE133" s="212"/>
    </row>
    <row r="134" spans="1:31" x14ac:dyDescent="0.2">
      <c r="D134" s="3"/>
      <c r="E134" s="280" t="s">
        <v>70</v>
      </c>
      <c r="F134" s="52">
        <f>SUM(H133,K133,N133,Q133,T133,W133,Z133,AC133)</f>
        <v>137131025</v>
      </c>
      <c r="G134" s="351"/>
      <c r="H134" s="280"/>
      <c r="I134" s="101"/>
      <c r="J134" s="351"/>
      <c r="K134" s="280"/>
      <c r="L134" s="101"/>
      <c r="M134" s="351"/>
      <c r="N134" s="280"/>
      <c r="O134" s="101"/>
      <c r="P134" s="351"/>
      <c r="Q134" s="280"/>
      <c r="R134" s="101"/>
      <c r="S134" s="351"/>
      <c r="T134" s="280"/>
      <c r="U134" s="101"/>
      <c r="V134" s="351"/>
      <c r="W134" s="280"/>
      <c r="X134" s="101"/>
      <c r="Y134" s="351"/>
      <c r="Z134" s="102"/>
      <c r="AA134" s="103"/>
      <c r="AB134" s="212"/>
      <c r="AC134" s="102"/>
      <c r="AD134" s="103"/>
      <c r="AE134" s="212"/>
    </row>
    <row r="135" spans="1:31" x14ac:dyDescent="0.2">
      <c r="D135" s="3"/>
      <c r="E135" s="280"/>
      <c r="F135" s="52"/>
      <c r="G135" s="351"/>
      <c r="H135" s="280"/>
      <c r="I135" s="101"/>
      <c r="J135" s="351"/>
      <c r="K135" s="280"/>
      <c r="L135" s="101"/>
      <c r="M135" s="351"/>
      <c r="N135" s="280"/>
      <c r="O135" s="101"/>
      <c r="P135" s="351"/>
      <c r="Q135" s="280"/>
      <c r="R135" s="101"/>
      <c r="S135" s="351"/>
      <c r="T135" s="280"/>
      <c r="U135" s="101"/>
      <c r="V135" s="351"/>
      <c r="W135" s="280"/>
      <c r="X135" s="101"/>
      <c r="Y135" s="351"/>
      <c r="Z135" s="102"/>
      <c r="AA135" s="103"/>
      <c r="AB135" s="212"/>
      <c r="AC135" s="102"/>
      <c r="AD135" s="103"/>
      <c r="AE135" s="212"/>
    </row>
    <row r="136" spans="1:31" x14ac:dyDescent="0.2">
      <c r="A136" s="413" t="s">
        <v>1238</v>
      </c>
      <c r="D136" s="3"/>
      <c r="E136" s="280"/>
      <c r="F136" s="52"/>
      <c r="G136" s="351"/>
      <c r="H136" s="280"/>
      <c r="I136" s="101"/>
      <c r="J136" s="351"/>
      <c r="K136" s="280"/>
      <c r="L136" s="101"/>
      <c r="M136" s="351"/>
      <c r="N136" s="280"/>
      <c r="O136" s="101"/>
      <c r="P136" s="351"/>
      <c r="Q136" s="280"/>
      <c r="R136" s="101"/>
      <c r="S136" s="351"/>
      <c r="T136" s="280"/>
      <c r="U136" s="101"/>
      <c r="V136" s="351"/>
      <c r="W136" s="280"/>
      <c r="X136" s="101"/>
      <c r="Y136" s="351"/>
    </row>
    <row r="137" spans="1:31" x14ac:dyDescent="0.2">
      <c r="A137">
        <v>2007</v>
      </c>
      <c r="D137" s="3"/>
      <c r="E137" s="280"/>
      <c r="F137" s="52"/>
      <c r="G137" s="351"/>
      <c r="H137" s="280">
        <f>SUM(H25:H41)</f>
        <v>17295702</v>
      </c>
      <c r="I137" s="101"/>
      <c r="J137" s="351"/>
      <c r="K137" s="280">
        <f>SUM(K25:K41)</f>
        <v>17986270</v>
      </c>
      <c r="L137" s="101"/>
      <c r="M137" s="351"/>
      <c r="N137" s="280">
        <f>SUM(N25:N41)</f>
        <v>7342000</v>
      </c>
      <c r="O137" s="101"/>
      <c r="P137" s="351"/>
      <c r="Q137" s="280">
        <f>SUM(Q25:Q41)</f>
        <v>7196400</v>
      </c>
      <c r="R137" s="101"/>
      <c r="S137" s="351"/>
      <c r="T137" s="280">
        <f>SUM(T25:T41)</f>
        <v>7213680</v>
      </c>
      <c r="U137" s="101"/>
      <c r="V137" s="351"/>
      <c r="W137" s="280">
        <f>SUM(W25:W41)</f>
        <v>0</v>
      </c>
      <c r="X137" s="101"/>
      <c r="Y137" s="351"/>
    </row>
    <row r="138" spans="1:31" x14ac:dyDescent="0.2">
      <c r="A138">
        <v>2008</v>
      </c>
      <c r="D138" s="3"/>
      <c r="E138" s="280"/>
      <c r="F138" s="52"/>
      <c r="G138" s="351"/>
      <c r="H138" s="280"/>
      <c r="I138" s="101"/>
      <c r="J138" s="351"/>
      <c r="K138" s="280">
        <f>SUM(K53:K78)</f>
        <v>1706621</v>
      </c>
      <c r="L138" s="101"/>
      <c r="M138" s="351"/>
      <c r="N138" s="280">
        <f>SUM(N53:N78)</f>
        <v>2485000</v>
      </c>
      <c r="O138" s="101"/>
      <c r="P138" s="351"/>
      <c r="Q138" s="280">
        <f>SUM(Q53:Q78)</f>
        <v>1110000</v>
      </c>
      <c r="R138" s="101"/>
      <c r="S138" s="351"/>
      <c r="T138" s="280">
        <f>SUM(T53:T78)</f>
        <v>570000</v>
      </c>
      <c r="U138" s="101"/>
      <c r="V138" s="351"/>
      <c r="W138" s="280">
        <f>SUM(W53:W78)</f>
        <v>560000</v>
      </c>
      <c r="X138" s="101"/>
      <c r="Y138" s="351"/>
      <c r="Z138" s="280">
        <f>SUM(Z53:Z78)</f>
        <v>0</v>
      </c>
    </row>
    <row r="139" spans="1:31" x14ac:dyDescent="0.2">
      <c r="D139" s="3"/>
      <c r="E139" s="280"/>
      <c r="F139" s="52"/>
      <c r="G139" s="351"/>
      <c r="H139" s="280"/>
      <c r="I139" s="101"/>
      <c r="J139" s="351"/>
      <c r="K139" s="280"/>
      <c r="L139" s="101"/>
      <c r="M139" s="351"/>
      <c r="N139" s="280"/>
      <c r="O139" s="101"/>
      <c r="P139" s="351"/>
      <c r="Q139" s="280"/>
      <c r="R139" s="101"/>
      <c r="S139" s="351"/>
      <c r="T139" s="280"/>
      <c r="U139" s="101"/>
      <c r="V139" s="351"/>
      <c r="W139" s="280"/>
      <c r="X139" s="101"/>
      <c r="Y139" s="351"/>
    </row>
    <row r="140" spans="1:31" x14ac:dyDescent="0.2">
      <c r="D140" s="3"/>
      <c r="E140" s="280"/>
      <c r="F140" s="52"/>
      <c r="G140" s="351"/>
      <c r="H140" s="280"/>
      <c r="I140" s="101"/>
      <c r="J140" s="351"/>
      <c r="K140" s="280"/>
      <c r="L140" s="101"/>
      <c r="M140" s="351"/>
      <c r="N140" s="280"/>
      <c r="O140" s="101"/>
      <c r="P140" s="351"/>
      <c r="Q140" s="280"/>
      <c r="R140" s="101"/>
      <c r="S140" s="351"/>
      <c r="T140" s="280"/>
      <c r="U140" s="101"/>
      <c r="V140" s="351"/>
      <c r="W140" s="280"/>
      <c r="X140" s="101"/>
      <c r="Y140" s="351"/>
    </row>
  </sheetData>
  <mergeCells count="11">
    <mergeCell ref="AC3:AE3"/>
    <mergeCell ref="AC4:AE4"/>
    <mergeCell ref="A1:O2"/>
    <mergeCell ref="H4:J4"/>
    <mergeCell ref="K4:M4"/>
    <mergeCell ref="N4:P4"/>
    <mergeCell ref="Z3:AB3"/>
    <mergeCell ref="Z4:AB4"/>
    <mergeCell ref="W4:Y4"/>
    <mergeCell ref="Q4:S4"/>
    <mergeCell ref="T4:V4"/>
  </mergeCells>
  <phoneticPr fontId="9" type="noConversion"/>
  <printOptions gridLines="1"/>
  <pageMargins left="0.75" right="0.75" top="1" bottom="1" header="0.5" footer="0.5"/>
  <pageSetup paperSize="17"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D62"/>
  <sheetViews>
    <sheetView workbookViewId="0">
      <selection activeCell="J7" sqref="J7"/>
    </sheetView>
  </sheetViews>
  <sheetFormatPr defaultColWidth="9.140625" defaultRowHeight="12.75" x14ac:dyDescent="0.2"/>
  <cols>
    <col min="1" max="1" width="9.140625" style="3050"/>
    <col min="2" max="2" width="46.28515625" style="3050" bestFit="1" customWidth="1"/>
    <col min="3" max="3" width="20.42578125" style="3050" bestFit="1" customWidth="1"/>
    <col min="4" max="6" width="27.140625" style="3050" customWidth="1"/>
    <col min="7" max="9" width="11.140625" style="3050" bestFit="1" customWidth="1"/>
    <col min="10" max="16384" width="9.140625" style="3050"/>
  </cols>
  <sheetData>
    <row r="1" spans="2:30" ht="20.100000000000001" customHeight="1" x14ac:dyDescent="0.25">
      <c r="B1" s="4088" t="s">
        <v>1585</v>
      </c>
      <c r="C1" s="4089"/>
      <c r="D1" s="4089"/>
      <c r="E1" s="4089"/>
      <c r="F1" s="4090"/>
      <c r="G1" s="3104"/>
      <c r="H1" s="3919"/>
      <c r="I1" s="3920"/>
      <c r="J1" s="3920"/>
      <c r="K1" s="3920"/>
      <c r="L1" s="3920"/>
      <c r="M1" s="3920"/>
      <c r="N1" s="3920"/>
      <c r="O1" s="3095"/>
      <c r="P1" s="3095"/>
      <c r="Q1" s="3095"/>
      <c r="R1" s="3127"/>
      <c r="S1" s="3127"/>
      <c r="T1" s="3127"/>
      <c r="U1" s="3127"/>
      <c r="V1" s="3127"/>
      <c r="W1" s="3127"/>
      <c r="X1" s="3127"/>
      <c r="Y1" s="3127"/>
      <c r="Z1" s="3127"/>
      <c r="AA1" s="3127"/>
      <c r="AB1" s="3127"/>
      <c r="AC1" s="3127"/>
      <c r="AD1" s="3127"/>
    </row>
    <row r="2" spans="2:30" ht="20.100000000000001" customHeight="1" x14ac:dyDescent="0.2">
      <c r="B2" s="4091" t="s">
        <v>1733</v>
      </c>
      <c r="C2" s="4092"/>
      <c r="D2" s="4092"/>
      <c r="E2" s="4092"/>
      <c r="F2" s="4093"/>
      <c r="G2" s="3104"/>
      <c r="H2" s="3921"/>
      <c r="I2" s="3922"/>
      <c r="J2" s="3922"/>
      <c r="K2" s="3922"/>
      <c r="L2" s="3922"/>
      <c r="M2" s="3922"/>
      <c r="N2" s="3922"/>
      <c r="O2" s="3438"/>
      <c r="P2" s="3438"/>
      <c r="Q2" s="3438"/>
      <c r="R2" s="3127"/>
      <c r="S2" s="3127"/>
      <c r="T2" s="3127"/>
      <c r="U2" s="3127"/>
      <c r="V2" s="3127"/>
      <c r="W2" s="3127"/>
      <c r="X2" s="3127"/>
      <c r="Y2" s="3127"/>
      <c r="Z2" s="3127"/>
      <c r="AA2" s="3127"/>
      <c r="AB2" s="3127"/>
      <c r="AC2" s="3127"/>
      <c r="AD2" s="3127"/>
    </row>
    <row r="3" spans="2:30" ht="20.100000000000001" customHeight="1" thickBot="1" x14ac:dyDescent="0.25">
      <c r="B3" s="4096" t="s">
        <v>1734</v>
      </c>
      <c r="C3" s="4097"/>
      <c r="D3" s="4097"/>
      <c r="E3" s="4097"/>
      <c r="F3" s="4098"/>
      <c r="G3" s="3104"/>
      <c r="H3" s="3104"/>
      <c r="I3" s="3127"/>
      <c r="J3" s="3127"/>
      <c r="K3" s="3127"/>
      <c r="L3" s="3127"/>
      <c r="M3" s="3127"/>
      <c r="N3" s="3127"/>
      <c r="O3" s="3127"/>
      <c r="P3" s="3127"/>
      <c r="Q3" s="3127"/>
      <c r="R3" s="3127"/>
      <c r="S3" s="3127"/>
      <c r="T3" s="3127"/>
      <c r="U3" s="3127"/>
      <c r="V3" s="3127"/>
      <c r="W3" s="3127"/>
      <c r="X3" s="3127"/>
      <c r="Y3" s="3127"/>
      <c r="Z3" s="3127"/>
      <c r="AA3" s="3127"/>
      <c r="AB3" s="3127"/>
      <c r="AC3" s="3127"/>
      <c r="AD3" s="3127"/>
    </row>
    <row r="4" spans="2:30" ht="20.100000000000001" customHeight="1" x14ac:dyDescent="0.2">
      <c r="B4" s="4099" t="s">
        <v>371</v>
      </c>
      <c r="C4" s="4101" t="s">
        <v>791</v>
      </c>
      <c r="D4" s="4103" t="s">
        <v>1618</v>
      </c>
      <c r="E4" s="4103" t="s">
        <v>1569</v>
      </c>
      <c r="F4" s="4104" t="s">
        <v>46</v>
      </c>
      <c r="G4" s="3128"/>
      <c r="H4" s="3128"/>
      <c r="I4" s="3104"/>
      <c r="J4" s="3104"/>
      <c r="K4" s="3104"/>
      <c r="L4" s="3104"/>
      <c r="M4" s="3104"/>
      <c r="N4" s="3104"/>
      <c r="O4" s="3104"/>
      <c r="P4" s="3104"/>
      <c r="Q4" s="3104"/>
      <c r="R4" s="3104"/>
      <c r="S4" s="3104"/>
      <c r="T4" s="3104"/>
      <c r="U4" s="3104"/>
      <c r="V4" s="3104"/>
    </row>
    <row r="5" spans="2:30" ht="33" customHeight="1" thickBot="1" x14ac:dyDescent="0.25">
      <c r="B5" s="4100"/>
      <c r="C5" s="4102"/>
      <c r="D5" s="4102"/>
      <c r="E5" s="4102"/>
      <c r="F5" s="4105"/>
      <c r="G5" s="3128"/>
      <c r="H5" s="4390"/>
      <c r="I5" s="3104"/>
      <c r="J5" s="3104"/>
      <c r="K5" s="3104"/>
      <c r="L5" s="3104"/>
      <c r="M5" s="3104"/>
      <c r="N5" s="3104"/>
      <c r="O5" s="3104"/>
      <c r="P5" s="3104"/>
      <c r="R5" s="3104"/>
      <c r="S5" s="3104"/>
      <c r="T5" s="3104"/>
      <c r="U5" s="3104"/>
      <c r="V5" s="3104"/>
    </row>
    <row r="6" spans="2:30" s="3110" customFormat="1" ht="20.100000000000001" customHeight="1" thickBot="1" x14ac:dyDescent="0.25">
      <c r="B6" s="3139" t="s">
        <v>1570</v>
      </c>
      <c r="C6" s="3129">
        <f>'[1]2.AppSummaryData'!$B$5</f>
        <v>106</v>
      </c>
      <c r="D6" s="3129">
        <f>'[1]2.AppSummaryData'!$C$5</f>
        <v>48</v>
      </c>
      <c r="E6" s="3129">
        <f>'[1]2.AppSummaryData'!$D$5</f>
        <v>53</v>
      </c>
      <c r="F6" s="3716">
        <f>'[1]2.AppSummaryData'!$E$5</f>
        <v>5</v>
      </c>
      <c r="G6" s="3131"/>
      <c r="R6" s="3130"/>
      <c r="S6" s="3130"/>
      <c r="T6" s="3130"/>
      <c r="U6" s="3130"/>
      <c r="V6" s="3130"/>
    </row>
    <row r="7" spans="2:30" s="3110" customFormat="1" ht="15.95" customHeight="1" x14ac:dyDescent="0.2">
      <c r="B7" s="3140" t="s">
        <v>1703</v>
      </c>
      <c r="C7" s="3532" t="s">
        <v>454</v>
      </c>
      <c r="D7" s="3715">
        <f>D6/C6</f>
        <v>0.45283018867924529</v>
      </c>
      <c r="E7" s="3715">
        <f>E6/C6</f>
        <v>0.5</v>
      </c>
      <c r="F7" s="3717">
        <f>F6/C6</f>
        <v>4.716981132075472E-2</v>
      </c>
      <c r="G7" s="3131"/>
      <c r="H7" s="3131"/>
      <c r="I7" s="3130"/>
      <c r="J7" s="3130"/>
      <c r="K7" s="3130"/>
      <c r="L7" s="3130"/>
      <c r="M7" s="3130"/>
      <c r="N7" s="3130"/>
      <c r="O7" s="3130"/>
      <c r="P7" s="3130"/>
      <c r="Q7" s="3130"/>
      <c r="R7" s="3130"/>
      <c r="S7" s="3130"/>
      <c r="T7" s="3130"/>
      <c r="U7" s="3130"/>
      <c r="V7" s="3130"/>
    </row>
    <row r="8" spans="2:30" s="3110" customFormat="1" ht="15.95" customHeight="1" x14ac:dyDescent="0.2">
      <c r="B8" s="3141" t="s">
        <v>1704</v>
      </c>
      <c r="C8" s="3132">
        <f>C6-C9</f>
        <v>87</v>
      </c>
      <c r="D8" s="3132">
        <f>D6-D9</f>
        <v>43</v>
      </c>
      <c r="E8" s="3132">
        <f>E6-E9</f>
        <v>41</v>
      </c>
      <c r="F8" s="3718">
        <f>F6-F9</f>
        <v>3</v>
      </c>
      <c r="G8" s="3131"/>
      <c r="H8" s="3131"/>
      <c r="I8" s="3130"/>
      <c r="J8" s="3130"/>
      <c r="K8" s="3130"/>
      <c r="L8" s="3130"/>
      <c r="M8" s="3130"/>
      <c r="N8" s="3130"/>
      <c r="O8" s="3130"/>
      <c r="P8" s="3130"/>
      <c r="Q8" s="3130"/>
      <c r="R8" s="3130"/>
      <c r="S8" s="3130"/>
      <c r="T8" s="3130"/>
      <c r="U8" s="3130"/>
      <c r="V8" s="3130"/>
    </row>
    <row r="9" spans="2:30" s="3110" customFormat="1" ht="15.95" customHeight="1" x14ac:dyDescent="0.2">
      <c r="B9" s="3142" t="s">
        <v>1705</v>
      </c>
      <c r="C9" s="3133">
        <f>'[1]2.AppSummaryData'!$B$6</f>
        <v>19</v>
      </c>
      <c r="D9" s="3133">
        <f>'[1]2.AppSummaryData'!$C$6</f>
        <v>5</v>
      </c>
      <c r="E9" s="3133">
        <f>'[1]2.AppSummaryData'!$D$6</f>
        <v>12</v>
      </c>
      <c r="F9" s="3718">
        <f>'[1]2.AppSummaryData'!$E$6</f>
        <v>2</v>
      </c>
      <c r="G9" s="3131"/>
      <c r="H9" s="3131"/>
      <c r="I9" s="3130"/>
      <c r="J9" s="3130"/>
      <c r="K9" s="3130"/>
      <c r="L9" s="3130"/>
      <c r="M9" s="3130"/>
      <c r="N9" s="3130"/>
      <c r="O9" s="3130"/>
      <c r="P9" s="3130"/>
      <c r="Q9" s="3130"/>
      <c r="R9" s="3130"/>
      <c r="S9" s="3130"/>
      <c r="T9" s="3130"/>
      <c r="U9" s="3130"/>
      <c r="V9" s="3130"/>
    </row>
    <row r="10" spans="2:30" s="3110" customFormat="1" ht="15.95" customHeight="1" x14ac:dyDescent="0.2">
      <c r="B10" s="3143" t="s">
        <v>1706</v>
      </c>
      <c r="C10" s="3134">
        <f>'[1]2.AppSummaryData'!$B$7</f>
        <v>18</v>
      </c>
      <c r="D10" s="3134">
        <f>'[1]2.AppSummaryData'!$C$7</f>
        <v>11</v>
      </c>
      <c r="E10" s="3134">
        <f>'[1]2.AppSummaryData'!$D$7</f>
        <v>4</v>
      </c>
      <c r="F10" s="3718">
        <f>'[1]2.AppSummaryData'!$E$7</f>
        <v>0</v>
      </c>
      <c r="G10" s="3131"/>
      <c r="H10" s="3131"/>
      <c r="I10" s="3130"/>
      <c r="J10" s="3130"/>
      <c r="K10" s="3130"/>
      <c r="L10" s="3130"/>
      <c r="M10" s="3130"/>
      <c r="N10" s="3130"/>
      <c r="O10" s="3130"/>
      <c r="P10" s="3130"/>
      <c r="Q10" s="3130"/>
      <c r="R10" s="3130"/>
      <c r="S10" s="3130"/>
      <c r="T10" s="3130"/>
      <c r="U10" s="3130"/>
      <c r="V10" s="3130"/>
    </row>
    <row r="11" spans="2:30" s="3076" customFormat="1" ht="15.95" customHeight="1" thickBot="1" x14ac:dyDescent="0.25">
      <c r="B11" s="3144" t="s">
        <v>1707</v>
      </c>
      <c r="C11" s="3134">
        <f>'[1]2.AppSummaryData'!$B$8</f>
        <v>2</v>
      </c>
      <c r="D11" s="3134">
        <f>'[1]2.AppSummaryData'!$C$8</f>
        <v>2</v>
      </c>
      <c r="E11" s="3134">
        <f>'[1]2.AppSummaryData'!$D$8</f>
        <v>0</v>
      </c>
      <c r="F11" s="3719">
        <f>'[1]2.AppSummaryData'!$E$8</f>
        <v>0</v>
      </c>
    </row>
    <row r="12" spans="2:30" s="3110" customFormat="1" ht="15.95" customHeight="1" thickBot="1" x14ac:dyDescent="0.25">
      <c r="B12" s="4081" t="s">
        <v>1099</v>
      </c>
      <c r="C12" s="4083"/>
      <c r="D12" s="4081" t="s">
        <v>787</v>
      </c>
      <c r="E12" s="4082"/>
      <c r="F12" s="4083"/>
      <c r="G12" s="3131"/>
      <c r="H12" s="3131"/>
      <c r="I12" s="3130"/>
      <c r="J12" s="3130"/>
      <c r="K12" s="3130"/>
      <c r="L12" s="3130"/>
      <c r="M12" s="3130"/>
      <c r="N12" s="3130"/>
      <c r="O12" s="3130"/>
      <c r="P12" s="3130"/>
      <c r="Q12" s="3130"/>
      <c r="R12" s="3130"/>
      <c r="S12" s="3130"/>
      <c r="T12" s="3130"/>
      <c r="U12" s="3130"/>
      <c r="V12" s="3130"/>
    </row>
    <row r="13" spans="2:30" s="3110" customFormat="1" ht="15.95" customHeight="1" x14ac:dyDescent="0.2">
      <c r="B13" s="3867" t="s">
        <v>1100</v>
      </c>
      <c r="C13" s="3868">
        <f>'[1]2.AppSummaryData'!$C$11</f>
        <v>74930599</v>
      </c>
      <c r="D13" s="4094" t="s">
        <v>1103</v>
      </c>
      <c r="E13" s="4094"/>
      <c r="F13" s="3869">
        <f>'[1]2.AppSummaryData'!$E$23</f>
        <v>3302</v>
      </c>
      <c r="G13" s="3131"/>
      <c r="H13" s="3131"/>
      <c r="I13" s="3130"/>
      <c r="J13" s="3130"/>
      <c r="K13" s="3130"/>
      <c r="L13" s="3130"/>
      <c r="M13" s="3130"/>
      <c r="N13" s="3130"/>
      <c r="O13" s="3130"/>
      <c r="P13" s="3130"/>
      <c r="Q13" s="3130"/>
      <c r="R13" s="3130"/>
      <c r="S13" s="3130"/>
      <c r="T13" s="3130"/>
      <c r="U13" s="3130"/>
      <c r="V13" s="3130"/>
    </row>
    <row r="14" spans="2:30" s="3110" customFormat="1" ht="15.95" customHeight="1" x14ac:dyDescent="0.2">
      <c r="B14" s="3870" t="s">
        <v>1101</v>
      </c>
      <c r="C14" s="3871">
        <f>'[1]2.AppSummaryData'!$C$12</f>
        <v>2198190</v>
      </c>
      <c r="D14" s="4095" t="s">
        <v>1104</v>
      </c>
      <c r="E14" s="4095"/>
      <c r="F14" s="3872">
        <f>'[1]2.AppSummaryData'!$E$24</f>
        <v>148485288</v>
      </c>
      <c r="G14" s="3131"/>
      <c r="H14" s="3131"/>
      <c r="I14" s="3130"/>
      <c r="J14" s="3130"/>
      <c r="K14" s="3130"/>
      <c r="L14" s="3130"/>
      <c r="M14" s="3130"/>
      <c r="N14" s="3130"/>
      <c r="O14" s="3130"/>
      <c r="P14" s="3130"/>
      <c r="Q14" s="3130"/>
      <c r="R14" s="3130"/>
      <c r="S14" s="3130"/>
      <c r="T14" s="3130"/>
      <c r="U14" s="3130"/>
      <c r="V14" s="3130"/>
    </row>
    <row r="15" spans="2:30" s="3110" customFormat="1" ht="15.95" customHeight="1" x14ac:dyDescent="0.2">
      <c r="B15" s="3870" t="s">
        <v>1530</v>
      </c>
      <c r="C15" s="3871">
        <f>('[1]2.AppSummaryData'!$C$13)-'[1]24.Term&amp;Incentives'!$AZ$18</f>
        <v>33124380</v>
      </c>
      <c r="D15" s="4108" t="s">
        <v>1105</v>
      </c>
      <c r="E15" s="4109"/>
      <c r="F15" s="3872">
        <f>'[1]2.AppSummaryData'!$E$25</f>
        <v>44932.218958207144</v>
      </c>
      <c r="G15" s="3131"/>
      <c r="H15" s="3131"/>
      <c r="I15" s="3130"/>
      <c r="J15" s="3130"/>
      <c r="K15" s="3130"/>
      <c r="L15" s="3130"/>
      <c r="M15" s="3130"/>
      <c r="N15" s="3130"/>
      <c r="O15" s="3130"/>
      <c r="P15" s="3130"/>
      <c r="Q15" s="3130"/>
      <c r="R15" s="3130"/>
      <c r="S15" s="3130"/>
      <c r="T15" s="3130"/>
      <c r="U15" s="3130"/>
      <c r="V15" s="3130"/>
    </row>
    <row r="16" spans="2:30" s="3110" customFormat="1" ht="15.95" customHeight="1" thickBot="1" x14ac:dyDescent="0.25">
      <c r="B16" s="3873" t="s">
        <v>1102</v>
      </c>
      <c r="C16" s="3874">
        <f>('[1]2.AppSummaryData'!$C$14)+'[1]24.Term&amp;Incentives'!$AZ$18</f>
        <v>39608029</v>
      </c>
      <c r="D16" s="4110" t="s">
        <v>1106</v>
      </c>
      <c r="E16" s="4095"/>
      <c r="F16" s="3872">
        <f>'[1]2.AppSummaryData'!$E$26</f>
        <v>55677.478295693894</v>
      </c>
      <c r="G16" s="3131"/>
      <c r="H16" s="3131"/>
      <c r="I16" s="3130"/>
      <c r="J16" s="3130"/>
      <c r="K16" s="3130"/>
      <c r="L16" s="3130"/>
      <c r="M16" s="3130"/>
      <c r="N16" s="3130"/>
      <c r="O16" s="3130"/>
      <c r="P16" s="3130"/>
      <c r="Q16" s="3130"/>
      <c r="R16" s="3130"/>
      <c r="S16" s="3130"/>
      <c r="T16" s="3130"/>
      <c r="U16" s="3130"/>
      <c r="V16" s="3130"/>
    </row>
    <row r="17" spans="1:22" s="3110" customFormat="1" ht="15.95" customHeight="1" thickBot="1" x14ac:dyDescent="0.25">
      <c r="B17" s="4081" t="s">
        <v>1364</v>
      </c>
      <c r="C17" s="4083"/>
      <c r="D17" s="4111" t="s">
        <v>1329</v>
      </c>
      <c r="E17" s="4112"/>
      <c r="F17" s="3875">
        <f>'[1]2.AppSummaryData'!$E$27</f>
        <v>763068058</v>
      </c>
      <c r="G17" s="3131"/>
      <c r="H17" s="3131"/>
      <c r="I17" s="3130"/>
      <c r="J17" s="3130"/>
      <c r="K17" s="3130"/>
      <c r="L17" s="3130"/>
      <c r="M17" s="3130"/>
      <c r="N17" s="3130"/>
      <c r="O17" s="3130"/>
      <c r="P17" s="3130"/>
      <c r="Q17" s="3130"/>
      <c r="R17" s="3130"/>
      <c r="S17" s="3130"/>
      <c r="T17" s="3130"/>
      <c r="U17" s="3130"/>
      <c r="V17" s="3130"/>
    </row>
    <row r="18" spans="1:22" s="3110" customFormat="1" ht="15.95" customHeight="1" thickBot="1" x14ac:dyDescent="0.25">
      <c r="B18" s="4106" t="s">
        <v>1365</v>
      </c>
      <c r="C18" s="4107"/>
      <c r="D18" s="4081" t="s">
        <v>1112</v>
      </c>
      <c r="E18" s="4082"/>
      <c r="F18" s="4083"/>
      <c r="G18" s="3131"/>
      <c r="H18" s="3131"/>
      <c r="I18" s="3130"/>
      <c r="J18" s="3130"/>
      <c r="K18" s="3130"/>
      <c r="L18" s="3130"/>
      <c r="M18" s="3130"/>
      <c r="N18" s="3130"/>
      <c r="O18" s="3130"/>
      <c r="P18" s="3130"/>
      <c r="Q18" s="3130"/>
      <c r="R18" s="3130"/>
      <c r="S18" s="3130"/>
      <c r="T18" s="3130"/>
      <c r="U18" s="3130"/>
      <c r="V18" s="3130"/>
    </row>
    <row r="19" spans="1:22" s="3110" customFormat="1" ht="15.95" customHeight="1" x14ac:dyDescent="0.2">
      <c r="B19" s="3876" t="s">
        <v>1366</v>
      </c>
      <c r="C19" s="3877">
        <f>'[1]2.AppSummaryData'!$B$19</f>
        <v>3316594</v>
      </c>
      <c r="D19" s="4079" t="s">
        <v>1571</v>
      </c>
      <c r="E19" s="4079"/>
      <c r="F19" s="3878">
        <f>'[1]2.AppSummaryData'!$E$35</f>
        <v>6046</v>
      </c>
      <c r="G19" s="3131"/>
      <c r="H19" s="3131"/>
      <c r="I19" s="3130"/>
      <c r="J19" s="3130"/>
      <c r="K19" s="3130"/>
      <c r="L19" s="3130"/>
      <c r="M19" s="3130"/>
      <c r="N19" s="3130"/>
      <c r="O19" s="3130"/>
      <c r="P19" s="3130"/>
      <c r="Q19" s="3130"/>
      <c r="R19" s="3130"/>
      <c r="S19" s="3130"/>
      <c r="T19" s="3130"/>
      <c r="U19" s="3130"/>
      <c r="V19" s="3130"/>
    </row>
    <row r="20" spans="1:22" s="3110" customFormat="1" ht="15.95" customHeight="1" x14ac:dyDescent="0.2">
      <c r="B20" s="3879" t="s">
        <v>1702</v>
      </c>
      <c r="C20" s="3880">
        <f>'[1]2.AppSummaryData'!$B$20</f>
        <v>3561517</v>
      </c>
      <c r="D20" s="4078" t="s">
        <v>1572</v>
      </c>
      <c r="E20" s="4078"/>
      <c r="F20" s="3881">
        <f>'[1]2.AppSummaryData'!$E$36</f>
        <v>802</v>
      </c>
      <c r="G20" s="3131"/>
      <c r="H20" s="3131"/>
      <c r="I20" s="3130"/>
      <c r="J20" s="3130"/>
      <c r="K20" s="3130"/>
      <c r="L20" s="3130"/>
      <c r="M20" s="3130"/>
      <c r="N20" s="3130"/>
      <c r="O20" s="3130"/>
      <c r="P20" s="3130"/>
      <c r="Q20" s="3130"/>
      <c r="R20" s="3130"/>
      <c r="S20" s="3130"/>
      <c r="T20" s="3130"/>
      <c r="U20" s="3130"/>
      <c r="V20" s="3130"/>
    </row>
    <row r="21" spans="1:22" s="3110" customFormat="1" ht="15.95" customHeight="1" thickBot="1" x14ac:dyDescent="0.25">
      <c r="B21" s="3882" t="s">
        <v>69</v>
      </c>
      <c r="C21" s="3883">
        <f>SUM(C19:C20)</f>
        <v>6878111</v>
      </c>
      <c r="D21" s="4078" t="s">
        <v>1573</v>
      </c>
      <c r="E21" s="4078"/>
      <c r="F21" s="3881">
        <f>'[1]2.AppSummaryData'!$E$37</f>
        <v>3732</v>
      </c>
      <c r="G21" s="3131"/>
      <c r="H21" s="3131"/>
      <c r="I21" s="3130"/>
      <c r="J21" s="3130"/>
      <c r="K21" s="3130"/>
      <c r="L21" s="3130"/>
      <c r="M21" s="3130"/>
      <c r="N21" s="3130"/>
      <c r="O21" s="3130"/>
      <c r="P21" s="3130"/>
      <c r="Q21" s="3130"/>
      <c r="R21" s="3130"/>
      <c r="S21" s="3130"/>
      <c r="T21" s="3130"/>
      <c r="U21" s="3130"/>
      <c r="V21" s="3130"/>
    </row>
    <row r="22" spans="1:22" s="3110" customFormat="1" ht="15.95" customHeight="1" thickBot="1" x14ac:dyDescent="0.25">
      <c r="B22" s="4106" t="s">
        <v>1367</v>
      </c>
      <c r="C22" s="4107"/>
      <c r="D22" s="4080" t="s">
        <v>1110</v>
      </c>
      <c r="E22" s="4080"/>
      <c r="F22" s="3881">
        <f>'[1]2.AppSummaryData'!$E$38</f>
        <v>7836</v>
      </c>
      <c r="G22" s="3131"/>
      <c r="H22" s="3131"/>
      <c r="I22" s="3130"/>
      <c r="J22" s="3130"/>
      <c r="K22" s="3130"/>
      <c r="L22" s="3130"/>
      <c r="M22" s="3130"/>
      <c r="N22" s="3130"/>
      <c r="O22" s="3130"/>
      <c r="P22" s="3130"/>
      <c r="Q22" s="3130"/>
      <c r="R22" s="3130"/>
      <c r="S22" s="3130"/>
      <c r="T22" s="3130"/>
      <c r="U22" s="3130"/>
      <c r="V22" s="3130"/>
    </row>
    <row r="23" spans="1:22" s="3110" customFormat="1" ht="15.95" customHeight="1" x14ac:dyDescent="0.2">
      <c r="B23" s="3876" t="s">
        <v>1366</v>
      </c>
      <c r="C23" s="3877">
        <f>'[1]2.AppSummaryData'!$E$19</f>
        <v>2760291</v>
      </c>
      <c r="D23" s="4084" t="s">
        <v>1574</v>
      </c>
      <c r="E23" s="4080"/>
      <c r="F23" s="3145">
        <f>'[1]2.AppSummaryData'!$E$39</f>
        <v>45729925.181093894</v>
      </c>
      <c r="G23" s="3131"/>
      <c r="H23" s="3131"/>
      <c r="I23" s="3130"/>
      <c r="J23" s="3130"/>
      <c r="K23" s="3130"/>
      <c r="L23" s="3130"/>
      <c r="M23" s="3130"/>
      <c r="N23" s="3130"/>
      <c r="O23" s="3130"/>
      <c r="P23" s="3130"/>
      <c r="Q23" s="3130"/>
      <c r="R23" s="3130"/>
      <c r="S23" s="3130"/>
      <c r="T23" s="3130"/>
      <c r="U23" s="3130"/>
      <c r="V23" s="3130"/>
    </row>
    <row r="24" spans="1:22" s="3110" customFormat="1" ht="15.95" customHeight="1" x14ac:dyDescent="0.2">
      <c r="B24" s="3879" t="s">
        <v>1702</v>
      </c>
      <c r="C24" s="3880">
        <f>'[1]2.AppSummaryData'!$E$20</f>
        <v>3198043</v>
      </c>
      <c r="D24" s="4085" t="s">
        <v>1575</v>
      </c>
      <c r="E24" s="4078"/>
      <c r="F24" s="3146">
        <f>'[1]2.AppSummaryData'!$E$40</f>
        <v>0.70843749999999994</v>
      </c>
      <c r="G24" s="3131"/>
      <c r="H24" s="3131"/>
      <c r="I24" s="3130"/>
      <c r="J24" s="3130"/>
      <c r="K24" s="3130"/>
      <c r="L24" s="3130"/>
      <c r="M24" s="3130"/>
      <c r="N24" s="3130"/>
      <c r="O24" s="3130"/>
      <c r="P24" s="3130"/>
      <c r="Q24" s="3130"/>
      <c r="R24" s="3130"/>
      <c r="S24" s="3130"/>
      <c r="T24" s="3130"/>
      <c r="U24" s="3130"/>
      <c r="V24" s="3130"/>
    </row>
    <row r="25" spans="1:22" s="3110" customFormat="1" ht="15.95" customHeight="1" thickBot="1" x14ac:dyDescent="0.25">
      <c r="B25" s="3882" t="s">
        <v>69</v>
      </c>
      <c r="C25" s="3883">
        <f>SUM(C23:C24)</f>
        <v>5958334</v>
      </c>
      <c r="D25" s="4086" t="s">
        <v>1576</v>
      </c>
      <c r="E25" s="4087"/>
      <c r="F25" s="3884">
        <f>'[1]2.AppSummaryData'!$E$41</f>
        <v>180055648</v>
      </c>
      <c r="G25" s="3131"/>
      <c r="H25" s="3131"/>
      <c r="I25" s="3130"/>
      <c r="J25" s="3130"/>
      <c r="K25" s="3130"/>
      <c r="L25" s="3130"/>
      <c r="M25" s="3130"/>
      <c r="N25" s="3130"/>
      <c r="O25" s="3130"/>
      <c r="P25" s="3130"/>
      <c r="Q25" s="3130"/>
      <c r="R25" s="3130"/>
      <c r="S25" s="3130"/>
      <c r="T25" s="3130"/>
      <c r="U25" s="3130"/>
      <c r="V25" s="3130"/>
    </row>
    <row r="26" spans="1:22" s="3110" customFormat="1" ht="15.95" customHeight="1" thickBot="1" x14ac:dyDescent="0.25">
      <c r="B26" s="3885"/>
      <c r="C26" s="3939"/>
      <c r="D26" s="4081" t="s">
        <v>1413</v>
      </c>
      <c r="E26" s="4082"/>
      <c r="F26" s="4083"/>
      <c r="G26" s="3131"/>
      <c r="H26" s="3131"/>
      <c r="I26" s="3130"/>
      <c r="J26" s="3130"/>
      <c r="K26" s="3130"/>
      <c r="L26" s="3130"/>
      <c r="M26" s="3130"/>
      <c r="N26" s="3130"/>
      <c r="O26" s="3130"/>
      <c r="P26" s="3130"/>
      <c r="Q26" s="3130"/>
      <c r="R26" s="3130"/>
      <c r="S26" s="3130"/>
      <c r="T26" s="3130"/>
      <c r="U26" s="3130"/>
      <c r="V26" s="3130"/>
    </row>
    <row r="27" spans="1:22" s="3110" customFormat="1" ht="15.95" customHeight="1" x14ac:dyDescent="0.2">
      <c r="B27" s="3438"/>
      <c r="C27" s="3886"/>
      <c r="D27" s="4074" t="s">
        <v>1107</v>
      </c>
      <c r="E27" s="4075"/>
      <c r="F27" s="3887">
        <f>'[1]2.AppSummaryData'!$E$30</f>
        <v>100554875</v>
      </c>
      <c r="G27" s="3131"/>
      <c r="H27" s="3131"/>
      <c r="I27" s="3130"/>
      <c r="J27" s="3130"/>
      <c r="K27" s="3130"/>
      <c r="L27" s="3130"/>
      <c r="M27" s="3130"/>
      <c r="N27" s="3130"/>
      <c r="O27" s="3130"/>
      <c r="P27" s="3130"/>
      <c r="Q27" s="3130"/>
      <c r="R27" s="3130"/>
      <c r="S27" s="3130"/>
      <c r="T27" s="3130"/>
      <c r="U27" s="3130"/>
      <c r="V27" s="3130"/>
    </row>
    <row r="28" spans="1:22" s="3110" customFormat="1" ht="15.95" customHeight="1" x14ac:dyDescent="0.2">
      <c r="B28" s="3438"/>
      <c r="C28" s="3886"/>
      <c r="D28" s="3808" t="s">
        <v>1108</v>
      </c>
      <c r="E28" s="3808"/>
      <c r="F28" s="3872">
        <f>'[1]2.AppSummaryData'!$E$31</f>
        <v>73329963</v>
      </c>
      <c r="G28" s="3131"/>
      <c r="H28" s="3131"/>
      <c r="I28" s="3130"/>
      <c r="J28" s="3130"/>
      <c r="K28" s="3130"/>
      <c r="L28" s="3130"/>
      <c r="M28" s="3130"/>
      <c r="N28" s="3130"/>
      <c r="O28" s="3130"/>
      <c r="P28" s="3130"/>
      <c r="Q28" s="3130"/>
      <c r="R28" s="3130"/>
      <c r="S28" s="3130"/>
      <c r="T28" s="3130"/>
      <c r="U28" s="3130"/>
      <c r="V28" s="3130"/>
    </row>
    <row r="29" spans="1:22" s="3110" customFormat="1" ht="15.95" customHeight="1" thickBot="1" x14ac:dyDescent="0.25">
      <c r="B29" s="3888"/>
      <c r="C29" s="3889"/>
      <c r="D29" s="4076" t="s">
        <v>1109</v>
      </c>
      <c r="E29" s="4077"/>
      <c r="F29" s="3875">
        <f>'[1]2.AppSummaryData'!$E$32</f>
        <v>27224912</v>
      </c>
      <c r="G29" s="3131"/>
      <c r="H29" s="3131"/>
      <c r="I29" s="3130"/>
      <c r="J29" s="3130"/>
      <c r="K29" s="3130"/>
      <c r="L29" s="3130"/>
      <c r="M29" s="3130"/>
      <c r="N29" s="3130"/>
      <c r="O29" s="3130"/>
      <c r="P29" s="3130"/>
      <c r="Q29" s="3130"/>
      <c r="R29" s="3130"/>
      <c r="S29" s="3130"/>
      <c r="T29" s="3130"/>
      <c r="U29" s="3130"/>
      <c r="V29" s="3130"/>
    </row>
    <row r="30" spans="1:22" s="3110" customFormat="1" ht="15.95" customHeight="1" x14ac:dyDescent="0.2">
      <c r="A30" s="3130"/>
      <c r="B30" s="3130"/>
      <c r="C30" s="3130"/>
      <c r="D30" s="3130"/>
      <c r="E30" s="3130"/>
      <c r="F30" s="3131"/>
      <c r="G30" s="3131"/>
      <c r="H30" s="3131"/>
      <c r="I30" s="3130"/>
      <c r="J30" s="3130"/>
      <c r="K30" s="3130"/>
      <c r="L30" s="3130"/>
      <c r="M30" s="3130"/>
      <c r="N30" s="3130"/>
      <c r="O30" s="3130"/>
      <c r="P30" s="3130"/>
      <c r="Q30" s="3130"/>
      <c r="R30" s="3130"/>
      <c r="S30" s="3130"/>
      <c r="T30" s="3130"/>
      <c r="U30" s="3130"/>
      <c r="V30" s="3130"/>
    </row>
    <row r="31" spans="1:22" ht="20.100000000000001" customHeight="1" x14ac:dyDescent="0.2">
      <c r="A31" s="3104"/>
      <c r="B31" s="3104"/>
      <c r="C31" s="3104"/>
      <c r="D31" s="3104"/>
      <c r="E31" s="3104"/>
      <c r="F31" s="3128"/>
      <c r="G31" s="3128"/>
      <c r="H31" s="3128"/>
      <c r="I31" s="3104"/>
      <c r="J31" s="3104"/>
      <c r="K31" s="3104"/>
      <c r="L31" s="3104"/>
      <c r="M31" s="3104"/>
      <c r="N31" s="3104"/>
      <c r="O31" s="3104"/>
      <c r="P31" s="3104"/>
      <c r="Q31" s="3104"/>
      <c r="R31" s="3104"/>
      <c r="S31" s="3104"/>
      <c r="T31" s="3104"/>
      <c r="U31" s="3104"/>
      <c r="V31" s="3104"/>
    </row>
    <row r="32" spans="1:22" ht="20.100000000000001" customHeight="1" x14ac:dyDescent="0.2">
      <c r="A32" s="3104"/>
      <c r="B32" s="3104"/>
      <c r="C32" s="3104"/>
      <c r="D32" s="3104"/>
      <c r="E32" s="3104"/>
      <c r="F32" s="3128"/>
      <c r="G32" s="3128"/>
      <c r="H32" s="3128"/>
      <c r="I32" s="3104"/>
      <c r="J32" s="3104"/>
      <c r="K32" s="3104"/>
      <c r="L32" s="3104"/>
      <c r="M32" s="3104"/>
      <c r="N32" s="3104"/>
      <c r="O32" s="3104"/>
      <c r="P32" s="3104"/>
      <c r="Q32" s="3104"/>
      <c r="R32" s="3104"/>
      <c r="S32" s="3104"/>
      <c r="T32" s="3104"/>
      <c r="U32" s="3104"/>
      <c r="V32" s="3104"/>
    </row>
    <row r="33" spans="1:22" ht="20.100000000000001" customHeight="1" x14ac:dyDescent="0.2">
      <c r="A33" s="3104"/>
      <c r="B33" s="3104"/>
      <c r="C33" s="3104"/>
      <c r="D33" s="3104"/>
      <c r="E33" s="3104"/>
      <c r="F33" s="3128"/>
      <c r="G33" s="3128"/>
      <c r="H33" s="3128"/>
      <c r="I33" s="3104"/>
      <c r="J33" s="3104"/>
      <c r="K33" s="3104"/>
      <c r="L33" s="3104"/>
      <c r="M33" s="3104"/>
      <c r="N33" s="3104"/>
      <c r="O33" s="3104"/>
      <c r="P33" s="3104"/>
      <c r="Q33" s="3104"/>
      <c r="R33" s="3104"/>
      <c r="S33" s="3104"/>
      <c r="T33" s="3104"/>
      <c r="U33" s="3104"/>
      <c r="V33" s="3104"/>
    </row>
    <row r="34" spans="1:22" ht="20.100000000000001" customHeight="1" x14ac:dyDescent="0.2">
      <c r="A34" s="3104"/>
      <c r="B34" s="3104"/>
      <c r="C34" s="3104"/>
      <c r="D34" s="3104"/>
      <c r="E34" s="3104"/>
      <c r="F34" s="3128"/>
      <c r="G34" s="3128"/>
      <c r="H34" s="3128"/>
      <c r="I34" s="3104"/>
      <c r="J34" s="3104"/>
      <c r="K34" s="3104"/>
      <c r="L34" s="3104"/>
      <c r="M34" s="3104"/>
      <c r="N34" s="3104"/>
      <c r="O34" s="3104"/>
      <c r="P34" s="3104"/>
      <c r="Q34" s="3104"/>
      <c r="R34" s="3104"/>
      <c r="S34" s="3104"/>
      <c r="T34" s="3104"/>
      <c r="U34" s="3104"/>
      <c r="V34" s="3104"/>
    </row>
    <row r="35" spans="1:22" ht="20.100000000000001" customHeight="1" x14ac:dyDescent="0.2">
      <c r="A35" s="3104"/>
      <c r="B35" s="3104"/>
      <c r="C35" s="3104"/>
      <c r="D35" s="3104"/>
      <c r="E35" s="3104"/>
      <c r="F35" s="3128"/>
      <c r="G35" s="3128"/>
      <c r="H35" s="3128"/>
      <c r="I35" s="3104"/>
      <c r="J35" s="3104"/>
      <c r="K35" s="3104"/>
      <c r="L35" s="3104"/>
      <c r="M35" s="3104"/>
      <c r="N35" s="3104"/>
      <c r="O35" s="3104"/>
      <c r="P35" s="3104"/>
      <c r="Q35" s="3104"/>
      <c r="R35" s="3104"/>
      <c r="S35" s="3104"/>
      <c r="T35" s="3104"/>
      <c r="U35" s="3104"/>
      <c r="V35" s="3104"/>
    </row>
    <row r="36" spans="1:22" ht="20.100000000000001" customHeight="1" x14ac:dyDescent="0.2">
      <c r="A36" s="3104"/>
      <c r="B36" s="3104"/>
      <c r="C36" s="3104"/>
      <c r="D36" s="3104"/>
      <c r="E36" s="3128"/>
      <c r="F36" s="3128"/>
      <c r="G36" s="3128"/>
      <c r="H36" s="3104"/>
      <c r="I36" s="3104"/>
      <c r="J36" s="3104"/>
      <c r="K36" s="3104"/>
      <c r="L36" s="3104"/>
      <c r="M36" s="3104"/>
      <c r="N36" s="3104"/>
      <c r="O36" s="3104"/>
      <c r="P36" s="3104"/>
      <c r="Q36" s="3104"/>
      <c r="R36" s="3104"/>
      <c r="S36" s="3104"/>
      <c r="T36" s="3104"/>
      <c r="U36" s="3104"/>
    </row>
    <row r="37" spans="1:22" ht="20.100000000000001" customHeight="1" x14ac:dyDescent="0.2">
      <c r="A37" s="3104"/>
      <c r="B37" s="3128"/>
      <c r="C37" s="3128"/>
      <c r="D37" s="3128"/>
      <c r="E37" s="3128"/>
      <c r="F37" s="3104"/>
      <c r="G37" s="3104"/>
      <c r="H37" s="3104"/>
      <c r="I37" s="3104"/>
      <c r="J37" s="3104"/>
      <c r="K37" s="3104"/>
      <c r="L37" s="3104"/>
      <c r="M37" s="3104"/>
      <c r="N37" s="3104"/>
      <c r="O37" s="3104"/>
      <c r="P37" s="3104"/>
      <c r="Q37" s="3104"/>
      <c r="R37" s="3104"/>
    </row>
    <row r="38" spans="1:22" ht="20.100000000000001" customHeight="1" x14ac:dyDescent="0.2">
      <c r="A38" s="3104"/>
      <c r="B38" s="3128"/>
      <c r="C38" s="3128"/>
      <c r="D38" s="3128"/>
      <c r="E38" s="3128"/>
      <c r="F38" s="3104"/>
      <c r="G38" s="3104"/>
      <c r="H38" s="3104"/>
      <c r="I38" s="3104"/>
      <c r="J38" s="3104"/>
      <c r="K38" s="3104"/>
      <c r="L38" s="3104"/>
      <c r="M38" s="3104"/>
      <c r="N38" s="3104"/>
      <c r="O38" s="3104"/>
      <c r="P38" s="3104"/>
      <c r="Q38" s="3104"/>
      <c r="R38" s="3104"/>
    </row>
    <row r="39" spans="1:22" ht="20.100000000000001" customHeight="1" x14ac:dyDescent="0.2">
      <c r="A39" s="3104"/>
      <c r="B39" s="3128"/>
      <c r="C39" s="3128"/>
      <c r="D39" s="3128"/>
      <c r="E39" s="3128"/>
      <c r="F39" s="3104"/>
      <c r="G39" s="3104"/>
      <c r="H39" s="3104"/>
      <c r="I39" s="3104"/>
      <c r="J39" s="3104"/>
      <c r="K39" s="3104"/>
      <c r="L39" s="3104"/>
      <c r="M39" s="3104"/>
      <c r="N39" s="3104"/>
      <c r="O39" s="3104"/>
      <c r="P39" s="3104"/>
      <c r="Q39" s="3104"/>
      <c r="R39" s="3104"/>
    </row>
    <row r="40" spans="1:22" ht="20.100000000000001" customHeight="1" x14ac:dyDescent="0.2">
      <c r="A40" s="3104"/>
      <c r="B40" s="3128"/>
      <c r="C40" s="3128"/>
      <c r="D40" s="3128"/>
      <c r="E40" s="3128"/>
      <c r="F40" s="3104"/>
      <c r="G40" s="3104"/>
      <c r="H40" s="3104"/>
      <c r="I40" s="3104"/>
      <c r="J40" s="3104"/>
      <c r="K40" s="3104"/>
      <c r="L40" s="3104"/>
      <c r="M40" s="3104"/>
      <c r="N40" s="3104"/>
      <c r="O40" s="3104"/>
      <c r="P40" s="3104"/>
      <c r="Q40" s="3104"/>
      <c r="R40" s="3104"/>
    </row>
    <row r="41" spans="1:22" ht="20.100000000000001" customHeight="1" x14ac:dyDescent="0.2">
      <c r="A41" s="3104"/>
      <c r="B41" s="3104"/>
      <c r="C41" s="3104"/>
      <c r="D41" s="3104"/>
      <c r="E41" s="3128"/>
      <c r="F41" s="3128"/>
      <c r="G41" s="3128"/>
      <c r="H41" s="3104"/>
      <c r="I41" s="3104"/>
      <c r="J41" s="3104"/>
      <c r="K41" s="3104"/>
      <c r="L41" s="3104"/>
      <c r="M41" s="3104"/>
      <c r="N41" s="3104"/>
      <c r="O41" s="3104"/>
      <c r="P41" s="3104"/>
      <c r="Q41" s="3104"/>
      <c r="R41" s="3104"/>
      <c r="S41" s="3104"/>
      <c r="T41" s="3104"/>
      <c r="U41" s="3104"/>
    </row>
    <row r="42" spans="1:22" ht="20.100000000000001" customHeight="1" x14ac:dyDescent="0.2">
      <c r="A42" s="3104"/>
      <c r="B42" s="3104"/>
      <c r="C42" s="3104"/>
      <c r="D42" s="3104"/>
      <c r="E42" s="3128"/>
      <c r="F42" s="3128"/>
      <c r="G42" s="3128"/>
      <c r="H42" s="3104"/>
      <c r="I42" s="3104"/>
      <c r="J42" s="3104"/>
      <c r="K42" s="3104"/>
      <c r="L42" s="3104"/>
      <c r="M42" s="3104"/>
      <c r="N42" s="3104"/>
      <c r="O42" s="3104"/>
      <c r="P42" s="3104"/>
      <c r="Q42" s="3104"/>
      <c r="R42" s="3104"/>
      <c r="S42" s="3104"/>
      <c r="T42" s="3104"/>
      <c r="U42" s="3104"/>
    </row>
    <row r="43" spans="1:22" ht="20.100000000000001" customHeight="1" x14ac:dyDescent="0.2">
      <c r="A43" s="3104"/>
      <c r="B43" s="3104"/>
      <c r="C43" s="3104"/>
      <c r="D43" s="3104"/>
      <c r="E43" s="3104"/>
      <c r="F43" s="3128"/>
      <c r="G43" s="3128"/>
      <c r="H43" s="3128"/>
      <c r="I43" s="3104"/>
      <c r="J43" s="3104"/>
      <c r="K43" s="3104"/>
      <c r="L43" s="3104"/>
      <c r="M43" s="3104"/>
      <c r="N43" s="3104"/>
      <c r="O43" s="3104"/>
      <c r="P43" s="3104"/>
      <c r="Q43" s="3104"/>
      <c r="R43" s="3104"/>
      <c r="S43" s="3104"/>
      <c r="T43" s="3104"/>
      <c r="U43" s="3104"/>
      <c r="V43" s="3104"/>
    </row>
    <row r="44" spans="1:22" ht="20.100000000000001" customHeight="1" x14ac:dyDescent="0.2">
      <c r="A44" s="3104"/>
      <c r="B44" s="3104"/>
      <c r="C44" s="3104"/>
      <c r="D44" s="3104"/>
      <c r="E44" s="3104"/>
      <c r="F44" s="3128"/>
      <c r="G44" s="3128"/>
      <c r="H44" s="3128"/>
      <c r="I44" s="3104"/>
      <c r="J44" s="3104"/>
      <c r="K44" s="3104"/>
      <c r="L44" s="3104"/>
      <c r="M44" s="3104"/>
      <c r="N44" s="3104"/>
      <c r="O44" s="3104"/>
      <c r="P44" s="3104"/>
      <c r="Q44" s="3104"/>
      <c r="R44" s="3104"/>
      <c r="S44" s="3104"/>
      <c r="T44" s="3104"/>
      <c r="U44" s="3104"/>
      <c r="V44" s="3104"/>
    </row>
    <row r="45" spans="1:22" ht="20.100000000000001" customHeight="1" x14ac:dyDescent="0.2">
      <c r="A45" s="3104"/>
      <c r="B45" s="3104"/>
      <c r="C45" s="3104"/>
      <c r="D45" s="3104"/>
      <c r="E45" s="3104"/>
      <c r="F45" s="3128"/>
      <c r="G45" s="3128"/>
      <c r="H45" s="3128"/>
      <c r="I45" s="3104"/>
      <c r="J45" s="3104"/>
      <c r="K45" s="3104"/>
      <c r="L45" s="3104"/>
      <c r="M45" s="3104"/>
      <c r="N45" s="3104"/>
      <c r="O45" s="3104"/>
      <c r="P45" s="3104"/>
      <c r="Q45" s="3104"/>
      <c r="R45" s="3104"/>
      <c r="S45" s="3104"/>
      <c r="T45" s="3104"/>
      <c r="U45" s="3104"/>
      <c r="V45" s="3104"/>
    </row>
    <row r="46" spans="1:22" ht="20.100000000000001" customHeight="1" x14ac:dyDescent="0.2">
      <c r="A46" s="3104"/>
      <c r="B46" s="3104"/>
      <c r="C46" s="3104"/>
      <c r="D46" s="3104"/>
      <c r="E46" s="3104"/>
      <c r="F46" s="3128"/>
      <c r="G46" s="3128"/>
      <c r="H46" s="3128"/>
      <c r="I46" s="3104"/>
      <c r="J46" s="3104"/>
      <c r="K46" s="3104"/>
      <c r="L46" s="3104"/>
      <c r="M46" s="3104"/>
      <c r="N46" s="3104"/>
      <c r="O46" s="3104"/>
      <c r="P46" s="3104"/>
      <c r="Q46" s="3104"/>
      <c r="R46" s="3104"/>
      <c r="S46" s="3104"/>
      <c r="T46" s="3104"/>
      <c r="U46" s="3104"/>
      <c r="V46" s="3104"/>
    </row>
    <row r="47" spans="1:22" ht="20.100000000000001" customHeight="1" x14ac:dyDescent="0.2">
      <c r="A47" s="3104"/>
      <c r="B47" s="3104"/>
      <c r="C47" s="3104"/>
      <c r="D47" s="3104"/>
      <c r="E47" s="3104"/>
      <c r="F47" s="3128"/>
      <c r="G47" s="3128"/>
      <c r="H47" s="3128"/>
      <c r="I47" s="3104"/>
      <c r="J47" s="3104"/>
      <c r="K47" s="3104"/>
      <c r="L47" s="3104"/>
      <c r="M47" s="3104"/>
      <c r="N47" s="3104"/>
      <c r="O47" s="3104"/>
      <c r="P47" s="3104"/>
      <c r="Q47" s="3104"/>
      <c r="R47" s="3104"/>
      <c r="S47" s="3104"/>
      <c r="T47" s="3104"/>
      <c r="U47" s="3104"/>
      <c r="V47" s="3104"/>
    </row>
    <row r="48" spans="1:22" ht="20.100000000000001" customHeight="1" x14ac:dyDescent="0.2">
      <c r="A48" s="3104"/>
      <c r="B48" s="3104"/>
      <c r="C48" s="3104"/>
      <c r="D48" s="3104"/>
      <c r="E48" s="3104"/>
      <c r="F48" s="3128"/>
      <c r="G48" s="3128"/>
      <c r="H48" s="3128"/>
      <c r="I48" s="3104"/>
      <c r="J48" s="3104"/>
      <c r="K48" s="3104"/>
      <c r="L48" s="3104"/>
      <c r="M48" s="3104"/>
      <c r="N48" s="3104"/>
      <c r="O48" s="3104"/>
      <c r="P48" s="3104"/>
      <c r="Q48" s="3104"/>
      <c r="R48" s="3104"/>
      <c r="S48" s="3104"/>
      <c r="T48" s="3104"/>
      <c r="U48" s="3104"/>
      <c r="V48" s="3104"/>
    </row>
    <row r="49" spans="1:23" ht="20.100000000000001" customHeight="1" x14ac:dyDescent="0.2">
      <c r="A49" s="3104"/>
      <c r="B49" s="3104"/>
      <c r="C49" s="3104"/>
      <c r="D49" s="3104"/>
      <c r="E49" s="3104"/>
      <c r="F49" s="3128"/>
      <c r="G49" s="3128"/>
      <c r="H49" s="3128"/>
      <c r="I49" s="3104"/>
      <c r="J49" s="3104"/>
      <c r="K49" s="3104"/>
      <c r="L49" s="3104"/>
      <c r="M49" s="3104"/>
      <c r="N49" s="3104"/>
      <c r="O49" s="3104"/>
      <c r="P49" s="3104"/>
      <c r="Q49" s="3104"/>
      <c r="R49" s="3104"/>
      <c r="S49" s="3104"/>
      <c r="T49" s="3104"/>
      <c r="U49" s="3104"/>
      <c r="V49" s="3104"/>
    </row>
    <row r="50" spans="1:23" ht="20.100000000000001" customHeight="1" x14ac:dyDescent="0.2">
      <c r="A50" s="3104"/>
      <c r="B50" s="3104"/>
      <c r="C50" s="3104"/>
      <c r="D50" s="3104"/>
      <c r="E50" s="3104"/>
      <c r="F50" s="3128"/>
      <c r="G50" s="3128"/>
      <c r="H50" s="3128"/>
      <c r="I50" s="3104"/>
      <c r="J50" s="3104"/>
      <c r="K50" s="3104"/>
      <c r="L50" s="3104"/>
      <c r="M50" s="3104"/>
      <c r="N50" s="3104"/>
      <c r="O50" s="3104"/>
      <c r="P50" s="3104"/>
      <c r="Q50" s="3104"/>
      <c r="R50" s="3104"/>
      <c r="S50" s="3104"/>
      <c r="T50" s="3104"/>
      <c r="U50" s="3104"/>
      <c r="V50" s="3104"/>
    </row>
    <row r="51" spans="1:23" ht="20.100000000000001" customHeight="1" x14ac:dyDescent="0.2">
      <c r="A51" s="3104"/>
      <c r="B51" s="3104"/>
      <c r="C51" s="3104"/>
      <c r="D51" s="3104"/>
      <c r="E51" s="3104"/>
      <c r="F51" s="3128"/>
      <c r="G51" s="3128"/>
      <c r="H51" s="3128"/>
      <c r="I51" s="3104"/>
      <c r="J51" s="3104"/>
      <c r="K51" s="3104"/>
      <c r="L51" s="3104"/>
      <c r="M51" s="3104"/>
      <c r="N51" s="3104"/>
      <c r="O51" s="3104"/>
      <c r="P51" s="3104"/>
      <c r="Q51" s="3104"/>
      <c r="R51" s="3104"/>
      <c r="S51" s="3104"/>
      <c r="T51" s="3104"/>
      <c r="U51" s="3104"/>
      <c r="V51" s="3104"/>
    </row>
    <row r="52" spans="1:23" x14ac:dyDescent="0.2">
      <c r="A52" s="3104"/>
      <c r="B52" s="3104"/>
      <c r="C52" s="3104"/>
      <c r="D52" s="3104"/>
      <c r="E52" s="3104"/>
      <c r="F52" s="3128"/>
      <c r="G52" s="3128"/>
      <c r="H52" s="3128"/>
      <c r="I52" s="3104"/>
      <c r="J52" s="3104"/>
      <c r="K52" s="3104"/>
      <c r="L52" s="3104"/>
      <c r="M52" s="3104"/>
      <c r="N52" s="3104"/>
      <c r="O52" s="3104"/>
      <c r="P52" s="3104"/>
      <c r="Q52" s="3104"/>
      <c r="R52" s="3104"/>
      <c r="S52" s="3104"/>
      <c r="T52" s="3104"/>
      <c r="U52" s="3104"/>
      <c r="V52" s="3104"/>
    </row>
    <row r="53" spans="1:23" x14ac:dyDescent="0.2">
      <c r="A53" s="3104"/>
      <c r="B53" s="3104"/>
      <c r="C53" s="3104"/>
      <c r="D53" s="3104"/>
      <c r="E53" s="3104"/>
      <c r="F53" s="3128"/>
      <c r="G53" s="3128"/>
      <c r="H53" s="3128"/>
      <c r="I53" s="3128"/>
      <c r="J53" s="3104"/>
      <c r="K53" s="3104"/>
      <c r="L53" s="3104"/>
      <c r="M53" s="3104"/>
      <c r="N53" s="3104"/>
      <c r="O53" s="3104"/>
      <c r="P53" s="3104"/>
      <c r="Q53" s="3104"/>
      <c r="R53" s="3104"/>
      <c r="S53" s="3104"/>
      <c r="T53" s="3104"/>
      <c r="U53" s="3104"/>
      <c r="V53" s="3104"/>
      <c r="W53" s="3104"/>
    </row>
    <row r="54" spans="1:23" x14ac:dyDescent="0.2">
      <c r="A54" s="3104"/>
      <c r="B54" s="3104"/>
      <c r="C54" s="3104"/>
      <c r="D54" s="3104"/>
      <c r="E54" s="3104"/>
      <c r="F54" s="3128"/>
      <c r="G54" s="3128"/>
      <c r="H54" s="3128"/>
      <c r="I54" s="3128"/>
      <c r="J54" s="3104"/>
      <c r="K54" s="3104"/>
      <c r="L54" s="3104"/>
      <c r="M54" s="3104"/>
      <c r="N54" s="3104"/>
      <c r="O54" s="3104"/>
      <c r="P54" s="3104"/>
      <c r="Q54" s="3104"/>
      <c r="R54" s="3104"/>
      <c r="S54" s="3104"/>
      <c r="T54" s="3104"/>
      <c r="U54" s="3104"/>
      <c r="V54" s="3104"/>
      <c r="W54" s="3104"/>
    </row>
    <row r="55" spans="1:23" x14ac:dyDescent="0.2">
      <c r="A55" s="3104"/>
      <c r="B55" s="3104"/>
      <c r="C55" s="3104"/>
      <c r="D55" s="3104"/>
      <c r="E55" s="3104"/>
      <c r="F55" s="3128"/>
      <c r="G55" s="3128"/>
      <c r="H55" s="3128"/>
      <c r="I55" s="3128"/>
      <c r="J55" s="3104"/>
      <c r="K55" s="3104"/>
      <c r="L55" s="3104"/>
      <c r="M55" s="3104"/>
      <c r="N55" s="3104"/>
      <c r="O55" s="3104"/>
      <c r="P55" s="3104"/>
      <c r="Q55" s="3104"/>
      <c r="R55" s="3104"/>
      <c r="S55" s="3104"/>
      <c r="T55" s="3104"/>
      <c r="U55" s="3104"/>
      <c r="V55" s="3104"/>
      <c r="W55" s="3104"/>
    </row>
    <row r="56" spans="1:23" x14ac:dyDescent="0.2">
      <c r="A56" s="3104"/>
      <c r="B56" s="3104"/>
      <c r="C56" s="3104"/>
      <c r="D56" s="3104"/>
      <c r="E56" s="3104"/>
      <c r="F56" s="3128"/>
      <c r="G56" s="3128"/>
      <c r="H56" s="3128"/>
      <c r="I56" s="3128"/>
      <c r="J56" s="3104"/>
      <c r="K56" s="3104"/>
      <c r="L56" s="3104"/>
      <c r="M56" s="3104"/>
      <c r="N56" s="3104"/>
      <c r="O56" s="3104"/>
      <c r="P56" s="3104"/>
      <c r="Q56" s="3104"/>
      <c r="R56" s="3104"/>
      <c r="S56" s="3104"/>
      <c r="T56" s="3104"/>
      <c r="U56" s="3104"/>
      <c r="V56" s="3104"/>
      <c r="W56" s="3104"/>
    </row>
    <row r="57" spans="1:23" x14ac:dyDescent="0.2">
      <c r="A57" s="3104"/>
      <c r="B57" s="3104"/>
      <c r="C57" s="3104"/>
      <c r="D57" s="3104"/>
      <c r="E57" s="3104"/>
      <c r="F57" s="3128"/>
      <c r="G57" s="3128"/>
      <c r="H57" s="3128"/>
      <c r="I57" s="3128"/>
      <c r="J57" s="3104"/>
      <c r="K57" s="3104"/>
      <c r="L57" s="3104"/>
      <c r="M57" s="3104"/>
      <c r="N57" s="3104"/>
      <c r="O57" s="3104"/>
      <c r="P57" s="3104"/>
      <c r="Q57" s="3104"/>
      <c r="R57" s="3104"/>
      <c r="S57" s="3104"/>
      <c r="T57" s="3104"/>
      <c r="U57" s="3104"/>
      <c r="V57" s="3104"/>
      <c r="W57" s="3104"/>
    </row>
    <row r="58" spans="1:23" x14ac:dyDescent="0.2">
      <c r="A58" s="3095"/>
      <c r="B58" s="3104"/>
      <c r="C58" s="3104"/>
      <c r="D58" s="3104"/>
      <c r="E58" s="3104"/>
      <c r="F58" s="3128"/>
      <c r="G58" s="3128"/>
      <c r="H58" s="3128"/>
      <c r="I58" s="3128"/>
      <c r="J58" s="3104"/>
      <c r="K58" s="3104"/>
      <c r="L58" s="3104"/>
      <c r="M58" s="3104"/>
      <c r="N58" s="3104"/>
      <c r="O58" s="3104"/>
      <c r="P58" s="3104"/>
      <c r="Q58" s="3104"/>
      <c r="R58" s="3104"/>
      <c r="S58" s="3104"/>
      <c r="T58" s="3104"/>
      <c r="U58" s="3104"/>
      <c r="V58" s="3104"/>
      <c r="W58" s="3104"/>
    </row>
    <row r="59" spans="1:23" x14ac:dyDescent="0.2">
      <c r="A59" s="3095"/>
      <c r="B59" s="3104"/>
      <c r="C59" s="3104"/>
      <c r="D59" s="3104"/>
      <c r="E59" s="3104"/>
      <c r="F59" s="3128"/>
      <c r="G59" s="3128"/>
      <c r="H59" s="3128"/>
      <c r="I59" s="3128"/>
      <c r="J59" s="3104"/>
      <c r="K59" s="3104"/>
      <c r="L59" s="3104"/>
      <c r="M59" s="3104"/>
      <c r="N59" s="3104"/>
      <c r="O59" s="3104"/>
      <c r="P59" s="3104"/>
      <c r="Q59" s="3104"/>
      <c r="R59" s="3104"/>
      <c r="S59" s="3104"/>
      <c r="T59" s="3104"/>
      <c r="U59" s="3104"/>
      <c r="V59" s="3104"/>
      <c r="W59" s="3104"/>
    </row>
    <row r="60" spans="1:23" x14ac:dyDescent="0.2">
      <c r="A60" s="3104"/>
      <c r="B60" s="3104"/>
      <c r="C60" s="3104"/>
      <c r="D60" s="3104"/>
      <c r="E60" s="3104"/>
      <c r="F60" s="3128"/>
      <c r="G60" s="3128"/>
      <c r="H60" s="3128"/>
      <c r="I60" s="3128"/>
      <c r="J60" s="3104"/>
      <c r="K60" s="3104"/>
      <c r="L60" s="3104"/>
      <c r="M60" s="3104"/>
      <c r="N60" s="3104"/>
      <c r="O60" s="3104"/>
      <c r="P60" s="3104"/>
      <c r="Q60" s="3104"/>
      <c r="R60" s="3104"/>
      <c r="S60" s="3104"/>
      <c r="T60" s="3104"/>
      <c r="U60" s="3104"/>
      <c r="V60" s="3104"/>
      <c r="W60" s="3104"/>
    </row>
    <row r="61" spans="1:23" x14ac:dyDescent="0.2">
      <c r="A61" s="3104"/>
      <c r="B61" s="3104"/>
      <c r="C61" s="3104"/>
      <c r="D61" s="3104"/>
      <c r="E61" s="3104"/>
      <c r="F61" s="3104"/>
      <c r="G61" s="3104"/>
      <c r="H61" s="3104"/>
      <c r="I61" s="3104"/>
      <c r="J61" s="3104"/>
      <c r="K61" s="3104"/>
      <c r="L61" s="3104"/>
      <c r="M61" s="3104"/>
      <c r="N61" s="3104"/>
      <c r="O61" s="3104"/>
      <c r="P61" s="3104"/>
      <c r="Q61" s="3104"/>
      <c r="R61" s="3104"/>
      <c r="S61" s="3104"/>
      <c r="T61" s="3104"/>
      <c r="U61" s="3104"/>
      <c r="V61" s="3104"/>
      <c r="W61" s="3104"/>
    </row>
    <row r="62" spans="1:23" x14ac:dyDescent="0.2">
      <c r="A62" s="3104"/>
      <c r="B62" s="3104"/>
      <c r="C62" s="3104"/>
      <c r="D62" s="3104"/>
      <c r="E62" s="3104"/>
      <c r="F62" s="3104"/>
      <c r="G62" s="3104"/>
      <c r="H62" s="3104"/>
      <c r="I62" s="3104"/>
      <c r="J62" s="3104"/>
      <c r="K62" s="3104"/>
      <c r="L62" s="3104"/>
      <c r="M62" s="3104"/>
      <c r="N62" s="3104"/>
      <c r="O62" s="3104"/>
      <c r="P62" s="3104"/>
      <c r="Q62" s="3104"/>
      <c r="R62" s="3104"/>
      <c r="S62" s="3104"/>
      <c r="T62" s="3104"/>
      <c r="U62" s="3104"/>
      <c r="V62" s="3104"/>
      <c r="W62" s="3104"/>
    </row>
  </sheetData>
  <mergeCells count="29">
    <mergeCell ref="B17:C17"/>
    <mergeCell ref="B22:C22"/>
    <mergeCell ref="B18:C18"/>
    <mergeCell ref="D18:F18"/>
    <mergeCell ref="D15:E15"/>
    <mergeCell ref="D16:E16"/>
    <mergeCell ref="D17:E17"/>
    <mergeCell ref="B1:F1"/>
    <mergeCell ref="B2:F2"/>
    <mergeCell ref="D13:E13"/>
    <mergeCell ref="D14:E14"/>
    <mergeCell ref="B3:F3"/>
    <mergeCell ref="B4:B5"/>
    <mergeCell ref="C4:C5"/>
    <mergeCell ref="D4:D5"/>
    <mergeCell ref="E4:E5"/>
    <mergeCell ref="F4:F5"/>
    <mergeCell ref="B12:C12"/>
    <mergeCell ref="D12:F12"/>
    <mergeCell ref="D27:E27"/>
    <mergeCell ref="D29:E29"/>
    <mergeCell ref="D20:E20"/>
    <mergeCell ref="D19:E19"/>
    <mergeCell ref="D21:E21"/>
    <mergeCell ref="D22:E22"/>
    <mergeCell ref="D26:F26"/>
    <mergeCell ref="D23:E23"/>
    <mergeCell ref="D24:E24"/>
    <mergeCell ref="D25:E25"/>
  </mergeCells>
  <printOptions horizontalCentered="1"/>
  <pageMargins left="0.75" right="0.75" top="1" bottom="1" header="0.5" footer="0.5"/>
  <pageSetup scale="79"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pageSetUpPr fitToPage="1"/>
  </sheetPr>
  <dimension ref="A1:AM235"/>
  <sheetViews>
    <sheetView workbookViewId="0">
      <selection sqref="A1:S2"/>
    </sheetView>
  </sheetViews>
  <sheetFormatPr defaultRowHeight="12.75" x14ac:dyDescent="0.2"/>
  <cols>
    <col min="1" max="1" width="32.28515625" customWidth="1"/>
    <col min="5" max="5" width="16" style="4" bestFit="1" customWidth="1"/>
    <col min="6" max="6" width="14" style="3" customWidth="1"/>
    <col min="7" max="8" width="11.28515625" style="1" bestFit="1" customWidth="1"/>
    <col min="9" max="9" width="11.7109375" style="1" bestFit="1" customWidth="1"/>
    <col min="10" max="11" width="12.28515625" style="1" bestFit="1" customWidth="1"/>
    <col min="12" max="14" width="11.5703125" style="1" customWidth="1"/>
    <col min="15" max="15" width="14" style="266" bestFit="1" customWidth="1"/>
    <col min="16" max="17" width="10.140625" style="1" bestFit="1" customWidth="1"/>
    <col min="18" max="18" width="11.140625" style="1" bestFit="1" customWidth="1"/>
    <col min="19" max="19" width="11.28515625" style="1" bestFit="1" customWidth="1"/>
    <col min="20" max="20" width="11.5703125" style="1" bestFit="1" customWidth="1"/>
    <col min="21" max="22" width="11.5703125" style="1" customWidth="1"/>
    <col min="23" max="23" width="12.5703125" style="1" customWidth="1"/>
    <col min="24" max="24" width="12.28515625" style="266" customWidth="1"/>
    <col min="25" max="25" width="11.5703125" style="301" customWidth="1"/>
    <col min="26" max="26" width="12.85546875" style="1" bestFit="1" customWidth="1"/>
    <col min="27" max="27" width="12" style="1" bestFit="1" customWidth="1"/>
    <col min="28" max="28" width="12" style="263" bestFit="1" customWidth="1"/>
    <col min="29" max="29" width="12.28515625" style="266" bestFit="1" customWidth="1"/>
    <col min="30" max="30" width="14" style="266" bestFit="1" customWidth="1"/>
    <col min="31" max="31" width="9.28515625" style="43" bestFit="1" customWidth="1"/>
    <col min="32" max="32" width="9.28515625" style="389" bestFit="1" customWidth="1"/>
    <col min="33" max="33" width="13.85546875" style="283" bestFit="1" customWidth="1"/>
    <col min="34" max="34" width="11.5703125" style="1" bestFit="1" customWidth="1"/>
    <col min="35" max="35" width="12.5703125" style="1" bestFit="1" customWidth="1"/>
    <col min="36" max="36" width="11.85546875" style="1" bestFit="1" customWidth="1"/>
    <col min="37" max="37" width="11.28515625" style="278" bestFit="1" customWidth="1"/>
    <col min="38" max="38" width="13" style="6" bestFit="1" customWidth="1"/>
    <col min="39" max="39" width="11.42578125" style="263" bestFit="1" customWidth="1"/>
  </cols>
  <sheetData>
    <row r="1" spans="1:39" x14ac:dyDescent="0.2">
      <c r="A1" s="4311" t="s">
        <v>353</v>
      </c>
      <c r="B1" s="4324"/>
      <c r="C1" s="4324"/>
      <c r="D1" s="4324"/>
      <c r="E1" s="4324"/>
      <c r="F1" s="4324"/>
      <c r="G1" s="4324"/>
      <c r="H1" s="4324"/>
      <c r="I1" s="4324"/>
      <c r="J1" s="4324"/>
      <c r="K1" s="4324"/>
      <c r="L1" s="4324"/>
      <c r="M1" s="4324"/>
      <c r="N1" s="4324"/>
      <c r="O1" s="4324"/>
      <c r="P1" s="4324"/>
      <c r="Q1" s="4324"/>
      <c r="R1" s="4324"/>
      <c r="S1" s="4325"/>
    </row>
    <row r="2" spans="1:39" ht="13.5" thickBot="1" x14ac:dyDescent="0.25">
      <c r="A2" s="4326"/>
      <c r="B2" s="4327"/>
      <c r="C2" s="4327"/>
      <c r="D2" s="4327"/>
      <c r="E2" s="4327"/>
      <c r="F2" s="4327"/>
      <c r="G2" s="4327"/>
      <c r="H2" s="4327"/>
      <c r="I2" s="4327"/>
      <c r="J2" s="4327"/>
      <c r="K2" s="4327"/>
      <c r="L2" s="4327"/>
      <c r="M2" s="4327"/>
      <c r="N2" s="4327"/>
      <c r="O2" s="4327"/>
      <c r="P2" s="4327"/>
      <c r="Q2" s="4327"/>
      <c r="R2" s="4327"/>
      <c r="S2" s="4334"/>
      <c r="AH2" s="4335" t="s">
        <v>301</v>
      </c>
      <c r="AI2" s="4335"/>
      <c r="AJ2" s="4335"/>
      <c r="AK2" s="4336" t="s">
        <v>313</v>
      </c>
      <c r="AL2" s="4337"/>
      <c r="AM2" s="4338"/>
    </row>
    <row r="3" spans="1:39" ht="13.5" thickTop="1" x14ac:dyDescent="0.2">
      <c r="A3" s="8" t="s">
        <v>2</v>
      </c>
      <c r="B3" s="12" t="s">
        <v>42</v>
      </c>
      <c r="C3" s="12"/>
      <c r="D3" s="53" t="s">
        <v>43</v>
      </c>
      <c r="E3" s="414" t="s">
        <v>301</v>
      </c>
      <c r="F3" s="282" t="s">
        <v>308</v>
      </c>
      <c r="G3" s="44" t="s">
        <v>79</v>
      </c>
      <c r="H3" s="44"/>
      <c r="I3" s="44"/>
      <c r="J3" s="44"/>
      <c r="K3" s="44"/>
      <c r="L3" s="44"/>
      <c r="M3" s="44"/>
      <c r="N3" s="44"/>
      <c r="O3" s="264"/>
      <c r="P3" s="44" t="s">
        <v>80</v>
      </c>
      <c r="Q3" s="44"/>
      <c r="R3" s="44"/>
      <c r="S3" s="44"/>
      <c r="T3" s="44"/>
      <c r="U3" s="44"/>
      <c r="V3" s="44"/>
      <c r="W3" s="44"/>
      <c r="X3" s="264"/>
      <c r="Y3" s="302" t="s">
        <v>354</v>
      </c>
      <c r="Z3" s="45" t="s">
        <v>103</v>
      </c>
      <c r="AA3" s="45"/>
      <c r="AB3" s="267"/>
      <c r="AC3" s="269" t="s">
        <v>75</v>
      </c>
      <c r="AD3" s="270" t="s">
        <v>71</v>
      </c>
      <c r="AE3" s="47" t="s">
        <v>43</v>
      </c>
      <c r="AF3" s="424" t="s">
        <v>101</v>
      </c>
      <c r="AG3" s="1880" t="s">
        <v>69</v>
      </c>
      <c r="AH3" s="48" t="s">
        <v>82</v>
      </c>
      <c r="AI3" s="49" t="s">
        <v>71</v>
      </c>
      <c r="AJ3" s="50" t="s">
        <v>84</v>
      </c>
      <c r="AK3" s="274" t="s">
        <v>82</v>
      </c>
      <c r="AL3" s="275" t="s">
        <v>71</v>
      </c>
      <c r="AM3" s="276" t="s">
        <v>84</v>
      </c>
    </row>
    <row r="4" spans="1:39" ht="14.25" customHeight="1" thickBot="1" x14ac:dyDescent="0.25">
      <c r="A4" s="9" t="s">
        <v>3</v>
      </c>
      <c r="B4" s="13" t="s">
        <v>4</v>
      </c>
      <c r="C4" s="13" t="s">
        <v>5</v>
      </c>
      <c r="D4" s="54" t="s">
        <v>4</v>
      </c>
      <c r="E4" s="415" t="s">
        <v>6</v>
      </c>
      <c r="F4" s="282" t="s">
        <v>6</v>
      </c>
      <c r="G4" s="262">
        <v>2007</v>
      </c>
      <c r="H4" s="262">
        <v>2008</v>
      </c>
      <c r="I4" s="262">
        <v>2009</v>
      </c>
      <c r="J4" s="262">
        <v>2010</v>
      </c>
      <c r="K4" s="262">
        <v>2011</v>
      </c>
      <c r="L4" s="262">
        <v>2012</v>
      </c>
      <c r="M4" s="585" t="s">
        <v>653</v>
      </c>
      <c r="N4" s="585" t="s">
        <v>656</v>
      </c>
      <c r="O4" s="265" t="s">
        <v>69</v>
      </c>
      <c r="P4" s="262">
        <v>2007</v>
      </c>
      <c r="Q4" s="262">
        <v>2008</v>
      </c>
      <c r="R4" s="585" t="s">
        <v>460</v>
      </c>
      <c r="S4" s="262">
        <v>2010</v>
      </c>
      <c r="T4" s="262">
        <v>2011</v>
      </c>
      <c r="U4" s="262">
        <v>2012</v>
      </c>
      <c r="V4" s="585" t="s">
        <v>653</v>
      </c>
      <c r="W4" s="585" t="s">
        <v>656</v>
      </c>
      <c r="X4" s="265" t="s">
        <v>69</v>
      </c>
      <c r="Y4" s="302" t="s">
        <v>355</v>
      </c>
      <c r="Z4" s="46" t="s">
        <v>54</v>
      </c>
      <c r="AA4" s="46" t="s">
        <v>73</v>
      </c>
      <c r="AB4" s="268" t="s">
        <v>74</v>
      </c>
      <c r="AC4" s="269" t="s">
        <v>76</v>
      </c>
      <c r="AD4" s="270" t="s">
        <v>99</v>
      </c>
      <c r="AE4" s="47" t="s">
        <v>78</v>
      </c>
      <c r="AF4" s="424" t="s">
        <v>102</v>
      </c>
      <c r="AG4" s="1880" t="s">
        <v>81</v>
      </c>
      <c r="AH4" s="48" t="s">
        <v>86</v>
      </c>
      <c r="AI4" s="49" t="s">
        <v>82</v>
      </c>
      <c r="AJ4" s="50" t="s">
        <v>85</v>
      </c>
      <c r="AK4" s="274" t="s">
        <v>86</v>
      </c>
      <c r="AL4" s="275" t="s">
        <v>82</v>
      </c>
      <c r="AM4" s="276" t="s">
        <v>85</v>
      </c>
    </row>
    <row r="5" spans="1:39" ht="14.25" thickTop="1" thickBot="1" x14ac:dyDescent="0.25">
      <c r="A5" s="20"/>
      <c r="B5" s="21"/>
      <c r="C5" s="21"/>
      <c r="D5" s="21"/>
      <c r="E5" s="416"/>
      <c r="F5" s="286"/>
      <c r="AC5" s="269" t="s">
        <v>77</v>
      </c>
      <c r="AD5" s="270" t="s">
        <v>100</v>
      </c>
      <c r="AH5" s="51" t="s">
        <v>87</v>
      </c>
      <c r="AI5" s="49" t="s">
        <v>83</v>
      </c>
      <c r="AJ5" s="50" t="s">
        <v>54</v>
      </c>
      <c r="AK5" s="277" t="s">
        <v>87</v>
      </c>
      <c r="AL5" s="275" t="s">
        <v>83</v>
      </c>
      <c r="AM5" s="276" t="s">
        <v>54</v>
      </c>
    </row>
    <row r="6" spans="1:39" ht="14.25" thickTop="1" thickBot="1" x14ac:dyDescent="0.25">
      <c r="A6" s="670" t="s">
        <v>49</v>
      </c>
      <c r="B6" s="671"/>
      <c r="C6" s="671"/>
      <c r="D6" s="671"/>
      <c r="E6" s="783"/>
      <c r="F6" s="284"/>
      <c r="AC6" s="269" t="s">
        <v>135</v>
      </c>
      <c r="AD6" s="271"/>
      <c r="AH6" s="42"/>
      <c r="AI6" s="42"/>
    </row>
    <row r="7" spans="1:39" x14ac:dyDescent="0.2">
      <c r="A7" s="475" t="s">
        <v>39</v>
      </c>
      <c r="B7" s="476" t="s">
        <v>7</v>
      </c>
      <c r="C7" s="476" t="s">
        <v>132</v>
      </c>
      <c r="D7" s="672" t="s">
        <v>8</v>
      </c>
      <c r="E7" s="784"/>
      <c r="F7" s="785"/>
      <c r="X7" s="266">
        <f>SUM(P7:T7)</f>
        <v>0</v>
      </c>
      <c r="AH7" s="52"/>
      <c r="AK7" s="311"/>
      <c r="AM7" s="283"/>
    </row>
    <row r="8" spans="1:39" x14ac:dyDescent="0.2">
      <c r="A8" s="475" t="s">
        <v>13</v>
      </c>
      <c r="B8" s="476" t="s">
        <v>14</v>
      </c>
      <c r="C8" s="476" t="s">
        <v>132</v>
      </c>
      <c r="D8" s="672" t="s">
        <v>8</v>
      </c>
      <c r="E8" s="761"/>
      <c r="F8" s="285"/>
      <c r="AK8" s="287"/>
      <c r="AM8" s="283"/>
    </row>
    <row r="9" spans="1:39" x14ac:dyDescent="0.2">
      <c r="A9" s="475" t="s">
        <v>15</v>
      </c>
      <c r="B9" s="476" t="s">
        <v>7</v>
      </c>
      <c r="C9" s="476" t="s">
        <v>132</v>
      </c>
      <c r="D9" s="672" t="s">
        <v>8</v>
      </c>
      <c r="E9" s="784"/>
      <c r="F9" s="284"/>
      <c r="AK9" s="287"/>
      <c r="AM9" s="283"/>
    </row>
    <row r="10" spans="1:39" x14ac:dyDescent="0.2">
      <c r="A10" s="475" t="s">
        <v>15</v>
      </c>
      <c r="B10" s="476" t="s">
        <v>7</v>
      </c>
      <c r="C10" s="476" t="s">
        <v>132</v>
      </c>
      <c r="D10" s="672" t="s">
        <v>16</v>
      </c>
      <c r="E10" s="784"/>
      <c r="F10" s="284"/>
      <c r="AK10" s="287"/>
      <c r="AM10" s="283"/>
    </row>
    <row r="11" spans="1:39" ht="13.5" thickBot="1" x14ac:dyDescent="0.25">
      <c r="A11" s="102"/>
      <c r="B11" s="103"/>
      <c r="C11" s="103"/>
      <c r="D11" s="212"/>
      <c r="E11" s="280"/>
      <c r="F11" s="292"/>
      <c r="AK11" s="287"/>
      <c r="AM11" s="283"/>
    </row>
    <row r="12" spans="1:39" ht="13.5" thickBot="1" x14ac:dyDescent="0.25">
      <c r="A12" s="644" t="s">
        <v>38</v>
      </c>
      <c r="B12" s="645"/>
      <c r="C12" s="645"/>
      <c r="D12" s="673"/>
      <c r="E12" s="786">
        <f>SUM(E7,E9,E10)</f>
        <v>0</v>
      </c>
      <c r="F12" s="785">
        <f>SUM(F7:F11)</f>
        <v>0</v>
      </c>
      <c r="AK12" s="287"/>
      <c r="AM12" s="283"/>
    </row>
    <row r="13" spans="1:39" ht="14.25" thickTop="1" thickBot="1" x14ac:dyDescent="0.25">
      <c r="A13" s="102"/>
      <c r="B13" s="104"/>
      <c r="C13" s="105"/>
      <c r="D13" s="105"/>
      <c r="E13" s="787"/>
      <c r="F13" s="788"/>
      <c r="AK13" s="287"/>
      <c r="AM13" s="283"/>
    </row>
    <row r="14" spans="1:39" ht="14.25" thickTop="1" thickBot="1" x14ac:dyDescent="0.25">
      <c r="A14" s="670" t="s">
        <v>48</v>
      </c>
      <c r="B14" s="675"/>
      <c r="C14" s="675"/>
      <c r="D14" s="675"/>
      <c r="E14" s="789"/>
      <c r="F14" s="292"/>
      <c r="AK14" s="287"/>
      <c r="AM14" s="283"/>
    </row>
    <row r="15" spans="1:39" s="491" customFormat="1" x14ac:dyDescent="0.2">
      <c r="A15" s="475" t="s">
        <v>13</v>
      </c>
      <c r="B15" s="476" t="s">
        <v>7</v>
      </c>
      <c r="C15" s="476" t="s">
        <v>132</v>
      </c>
      <c r="D15" s="672" t="s">
        <v>8</v>
      </c>
      <c r="E15" s="761"/>
      <c r="F15" s="2148"/>
      <c r="G15" s="642"/>
      <c r="H15" s="642"/>
      <c r="I15" s="642"/>
      <c r="J15" s="642"/>
      <c r="K15" s="642"/>
      <c r="L15" s="642"/>
      <c r="M15" s="642"/>
      <c r="N15" s="642"/>
      <c r="O15" s="956"/>
      <c r="P15" s="642"/>
      <c r="Q15" s="642"/>
      <c r="R15" s="642"/>
      <c r="S15" s="642"/>
      <c r="T15" s="642"/>
      <c r="U15" s="642"/>
      <c r="V15" s="642"/>
      <c r="W15" s="642"/>
      <c r="X15" s="956"/>
      <c r="Y15" s="957"/>
      <c r="Z15" s="642"/>
      <c r="AA15" s="642"/>
      <c r="AB15" s="437"/>
      <c r="AC15" s="956"/>
      <c r="AD15" s="956"/>
      <c r="AE15" s="958"/>
      <c r="AF15" s="959"/>
      <c r="AG15" s="285"/>
      <c r="AH15" s="642"/>
      <c r="AI15" s="642"/>
      <c r="AJ15" s="642"/>
      <c r="AK15" s="418"/>
      <c r="AL15" s="74"/>
      <c r="AM15" s="285"/>
    </row>
    <row r="16" spans="1:39" x14ac:dyDescent="0.2">
      <c r="A16" s="475" t="s">
        <v>50</v>
      </c>
      <c r="B16" s="476" t="s">
        <v>14</v>
      </c>
      <c r="C16" s="476" t="s">
        <v>132</v>
      </c>
      <c r="D16" s="672" t="s">
        <v>8</v>
      </c>
      <c r="E16" s="761"/>
      <c r="F16" s="285"/>
      <c r="AK16" s="287"/>
      <c r="AM16" s="283"/>
    </row>
    <row r="17" spans="1:39" x14ac:dyDescent="0.2">
      <c r="A17" s="475" t="s">
        <v>51</v>
      </c>
      <c r="B17" s="476" t="s">
        <v>14</v>
      </c>
      <c r="C17" s="476" t="s">
        <v>132</v>
      </c>
      <c r="D17" s="672" t="s">
        <v>8</v>
      </c>
      <c r="E17" s="761"/>
      <c r="F17" s="285"/>
      <c r="AK17" s="287"/>
      <c r="AM17" s="283"/>
    </row>
    <row r="18" spans="1:39" x14ac:dyDescent="0.2">
      <c r="A18" s="475" t="s">
        <v>52</v>
      </c>
      <c r="B18" s="476" t="s">
        <v>7</v>
      </c>
      <c r="C18" s="476" t="s">
        <v>132</v>
      </c>
      <c r="D18" s="672" t="s">
        <v>8</v>
      </c>
      <c r="E18" s="784"/>
      <c r="F18" s="284"/>
      <c r="AK18" s="287"/>
      <c r="AM18" s="283"/>
    </row>
    <row r="19" spans="1:39" ht="13.5" thickBot="1" x14ac:dyDescent="0.25">
      <c r="A19" s="102"/>
      <c r="B19" s="103"/>
      <c r="C19" s="103"/>
      <c r="D19" s="212"/>
      <c r="E19" s="280"/>
      <c r="F19" s="292"/>
      <c r="AK19" s="287"/>
      <c r="AM19" s="283"/>
    </row>
    <row r="20" spans="1:39" ht="13.5" thickBot="1" x14ac:dyDescent="0.25">
      <c r="A20" s="644" t="s">
        <v>38</v>
      </c>
      <c r="B20" s="645"/>
      <c r="C20" s="645"/>
      <c r="D20" s="673"/>
      <c r="E20" s="786">
        <f>SUM(E15:E18)</f>
        <v>0</v>
      </c>
      <c r="F20" s="790">
        <f>SUM(F15:F19)</f>
        <v>0</v>
      </c>
      <c r="AK20" s="287"/>
      <c r="AM20" s="283"/>
    </row>
    <row r="21" spans="1:39" ht="14.25" thickTop="1" thickBot="1" x14ac:dyDescent="0.25">
      <c r="A21" s="102"/>
      <c r="B21" s="104"/>
      <c r="C21" s="105"/>
      <c r="D21" s="105"/>
      <c r="E21" s="787"/>
      <c r="F21" s="292"/>
      <c r="AK21" s="287"/>
      <c r="AM21" s="283"/>
    </row>
    <row r="22" spans="1:39" ht="14.25" thickTop="1" thickBot="1" x14ac:dyDescent="0.25">
      <c r="A22" s="670" t="s">
        <v>47</v>
      </c>
      <c r="B22" s="675"/>
      <c r="C22" s="675"/>
      <c r="D22" s="675"/>
      <c r="E22" s="789"/>
      <c r="F22" s="791"/>
      <c r="AK22" s="287"/>
      <c r="AM22" s="283"/>
    </row>
    <row r="23" spans="1:39" ht="13.5" thickBot="1" x14ac:dyDescent="0.25">
      <c r="A23" s="550" t="s">
        <v>40</v>
      </c>
      <c r="B23" s="551" t="s">
        <v>7</v>
      </c>
      <c r="C23" s="551" t="s">
        <v>46</v>
      </c>
      <c r="D23" s="686" t="s">
        <v>8</v>
      </c>
      <c r="E23" s="792">
        <v>0</v>
      </c>
      <c r="F23" s="790">
        <v>0</v>
      </c>
      <c r="AK23" s="287"/>
      <c r="AM23" s="283"/>
    </row>
    <row r="24" spans="1:39" ht="14.25" thickTop="1" thickBot="1" x14ac:dyDescent="0.25">
      <c r="A24" s="25"/>
      <c r="B24" s="26"/>
      <c r="C24" s="26"/>
      <c r="D24" s="26"/>
      <c r="E24" s="417"/>
      <c r="F24" s="284"/>
      <c r="AK24" s="287"/>
      <c r="AM24" s="283"/>
    </row>
    <row r="25" spans="1:39" ht="14.25" thickTop="1" thickBot="1" x14ac:dyDescent="0.25">
      <c r="A25" s="670" t="s">
        <v>90</v>
      </c>
      <c r="B25" s="671"/>
      <c r="C25" s="671"/>
      <c r="D25" s="671"/>
      <c r="E25" s="783"/>
      <c r="F25" s="793"/>
      <c r="AK25" s="287"/>
      <c r="AM25" s="283"/>
    </row>
    <row r="26" spans="1:39" x14ac:dyDescent="0.2">
      <c r="A26" s="527" t="s">
        <v>61</v>
      </c>
      <c r="B26" s="528" t="s">
        <v>7</v>
      </c>
      <c r="C26" s="528" t="s">
        <v>132</v>
      </c>
      <c r="D26" s="682" t="s">
        <v>8</v>
      </c>
      <c r="E26" s="794"/>
      <c r="F26" s="285"/>
      <c r="AK26" s="287"/>
      <c r="AM26" s="283"/>
    </row>
    <row r="27" spans="1:39" s="473" customFormat="1" x14ac:dyDescent="0.2">
      <c r="A27" s="507" t="s">
        <v>62</v>
      </c>
      <c r="B27" s="508" t="s">
        <v>7</v>
      </c>
      <c r="C27" s="508" t="s">
        <v>44</v>
      </c>
      <c r="D27" s="674" t="s">
        <v>8</v>
      </c>
      <c r="E27" s="810">
        <v>677944</v>
      </c>
      <c r="F27" s="817">
        <v>612787</v>
      </c>
      <c r="G27" s="505">
        <v>45903</v>
      </c>
      <c r="H27" s="505">
        <v>190048</v>
      </c>
      <c r="I27" s="505">
        <v>346238</v>
      </c>
      <c r="J27" s="505">
        <v>474617</v>
      </c>
      <c r="K27" s="505">
        <v>586893</v>
      </c>
      <c r="L27" s="505"/>
      <c r="M27" s="505"/>
      <c r="N27" s="505"/>
      <c r="O27" s="811">
        <f>SUM(G27:K27)</f>
        <v>1643699</v>
      </c>
      <c r="P27" s="505">
        <v>9533</v>
      </c>
      <c r="Q27" s="505">
        <v>45931</v>
      </c>
      <c r="R27" s="505">
        <v>107742</v>
      </c>
      <c r="S27" s="505">
        <v>184112</v>
      </c>
      <c r="T27" s="505">
        <v>267523</v>
      </c>
      <c r="U27" s="505"/>
      <c r="V27" s="505"/>
      <c r="W27" s="505"/>
      <c r="X27" s="811">
        <f>SUM(P27:T27)</f>
        <v>614841</v>
      </c>
      <c r="Y27" s="812">
        <v>5.3999999999999999E-2</v>
      </c>
      <c r="Z27" s="505">
        <v>1419370</v>
      </c>
      <c r="AA27" s="505">
        <v>524344</v>
      </c>
      <c r="AB27" s="813">
        <f>Z27-AA27</f>
        <v>895026</v>
      </c>
      <c r="AC27" s="811">
        <f>AB27*0.8</f>
        <v>716020.8</v>
      </c>
      <c r="AD27" s="811">
        <f>'5. Payroll'!$E$24</f>
        <v>2477520</v>
      </c>
      <c r="AE27" s="814">
        <f>AC27/AD27</f>
        <v>0.28900707158771677</v>
      </c>
      <c r="AF27" s="815">
        <v>4.5999999999999999E-2</v>
      </c>
      <c r="AG27" s="816">
        <v>131750</v>
      </c>
      <c r="AH27" s="505">
        <v>570477</v>
      </c>
      <c r="AI27" s="505">
        <f>AA27+AH27</f>
        <v>1094821</v>
      </c>
      <c r="AJ27" s="505">
        <f>Z27-AI27</f>
        <v>324549</v>
      </c>
      <c r="AK27" s="776">
        <v>509164</v>
      </c>
      <c r="AL27" s="775">
        <f>AA27+AK27</f>
        <v>1033508</v>
      </c>
      <c r="AM27" s="816">
        <f>Z27-AL27</f>
        <v>385862</v>
      </c>
    </row>
    <row r="28" spans="1:39" s="473" customFormat="1" x14ac:dyDescent="0.2">
      <c r="A28" s="507" t="s">
        <v>63</v>
      </c>
      <c r="B28" s="508" t="s">
        <v>7</v>
      </c>
      <c r="C28" s="508" t="s">
        <v>44</v>
      </c>
      <c r="D28" s="674" t="s">
        <v>8</v>
      </c>
      <c r="E28" s="810">
        <v>156126</v>
      </c>
      <c r="F28" s="817">
        <v>147045</v>
      </c>
      <c r="G28" s="505">
        <v>29302</v>
      </c>
      <c r="H28" s="505">
        <v>68195</v>
      </c>
      <c r="I28" s="505">
        <v>97102</v>
      </c>
      <c r="J28" s="505">
        <v>124334</v>
      </c>
      <c r="K28" s="505">
        <v>155000</v>
      </c>
      <c r="L28" s="505"/>
      <c r="M28" s="505"/>
      <c r="N28" s="505"/>
      <c r="O28" s="811">
        <f>SUM(G28:K28)</f>
        <v>473933</v>
      </c>
      <c r="P28" s="505">
        <v>6966</v>
      </c>
      <c r="Q28" s="505">
        <v>23235</v>
      </c>
      <c r="R28" s="505">
        <v>44655</v>
      </c>
      <c r="S28" s="505">
        <v>70180</v>
      </c>
      <c r="T28" s="505">
        <v>100069</v>
      </c>
      <c r="U28" s="505"/>
      <c r="V28" s="505"/>
      <c r="W28" s="505"/>
      <c r="X28" s="811">
        <f>SUM(P28:T28)</f>
        <v>245105</v>
      </c>
      <c r="Y28" s="812">
        <v>4.3999999999999997E-2</v>
      </c>
      <c r="Z28" s="505">
        <v>423623</v>
      </c>
      <c r="AA28" s="505">
        <v>216200</v>
      </c>
      <c r="AB28" s="813">
        <f>Z28-AA28</f>
        <v>207423</v>
      </c>
      <c r="AC28" s="811">
        <f>AB28*0.8</f>
        <v>165938.40000000002</v>
      </c>
      <c r="AD28" s="811">
        <f>'5. Payroll'!$E$25</f>
        <v>687760</v>
      </c>
      <c r="AE28" s="814">
        <f>AC28/AD28</f>
        <v>0.24127370012795166</v>
      </c>
      <c r="AF28" s="815">
        <v>2.4E-2</v>
      </c>
      <c r="AG28" s="816">
        <v>40670</v>
      </c>
      <c r="AH28" s="505">
        <v>136812</v>
      </c>
      <c r="AI28" s="505">
        <f>AA28+AH28</f>
        <v>353012</v>
      </c>
      <c r="AJ28" s="505">
        <f>Z28-AI28</f>
        <v>70611</v>
      </c>
      <c r="AK28" s="776">
        <v>127975</v>
      </c>
      <c r="AL28" s="775">
        <f>AA28+AK28</f>
        <v>344175</v>
      </c>
      <c r="AM28" s="816">
        <f>Z28-AL28</f>
        <v>79448</v>
      </c>
    </row>
    <row r="29" spans="1:39" ht="13.5" thickBot="1" x14ac:dyDescent="0.25">
      <c r="A29" s="107"/>
      <c r="B29" s="108"/>
      <c r="C29" s="108"/>
      <c r="D29" s="213"/>
      <c r="E29" s="795"/>
      <c r="F29" s="284"/>
      <c r="AK29" s="287"/>
      <c r="AM29" s="283"/>
    </row>
    <row r="30" spans="1:39" ht="13.5" thickBot="1" x14ac:dyDescent="0.25">
      <c r="A30" s="644" t="s">
        <v>68</v>
      </c>
      <c r="B30" s="655"/>
      <c r="C30" s="655"/>
      <c r="D30" s="796"/>
      <c r="E30" s="786">
        <f>SUM(E26:E28)</f>
        <v>834070</v>
      </c>
      <c r="F30" s="790">
        <f>SUM(F26:F29)</f>
        <v>759832</v>
      </c>
      <c r="AK30" s="287"/>
      <c r="AM30" s="283"/>
    </row>
    <row r="31" spans="1:39" ht="14.25" thickTop="1" thickBot="1" x14ac:dyDescent="0.25">
      <c r="A31" s="39"/>
      <c r="B31" s="39"/>
      <c r="C31" s="39"/>
      <c r="D31" s="39"/>
      <c r="E31" s="71"/>
      <c r="F31" s="120"/>
      <c r="AK31" s="287"/>
      <c r="AM31" s="283"/>
    </row>
    <row r="32" spans="1:39" ht="14.25" thickTop="1" thickBot="1" x14ac:dyDescent="0.25">
      <c r="A32" s="670" t="s">
        <v>120</v>
      </c>
      <c r="B32" s="675"/>
      <c r="C32" s="675"/>
      <c r="D32" s="675"/>
      <c r="E32" s="789"/>
      <c r="F32" s="791"/>
      <c r="AK32" s="287"/>
      <c r="AM32" s="283"/>
    </row>
    <row r="33" spans="1:39" ht="13.5" thickBot="1" x14ac:dyDescent="0.25">
      <c r="A33" s="516" t="s">
        <v>121</v>
      </c>
      <c r="B33" s="517" t="s">
        <v>14</v>
      </c>
      <c r="C33" s="517" t="s">
        <v>132</v>
      </c>
      <c r="D33" s="681" t="s">
        <v>8</v>
      </c>
      <c r="E33" s="797"/>
      <c r="F33" s="798"/>
      <c r="AK33" s="287"/>
      <c r="AM33" s="283"/>
    </row>
    <row r="34" spans="1:39" ht="14.25" thickTop="1" thickBot="1" x14ac:dyDescent="0.25">
      <c r="A34" s="73"/>
      <c r="B34" s="73"/>
      <c r="C34" s="73"/>
      <c r="D34" s="73"/>
      <c r="E34" s="418"/>
      <c r="F34" s="285"/>
      <c r="AK34" s="287"/>
      <c r="AM34" s="283"/>
    </row>
    <row r="35" spans="1:39" ht="14.25" thickTop="1" thickBot="1" x14ac:dyDescent="0.25">
      <c r="A35" s="676" t="s">
        <v>133</v>
      </c>
      <c r="B35" s="419"/>
      <c r="C35" s="419"/>
      <c r="D35" s="419"/>
      <c r="E35" s="420"/>
      <c r="F35" s="793"/>
      <c r="AK35" s="287"/>
      <c r="AM35" s="283"/>
    </row>
    <row r="36" spans="1:39" ht="13.5" thickTop="1" x14ac:dyDescent="0.2">
      <c r="A36" s="475" t="s">
        <v>134</v>
      </c>
      <c r="B36" s="476" t="s">
        <v>7</v>
      </c>
      <c r="C36" s="476" t="s">
        <v>132</v>
      </c>
      <c r="D36" s="672" t="s">
        <v>8</v>
      </c>
      <c r="E36" s="784"/>
      <c r="F36" s="284"/>
      <c r="AK36" s="287"/>
      <c r="AM36" s="283"/>
    </row>
    <row r="37" spans="1:39" s="473" customFormat="1" x14ac:dyDescent="0.2">
      <c r="A37" s="507" t="s">
        <v>50</v>
      </c>
      <c r="B37" s="508" t="s">
        <v>7</v>
      </c>
      <c r="C37" s="508" t="s">
        <v>44</v>
      </c>
      <c r="D37" s="674" t="s">
        <v>8</v>
      </c>
      <c r="E37" s="810">
        <v>1653965</v>
      </c>
      <c r="F37" s="817">
        <v>1433436</v>
      </c>
      <c r="G37" s="505">
        <v>98959</v>
      </c>
      <c r="H37" s="505">
        <v>487914</v>
      </c>
      <c r="I37" s="505">
        <v>1022329</v>
      </c>
      <c r="J37" s="505">
        <v>1917600</v>
      </c>
      <c r="K37" s="505">
        <v>2989615</v>
      </c>
      <c r="L37" s="505"/>
      <c r="M37" s="505"/>
      <c r="N37" s="505"/>
      <c r="O37" s="811">
        <f>SUM(G37:K37)</f>
        <v>6516417</v>
      </c>
      <c r="P37" s="505">
        <v>20786</v>
      </c>
      <c r="Q37" s="505">
        <v>124258</v>
      </c>
      <c r="R37" s="505">
        <v>329899</v>
      </c>
      <c r="S37" s="505">
        <v>694110</v>
      </c>
      <c r="T37" s="505">
        <v>1227812</v>
      </c>
      <c r="U37" s="505"/>
      <c r="V37" s="505"/>
      <c r="W37" s="505"/>
      <c r="X37" s="811">
        <f>SUM(P37:T37)</f>
        <v>2396865</v>
      </c>
      <c r="Y37" s="812">
        <v>5.3999999999999999E-2</v>
      </c>
      <c r="Z37" s="505">
        <v>5544846</v>
      </c>
      <c r="AA37" s="505">
        <v>2024296</v>
      </c>
      <c r="AB37" s="813">
        <f>Z37-AA37</f>
        <v>3520550</v>
      </c>
      <c r="AC37" s="811">
        <f>AB37*0.8</f>
        <v>2816440</v>
      </c>
      <c r="AD37" s="811">
        <f>'5. Payroll'!$E$32</f>
        <v>13687472</v>
      </c>
      <c r="AE37" s="814">
        <f>AC37/AD37</f>
        <v>0.2057677268673134</v>
      </c>
      <c r="AF37" s="815">
        <v>4.3999999999999997E-2</v>
      </c>
      <c r="AG37" s="816">
        <v>6365306</v>
      </c>
      <c r="AH37" s="505">
        <v>1307634</v>
      </c>
      <c r="AI37" s="505">
        <f>AA37+AH37</f>
        <v>3331930</v>
      </c>
      <c r="AJ37" s="505">
        <f>Z37-AI37</f>
        <v>2212916</v>
      </c>
      <c r="AK37" s="776">
        <v>1114534</v>
      </c>
      <c r="AL37" s="775">
        <f>AA37+AK37</f>
        <v>3138830</v>
      </c>
      <c r="AM37" s="816">
        <f>Z37-AL37</f>
        <v>2406016</v>
      </c>
    </row>
    <row r="38" spans="1:39" ht="13.5" thickBot="1" x14ac:dyDescent="0.25">
      <c r="A38" s="99"/>
      <c r="B38" s="753"/>
      <c r="C38" s="753"/>
      <c r="D38" s="757"/>
      <c r="E38" s="784"/>
      <c r="F38" s="284"/>
      <c r="AK38" s="287"/>
      <c r="AM38" s="283"/>
    </row>
    <row r="39" spans="1:39" ht="14.25" thickTop="1" thickBot="1" x14ac:dyDescent="0.25">
      <c r="A39" s="658" t="s">
        <v>38</v>
      </c>
      <c r="B39" s="109"/>
      <c r="C39" s="109"/>
      <c r="D39" s="677"/>
      <c r="E39" s="799">
        <f>SUM(E36:E37)</f>
        <v>1653965</v>
      </c>
      <c r="F39" s="800">
        <f>SUM(F36:F38)</f>
        <v>1433436</v>
      </c>
      <c r="AK39" s="287"/>
      <c r="AM39" s="283"/>
    </row>
    <row r="40" spans="1:39" ht="14.25" thickTop="1" thickBot="1" x14ac:dyDescent="0.25">
      <c r="A40" s="26"/>
      <c r="B40" s="26"/>
      <c r="C40" s="26"/>
      <c r="D40" s="26"/>
      <c r="E40" s="417"/>
      <c r="F40" s="284"/>
      <c r="AK40" s="287"/>
      <c r="AM40" s="283"/>
    </row>
    <row r="41" spans="1:39" ht="14.25" thickTop="1" thickBot="1" x14ac:dyDescent="0.25">
      <c r="A41" s="407" t="s">
        <v>186</v>
      </c>
      <c r="B41" s="109"/>
      <c r="C41" s="109"/>
      <c r="D41" s="677"/>
      <c r="E41" s="799"/>
      <c r="F41" s="800"/>
      <c r="AK41" s="287"/>
      <c r="AM41" s="283"/>
    </row>
    <row r="42" spans="1:39" s="473" customFormat="1" ht="14.25" thickTop="1" thickBot="1" x14ac:dyDescent="0.25">
      <c r="A42" s="516" t="s">
        <v>188</v>
      </c>
      <c r="B42" s="517" t="s">
        <v>7</v>
      </c>
      <c r="C42" s="517" t="s">
        <v>132</v>
      </c>
      <c r="D42" s="681" t="s">
        <v>8</v>
      </c>
      <c r="E42" s="792"/>
      <c r="F42" s="800"/>
      <c r="G42" s="52"/>
      <c r="H42" s="52"/>
      <c r="I42" s="52"/>
      <c r="J42" s="52"/>
      <c r="K42" s="52"/>
      <c r="L42" s="52"/>
      <c r="M42" s="52"/>
      <c r="N42" s="52"/>
      <c r="O42" s="432"/>
      <c r="P42" s="52"/>
      <c r="Q42" s="52"/>
      <c r="R42" s="52"/>
      <c r="S42" s="52"/>
      <c r="T42" s="52"/>
      <c r="U42" s="52"/>
      <c r="V42" s="52"/>
      <c r="W42" s="52"/>
      <c r="X42" s="432"/>
      <c r="Y42" s="293"/>
      <c r="Z42" s="52"/>
      <c r="AA42" s="52"/>
      <c r="AB42" s="433"/>
      <c r="AC42" s="432"/>
      <c r="AD42" s="432"/>
      <c r="AE42" s="434"/>
      <c r="AF42" s="435"/>
      <c r="AG42" s="292"/>
      <c r="AH42" s="52"/>
      <c r="AI42" s="52"/>
      <c r="AJ42" s="52"/>
      <c r="AK42" s="311"/>
      <c r="AL42" s="119"/>
      <c r="AM42" s="292"/>
    </row>
    <row r="43" spans="1:39" ht="14.25" thickTop="1" thickBot="1" x14ac:dyDescent="0.25">
      <c r="A43" s="26"/>
      <c r="B43" s="26"/>
      <c r="C43" s="26"/>
      <c r="D43" s="26"/>
      <c r="E43" s="417"/>
      <c r="F43" s="284"/>
    </row>
    <row r="44" spans="1:39" ht="14.25" thickTop="1" thickBot="1" x14ac:dyDescent="0.25">
      <c r="A44" s="407" t="s">
        <v>316</v>
      </c>
      <c r="B44" s="109"/>
      <c r="C44" s="109"/>
      <c r="D44" s="677"/>
      <c r="E44" s="420"/>
      <c r="F44" s="421"/>
    </row>
    <row r="45" spans="1:39" s="473" customFormat="1" ht="13.5" thickTop="1" x14ac:dyDescent="0.2">
      <c r="A45" s="687" t="s">
        <v>125</v>
      </c>
      <c r="B45" s="468" t="s">
        <v>7</v>
      </c>
      <c r="C45" s="468" t="s">
        <v>44</v>
      </c>
      <c r="D45" s="688" t="s">
        <v>8</v>
      </c>
      <c r="E45" s="818">
        <v>182396</v>
      </c>
      <c r="F45" s="817">
        <v>159341</v>
      </c>
      <c r="G45" s="505">
        <v>3152</v>
      </c>
      <c r="H45" s="505">
        <v>36754</v>
      </c>
      <c r="I45" s="505">
        <v>83067</v>
      </c>
      <c r="J45" s="505">
        <v>132650</v>
      </c>
      <c r="K45" s="505">
        <v>160447</v>
      </c>
      <c r="L45" s="505"/>
      <c r="M45" s="505"/>
      <c r="N45" s="505"/>
      <c r="O45" s="811">
        <f>SUM(G45:K45)</f>
        <v>416070</v>
      </c>
      <c r="P45" s="505">
        <v>531</v>
      </c>
      <c r="Q45" s="505">
        <v>6610</v>
      </c>
      <c r="R45" s="505">
        <v>19755</v>
      </c>
      <c r="S45" s="505">
        <v>41517</v>
      </c>
      <c r="T45" s="505">
        <v>67399</v>
      </c>
      <c r="U45" s="505"/>
      <c r="V45" s="505"/>
      <c r="W45" s="505"/>
      <c r="X45" s="811">
        <f>SUM(P45:T45)</f>
        <v>135812</v>
      </c>
      <c r="Y45" s="812">
        <v>5.3999999999999999E-2</v>
      </c>
      <c r="Z45" s="505">
        <v>356251</v>
      </c>
      <c r="AA45" s="505">
        <v>114710</v>
      </c>
      <c r="AB45" s="813">
        <f>Z45-AA45</f>
        <v>241541</v>
      </c>
      <c r="AC45" s="811">
        <v>193233</v>
      </c>
      <c r="AD45" s="811">
        <v>1361960</v>
      </c>
      <c r="AE45" s="814">
        <f>AC45/AD45</f>
        <v>0.14187861611207378</v>
      </c>
      <c r="AF45" s="815">
        <v>1.6E-2</v>
      </c>
      <c r="AG45" s="816">
        <v>76384</v>
      </c>
      <c r="AH45" s="505">
        <v>147154</v>
      </c>
      <c r="AI45" s="505">
        <f>AA45+AH45</f>
        <v>261864</v>
      </c>
      <c r="AJ45" s="505">
        <f>Z45-AI45</f>
        <v>94387</v>
      </c>
      <c r="AK45" s="819">
        <v>126377</v>
      </c>
      <c r="AL45" s="775">
        <f>AA45+AK45</f>
        <v>241087</v>
      </c>
      <c r="AM45" s="813">
        <f>Z45-AL45</f>
        <v>115164</v>
      </c>
    </row>
    <row r="46" spans="1:39" s="473" customFormat="1" x14ac:dyDescent="0.2">
      <c r="A46" s="687" t="s">
        <v>121</v>
      </c>
      <c r="B46" s="468" t="s">
        <v>7</v>
      </c>
      <c r="C46" s="468" t="s">
        <v>44</v>
      </c>
      <c r="D46" s="674" t="s">
        <v>8</v>
      </c>
      <c r="E46" s="818">
        <v>1786828</v>
      </c>
      <c r="F46" s="817">
        <v>1548584</v>
      </c>
      <c r="G46" s="505">
        <v>286980</v>
      </c>
      <c r="H46" s="505">
        <v>1075127</v>
      </c>
      <c r="I46" s="505">
        <v>1998944</v>
      </c>
      <c r="J46" s="505">
        <v>2500460</v>
      </c>
      <c r="K46" s="505">
        <v>3025770</v>
      </c>
      <c r="L46" s="505"/>
      <c r="M46" s="505"/>
      <c r="N46" s="505"/>
      <c r="O46" s="811">
        <f>SUM(G46:K46)</f>
        <v>8887281</v>
      </c>
      <c r="P46" s="505">
        <v>68669</v>
      </c>
      <c r="Q46" s="505">
        <v>345472</v>
      </c>
      <c r="R46" s="505">
        <v>850763</v>
      </c>
      <c r="S46" s="505">
        <v>1416431</v>
      </c>
      <c r="T46" s="505">
        <v>2016426</v>
      </c>
      <c r="U46" s="505"/>
      <c r="V46" s="505"/>
      <c r="W46" s="505"/>
      <c r="X46" s="811">
        <f>SUM(P46:T46)</f>
        <v>4697761</v>
      </c>
      <c r="Y46" s="812">
        <v>5.3999999999999999E-2</v>
      </c>
      <c r="Z46" s="505">
        <v>7696781</v>
      </c>
      <c r="AA46" s="505">
        <v>4007656</v>
      </c>
      <c r="AB46" s="813">
        <f>Z46-AA46</f>
        <v>3689125</v>
      </c>
      <c r="AC46" s="811">
        <v>2951300</v>
      </c>
      <c r="AD46" s="811">
        <v>11274508</v>
      </c>
      <c r="AE46" s="814">
        <f>AC46/AD46</f>
        <v>0.26176752014367277</v>
      </c>
      <c r="AF46" s="815">
        <v>3.9E-2</v>
      </c>
      <c r="AG46" s="816">
        <v>5473103.1810938939</v>
      </c>
      <c r="AH46" s="505">
        <v>1559453</v>
      </c>
      <c r="AI46" s="505">
        <f>AA46+AH46</f>
        <v>5567109</v>
      </c>
      <c r="AJ46" s="505">
        <f>Z46-AI46</f>
        <v>2129672</v>
      </c>
      <c r="AK46" s="819">
        <v>1329167</v>
      </c>
      <c r="AL46" s="775">
        <f>AA46+AK46</f>
        <v>5336823</v>
      </c>
      <c r="AM46" s="813">
        <f>Z46-AL46</f>
        <v>2359958</v>
      </c>
    </row>
    <row r="47" spans="1:39" ht="13.5" thickBot="1" x14ac:dyDescent="0.25">
      <c r="A47" s="1184" t="s">
        <v>300</v>
      </c>
      <c r="B47" s="1185" t="s">
        <v>14</v>
      </c>
      <c r="C47" s="1185" t="s">
        <v>132</v>
      </c>
      <c r="D47" s="1416" t="s">
        <v>8</v>
      </c>
      <c r="E47" s="801"/>
      <c r="F47" s="285"/>
      <c r="Y47" s="293"/>
    </row>
    <row r="48" spans="1:39" ht="14.25" thickTop="1" thickBot="1" x14ac:dyDescent="0.25">
      <c r="A48" s="658" t="s">
        <v>38</v>
      </c>
      <c r="B48" s="419"/>
      <c r="C48" s="419"/>
      <c r="D48" s="419"/>
      <c r="E48" s="420">
        <f>SUM(E45:E47)</f>
        <v>1969224</v>
      </c>
      <c r="F48" s="421">
        <f>SUM(F45:F47)</f>
        <v>1707925</v>
      </c>
    </row>
    <row r="49" spans="1:39" ht="14.25" thickTop="1" thickBot="1" x14ac:dyDescent="0.25">
      <c r="A49" s="26"/>
      <c r="B49" s="26"/>
      <c r="C49" s="26"/>
      <c r="D49" s="26"/>
      <c r="E49" s="417"/>
      <c r="F49" s="284"/>
    </row>
    <row r="50" spans="1:39" ht="14.25" thickTop="1" thickBot="1" x14ac:dyDescent="0.25">
      <c r="A50" s="419" t="s">
        <v>389</v>
      </c>
      <c r="B50" s="419"/>
      <c r="C50" s="419"/>
      <c r="D50" s="419"/>
      <c r="E50" s="420"/>
      <c r="F50" s="421"/>
    </row>
    <row r="51" spans="1:39" s="777" customFormat="1" ht="13.5" thickTop="1" x14ac:dyDescent="0.2">
      <c r="A51" s="1435" t="s">
        <v>383</v>
      </c>
      <c r="B51" s="1436" t="s">
        <v>14</v>
      </c>
      <c r="C51" s="1436" t="s">
        <v>132</v>
      </c>
      <c r="D51" s="1436" t="s">
        <v>8</v>
      </c>
      <c r="E51" s="954"/>
      <c r="F51" s="955"/>
      <c r="G51" s="52"/>
      <c r="H51" s="39"/>
      <c r="I51" s="52"/>
      <c r="J51" s="52"/>
      <c r="K51" s="52"/>
      <c r="L51" s="52"/>
      <c r="M51" s="52"/>
      <c r="N51" s="52"/>
      <c r="O51" s="432"/>
      <c r="P51" s="52"/>
      <c r="Q51" s="39"/>
      <c r="R51" s="52"/>
      <c r="S51" s="52"/>
      <c r="T51" s="52"/>
      <c r="U51" s="52"/>
      <c r="V51" s="52"/>
      <c r="W51" s="52"/>
      <c r="X51" s="432"/>
      <c r="Y51" s="293"/>
      <c r="Z51" s="52"/>
      <c r="AA51" s="52"/>
      <c r="AB51" s="433"/>
      <c r="AC51" s="432"/>
      <c r="AD51" s="432"/>
      <c r="AE51" s="434"/>
      <c r="AF51" s="435"/>
      <c r="AG51" s="292"/>
      <c r="AH51" s="52"/>
      <c r="AI51" s="52"/>
      <c r="AJ51" s="52"/>
      <c r="AK51" s="446"/>
      <c r="AL51" s="119"/>
      <c r="AM51" s="433"/>
    </row>
    <row r="52" spans="1:39" ht="13.5" thickBot="1" x14ac:dyDescent="0.25">
      <c r="A52" s="1438" t="s">
        <v>385</v>
      </c>
      <c r="B52" s="1185" t="s">
        <v>14</v>
      </c>
      <c r="C52" s="1185" t="s">
        <v>132</v>
      </c>
      <c r="D52" s="1185" t="s">
        <v>8</v>
      </c>
      <c r="E52" s="801"/>
      <c r="F52" s="802"/>
    </row>
    <row r="53" spans="1:39" ht="13.5" thickTop="1" x14ac:dyDescent="0.2">
      <c r="A53" s="26" t="s">
        <v>38</v>
      </c>
      <c r="B53" s="73"/>
      <c r="C53" s="73"/>
      <c r="D53" s="73"/>
      <c r="E53" s="418">
        <f>SUM(E51:E52)</f>
        <v>0</v>
      </c>
      <c r="F53" s="285">
        <f>SUM(F51:F52)</f>
        <v>0</v>
      </c>
    </row>
    <row r="54" spans="1:39" ht="13.5" thickBot="1" x14ac:dyDescent="0.25">
      <c r="A54" s="26"/>
      <c r="B54" s="26"/>
      <c r="C54" s="26"/>
      <c r="D54" s="26"/>
      <c r="E54" s="417"/>
      <c r="F54" s="284"/>
    </row>
    <row r="55" spans="1:39" ht="14.25" thickTop="1" thickBot="1" x14ac:dyDescent="0.25">
      <c r="A55" s="698" t="s">
        <v>476</v>
      </c>
      <c r="B55" s="696"/>
      <c r="C55" s="696"/>
      <c r="D55" s="419"/>
      <c r="E55" s="420"/>
      <c r="F55" s="421"/>
    </row>
    <row r="56" spans="1:39" ht="14.25" thickTop="1" thickBot="1" x14ac:dyDescent="0.25">
      <c r="A56" s="1621" t="s">
        <v>466</v>
      </c>
      <c r="B56" s="1621" t="s">
        <v>14</v>
      </c>
      <c r="C56" s="1621" t="s">
        <v>132</v>
      </c>
      <c r="D56" s="1621" t="s">
        <v>8</v>
      </c>
      <c r="E56" s="417"/>
      <c r="F56" s="284"/>
      <c r="AG56" s="1881"/>
      <c r="AH56" s="6"/>
      <c r="AI56" s="6"/>
      <c r="AJ56" s="6"/>
    </row>
    <row r="57" spans="1:39" ht="14.25" thickTop="1" thickBot="1" x14ac:dyDescent="0.25">
      <c r="A57" s="419"/>
      <c r="B57" s="419"/>
      <c r="C57" s="419"/>
      <c r="D57" s="419"/>
      <c r="E57" s="420"/>
      <c r="F57" s="421"/>
    </row>
    <row r="58" spans="1:39" ht="14.25" thickTop="1" thickBot="1" x14ac:dyDescent="0.25">
      <c r="A58" s="419" t="s">
        <v>539</v>
      </c>
      <c r="B58" s="419"/>
      <c r="C58" s="419"/>
      <c r="D58" s="419"/>
      <c r="E58" s="420"/>
      <c r="F58" s="421"/>
    </row>
    <row r="59" spans="1:39" s="1196" customFormat="1" ht="13.5" thickTop="1" x14ac:dyDescent="0.2">
      <c r="A59" s="1622" t="s">
        <v>478</v>
      </c>
      <c r="B59" s="1623" t="s">
        <v>7</v>
      </c>
      <c r="C59" s="1623" t="s">
        <v>44</v>
      </c>
      <c r="D59" s="1623" t="s">
        <v>8</v>
      </c>
      <c r="E59" s="1624">
        <v>70533</v>
      </c>
      <c r="F59" s="1625">
        <v>66347</v>
      </c>
      <c r="G59" s="1197"/>
      <c r="H59" s="1197">
        <v>7178</v>
      </c>
      <c r="I59" s="1197">
        <v>21786</v>
      </c>
      <c r="J59" s="1197">
        <v>33080</v>
      </c>
      <c r="K59" s="1197">
        <v>52995</v>
      </c>
      <c r="L59" s="1197">
        <v>69964</v>
      </c>
      <c r="M59" s="1197"/>
      <c r="N59" s="1197"/>
      <c r="O59" s="1626">
        <f>SUM(G59:L59)</f>
        <v>185003</v>
      </c>
      <c r="P59" s="1197"/>
      <c r="Q59" s="1197">
        <v>1835</v>
      </c>
      <c r="R59" s="1197">
        <v>7195</v>
      </c>
      <c r="S59" s="1197">
        <v>14573</v>
      </c>
      <c r="T59" s="1197">
        <v>24695</v>
      </c>
      <c r="U59" s="1197">
        <v>37253</v>
      </c>
      <c r="V59" s="1197"/>
      <c r="W59" s="1197"/>
      <c r="X59" s="1626">
        <f>SUM(Q59:U59)</f>
        <v>85551</v>
      </c>
      <c r="Y59" s="1627">
        <v>4.2999999999999997E-2</v>
      </c>
      <c r="Z59" s="1197">
        <v>164321</v>
      </c>
      <c r="AA59" s="1197">
        <v>75383</v>
      </c>
      <c r="AB59" s="1628">
        <f>Z59-AA59</f>
        <v>88938</v>
      </c>
      <c r="AC59" s="1626">
        <v>71151</v>
      </c>
      <c r="AD59" s="1626">
        <v>480000</v>
      </c>
      <c r="AE59" s="1629">
        <f>AC59/AD59</f>
        <v>0.14823125000000001</v>
      </c>
      <c r="AF59" s="1630">
        <v>8.2000000000000007E-3</v>
      </c>
      <c r="AG59" s="1381">
        <v>4168</v>
      </c>
      <c r="AH59" s="1197">
        <v>59397</v>
      </c>
      <c r="AI59" s="1197">
        <v>134780</v>
      </c>
      <c r="AJ59" s="1197">
        <f>Z59-AI59</f>
        <v>29541</v>
      </c>
      <c r="AK59" s="1631">
        <v>55570</v>
      </c>
      <c r="AL59" s="1341">
        <v>130954</v>
      </c>
      <c r="AM59" s="1628">
        <f>Z59-AL59</f>
        <v>33367</v>
      </c>
    </row>
    <row r="60" spans="1:39" ht="13.5" thickBot="1" x14ac:dyDescent="0.25">
      <c r="A60" s="1438" t="s">
        <v>583</v>
      </c>
      <c r="B60" s="1185" t="s">
        <v>14</v>
      </c>
      <c r="C60" s="1185" t="s">
        <v>132</v>
      </c>
      <c r="D60" s="1185" t="s">
        <v>8</v>
      </c>
      <c r="E60" s="801"/>
      <c r="F60" s="802"/>
    </row>
    <row r="61" spans="1:39" ht="13.5" thickTop="1" x14ac:dyDescent="0.2">
      <c r="A61" s="26" t="s">
        <v>38</v>
      </c>
      <c r="B61" s="73"/>
      <c r="C61" s="73"/>
      <c r="D61" s="73"/>
      <c r="E61" s="417">
        <f>SUM(E59:E60)</f>
        <v>70533</v>
      </c>
      <c r="F61" s="284">
        <f>SUM(F59:F60)</f>
        <v>66347</v>
      </c>
    </row>
    <row r="62" spans="1:39" ht="13.5" thickBot="1" x14ac:dyDescent="0.25">
      <c r="A62" s="26"/>
      <c r="B62" s="26"/>
      <c r="C62" s="26"/>
      <c r="D62" s="26"/>
      <c r="E62" s="417"/>
      <c r="F62" s="284"/>
    </row>
    <row r="63" spans="1:39" ht="14.25" thickTop="1" thickBot="1" x14ac:dyDescent="0.25">
      <c r="A63" s="804" t="s">
        <v>524</v>
      </c>
      <c r="B63" s="696"/>
      <c r="C63" s="696"/>
      <c r="D63" s="696"/>
      <c r="E63" s="420"/>
      <c r="F63" s="421"/>
    </row>
    <row r="64" spans="1:39" ht="13.5" thickTop="1" x14ac:dyDescent="0.2">
      <c r="A64" s="1174" t="s">
        <v>582</v>
      </c>
      <c r="B64" s="1222" t="s">
        <v>14</v>
      </c>
      <c r="C64" s="1222" t="s">
        <v>132</v>
      </c>
      <c r="D64" s="1451" t="s">
        <v>8</v>
      </c>
      <c r="E64" s="417"/>
      <c r="F64" s="284"/>
    </row>
    <row r="65" spans="1:39" s="1196" customFormat="1" ht="13.5" thickBot="1" x14ac:dyDescent="0.25">
      <c r="A65" s="1404" t="s">
        <v>521</v>
      </c>
      <c r="B65" s="1405" t="s">
        <v>7</v>
      </c>
      <c r="C65" s="1405" t="s">
        <v>44</v>
      </c>
      <c r="D65" s="1416" t="s">
        <v>8</v>
      </c>
      <c r="E65" s="1632">
        <v>206737</v>
      </c>
      <c r="F65" s="1633">
        <v>179172</v>
      </c>
      <c r="G65" s="1197"/>
      <c r="H65" s="1197">
        <v>45328</v>
      </c>
      <c r="I65" s="1197">
        <v>126634</v>
      </c>
      <c r="J65" s="1197">
        <v>165738</v>
      </c>
      <c r="K65" s="1197">
        <v>203580</v>
      </c>
      <c r="L65" s="1197">
        <v>238869</v>
      </c>
      <c r="M65" s="1197"/>
      <c r="N65" s="1197"/>
      <c r="O65" s="1626">
        <f>SUM(G65:L65)</f>
        <v>780149</v>
      </c>
      <c r="P65" s="1197"/>
      <c r="Q65" s="1197">
        <v>11035</v>
      </c>
      <c r="R65" s="1197">
        <v>47852</v>
      </c>
      <c r="S65" s="1197">
        <v>87253</v>
      </c>
      <c r="T65" s="1197">
        <v>124571</v>
      </c>
      <c r="U65" s="1197">
        <v>161927</v>
      </c>
      <c r="V65" s="1197"/>
      <c r="W65" s="1197"/>
      <c r="X65" s="1626">
        <f>SUM(Q65:U65)</f>
        <v>432638</v>
      </c>
      <c r="Y65" s="1627">
        <v>4.2999999999999997E-2</v>
      </c>
      <c r="Z65" s="1197">
        <v>700442</v>
      </c>
      <c r="AA65" s="1197">
        <v>383788</v>
      </c>
      <c r="AB65" s="1628">
        <f>Z65-AA65</f>
        <v>316654</v>
      </c>
      <c r="AC65" s="1626">
        <v>253323</v>
      </c>
      <c r="AD65" s="1626">
        <v>1189837</v>
      </c>
      <c r="AE65" s="1629">
        <f>AC65/AD65</f>
        <v>0.21290563329262749</v>
      </c>
      <c r="AF65" s="1630">
        <v>6.4500000000000002E-2</v>
      </c>
      <c r="AG65" s="1381">
        <v>94811</v>
      </c>
      <c r="AH65" s="1197">
        <v>190395</v>
      </c>
      <c r="AI65" s="1197">
        <v>574182</v>
      </c>
      <c r="AJ65" s="1197">
        <f>Z65-AI65</f>
        <v>126260</v>
      </c>
      <c r="AK65" s="1631">
        <v>162830</v>
      </c>
      <c r="AL65" s="1341">
        <v>546617</v>
      </c>
      <c r="AM65" s="1628">
        <f>Z65-AL65</f>
        <v>153825</v>
      </c>
    </row>
    <row r="66" spans="1:39" ht="13.5" thickTop="1" x14ac:dyDescent="0.2">
      <c r="A66" s="26" t="s">
        <v>38</v>
      </c>
      <c r="B66" s="26"/>
      <c r="C66" s="26"/>
      <c r="D66" s="26"/>
      <c r="E66" s="417">
        <f>SUM(E64:E65)</f>
        <v>206737</v>
      </c>
      <c r="F66" s="284">
        <f>SUM(F64:F65)</f>
        <v>179172</v>
      </c>
    </row>
    <row r="67" spans="1:39" s="39" customFormat="1" ht="13.5" thickBot="1" x14ac:dyDescent="0.25">
      <c r="A67" s="26"/>
      <c r="B67" s="26"/>
      <c r="C67" s="26"/>
      <c r="D67" s="26"/>
      <c r="E67" s="417"/>
      <c r="F67" s="284"/>
      <c r="G67" s="52"/>
      <c r="H67" s="52"/>
      <c r="I67" s="52"/>
      <c r="J67" s="52"/>
      <c r="K67" s="52"/>
      <c r="L67" s="52"/>
      <c r="M67" s="52"/>
      <c r="N67" s="52"/>
      <c r="O67" s="432"/>
      <c r="P67" s="52"/>
      <c r="Q67" s="52"/>
      <c r="R67" s="52"/>
      <c r="S67" s="52"/>
      <c r="T67" s="52"/>
      <c r="U67" s="52"/>
      <c r="V67" s="52"/>
      <c r="W67" s="52"/>
      <c r="X67" s="432"/>
      <c r="Y67" s="293"/>
      <c r="Z67" s="52"/>
      <c r="AA67" s="52"/>
      <c r="AB67" s="433"/>
      <c r="AC67" s="432"/>
      <c r="AD67" s="432"/>
      <c r="AE67" s="434"/>
      <c r="AF67" s="435"/>
      <c r="AG67" s="292"/>
      <c r="AH67" s="52"/>
      <c r="AI67" s="52"/>
      <c r="AJ67" s="52"/>
      <c r="AK67" s="446"/>
      <c r="AL67" s="119"/>
      <c r="AM67" s="433"/>
    </row>
    <row r="68" spans="1:39" ht="14.25" thickTop="1" thickBot="1" x14ac:dyDescent="0.25">
      <c r="A68" s="804" t="s">
        <v>524</v>
      </c>
      <c r="B68" s="696"/>
      <c r="C68" s="696"/>
      <c r="D68" s="696"/>
      <c r="E68" s="420"/>
      <c r="F68" s="421"/>
    </row>
    <row r="69" spans="1:39" s="564" customFormat="1" ht="13.5" thickTop="1" x14ac:dyDescent="0.2">
      <c r="A69" s="1174" t="s">
        <v>582</v>
      </c>
      <c r="B69" s="1222" t="s">
        <v>7</v>
      </c>
      <c r="C69" s="1222" t="s">
        <v>132</v>
      </c>
      <c r="D69" s="1451" t="s">
        <v>8</v>
      </c>
      <c r="E69" s="417"/>
      <c r="F69" s="284"/>
      <c r="G69" s="52"/>
      <c r="H69" s="52"/>
      <c r="I69" s="52"/>
      <c r="J69" s="52"/>
      <c r="K69" s="52"/>
      <c r="L69" s="52"/>
      <c r="M69" s="52"/>
      <c r="N69" s="52"/>
      <c r="O69" s="432"/>
      <c r="P69" s="52"/>
      <c r="Q69" s="52"/>
      <c r="R69" s="52"/>
      <c r="S69" s="52"/>
      <c r="T69" s="52"/>
      <c r="U69" s="52"/>
      <c r="V69" s="52"/>
      <c r="W69" s="52"/>
      <c r="X69" s="432"/>
      <c r="Y69" s="293"/>
      <c r="Z69" s="52"/>
      <c r="AA69" s="52"/>
      <c r="AB69" s="433"/>
      <c r="AC69" s="432"/>
      <c r="AD69" s="432"/>
      <c r="AE69" s="434"/>
      <c r="AF69" s="435"/>
      <c r="AG69" s="292"/>
      <c r="AH69" s="52"/>
      <c r="AI69" s="52"/>
      <c r="AJ69" s="52"/>
      <c r="AK69" s="446"/>
      <c r="AL69" s="119"/>
      <c r="AM69" s="433"/>
    </row>
    <row r="70" spans="1:39" s="39" customFormat="1" x14ac:dyDescent="0.2">
      <c r="A70" s="1243" t="s">
        <v>580</v>
      </c>
      <c r="B70" s="1254" t="s">
        <v>14</v>
      </c>
      <c r="C70" s="1254" t="s">
        <v>132</v>
      </c>
      <c r="D70" s="1409" t="s">
        <v>8</v>
      </c>
      <c r="E70" s="417"/>
      <c r="F70" s="284"/>
      <c r="G70" s="52"/>
      <c r="I70" s="52"/>
      <c r="J70" s="52"/>
      <c r="K70" s="52"/>
      <c r="L70" s="52"/>
      <c r="M70" s="52"/>
      <c r="N70" s="52"/>
      <c r="O70" s="432"/>
      <c r="P70" s="52"/>
      <c r="R70" s="52"/>
      <c r="S70" s="52"/>
      <c r="T70" s="52"/>
      <c r="U70" s="52"/>
      <c r="V70" s="52"/>
      <c r="W70" s="52"/>
      <c r="X70" s="432"/>
      <c r="Y70" s="293"/>
      <c r="Z70" s="52"/>
      <c r="AA70" s="52"/>
      <c r="AB70" s="433"/>
      <c r="AC70" s="432"/>
      <c r="AD70" s="432"/>
      <c r="AE70" s="434"/>
      <c r="AF70" s="435"/>
      <c r="AG70" s="292"/>
      <c r="AH70" s="52"/>
      <c r="AI70" s="52"/>
      <c r="AJ70" s="52"/>
      <c r="AK70" s="446"/>
      <c r="AL70" s="119"/>
      <c r="AM70" s="433"/>
    </row>
    <row r="71" spans="1:39" s="410" customFormat="1" x14ac:dyDescent="0.2">
      <c r="A71" s="1456" t="s">
        <v>556</v>
      </c>
      <c r="B71" s="1218" t="s">
        <v>14</v>
      </c>
      <c r="C71" s="1218" t="s">
        <v>132</v>
      </c>
      <c r="D71" s="1407" t="s">
        <v>8</v>
      </c>
      <c r="E71" s="807"/>
      <c r="F71" s="808"/>
      <c r="G71" s="577"/>
      <c r="H71" s="577"/>
      <c r="I71" s="577"/>
      <c r="J71" s="577"/>
      <c r="K71" s="577"/>
      <c r="L71" s="577"/>
      <c r="M71" s="577"/>
      <c r="N71" s="577"/>
      <c r="O71" s="578"/>
      <c r="P71" s="577"/>
      <c r="Q71" s="577"/>
      <c r="R71" s="577"/>
      <c r="S71" s="577"/>
      <c r="T71" s="577"/>
      <c r="U71" s="577"/>
      <c r="V71" s="577"/>
      <c r="W71" s="577"/>
      <c r="X71" s="578"/>
      <c r="Y71" s="579"/>
      <c r="Z71" s="577"/>
      <c r="AA71" s="577"/>
      <c r="AB71" s="580"/>
      <c r="AC71" s="578"/>
      <c r="AD71" s="578"/>
      <c r="AE71" s="581"/>
      <c r="AF71" s="582"/>
      <c r="AG71" s="1882"/>
      <c r="AH71" s="577"/>
      <c r="AI71" s="577"/>
      <c r="AJ71" s="577"/>
      <c r="AK71" s="583"/>
      <c r="AL71" s="584"/>
      <c r="AM71" s="580"/>
    </row>
    <row r="72" spans="1:39" x14ac:dyDescent="0.2">
      <c r="A72" s="26" t="s">
        <v>38</v>
      </c>
      <c r="B72" s="26"/>
      <c r="C72" s="26"/>
      <c r="D72" s="26"/>
      <c r="E72" s="417">
        <f>SUM(E69:E71)</f>
        <v>0</v>
      </c>
      <c r="F72" s="284">
        <f>SUM(F69:F71)</f>
        <v>0</v>
      </c>
    </row>
    <row r="73" spans="1:39" ht="13.5" thickBot="1" x14ac:dyDescent="0.25">
      <c r="A73" s="26"/>
      <c r="B73" s="26"/>
      <c r="C73" s="26"/>
      <c r="D73" s="26"/>
      <c r="E73" s="417"/>
      <c r="F73" s="284"/>
    </row>
    <row r="74" spans="1:39" ht="14.25" thickTop="1" thickBot="1" x14ac:dyDescent="0.25">
      <c r="A74" s="698" t="s">
        <v>595</v>
      </c>
      <c r="B74" s="696"/>
      <c r="C74" s="696"/>
      <c r="D74" s="419"/>
      <c r="E74" s="420"/>
      <c r="F74" s="421"/>
    </row>
    <row r="75" spans="1:39" s="413" customFormat="1" ht="13.5" thickTop="1" x14ac:dyDescent="0.2">
      <c r="A75" s="1621" t="s">
        <v>600</v>
      </c>
      <c r="B75" s="1621" t="s">
        <v>14</v>
      </c>
      <c r="C75" s="1621" t="s">
        <v>132</v>
      </c>
      <c r="D75" s="1621" t="s">
        <v>8</v>
      </c>
      <c r="E75" s="417"/>
      <c r="F75" s="284"/>
      <c r="G75" s="422"/>
      <c r="H75" s="422"/>
      <c r="I75" s="422"/>
      <c r="J75" s="422"/>
      <c r="K75" s="422"/>
      <c r="L75" s="422"/>
      <c r="M75" s="422"/>
      <c r="N75" s="422"/>
      <c r="O75" s="266"/>
      <c r="P75" s="422"/>
      <c r="Q75" s="422"/>
      <c r="R75" s="422"/>
      <c r="S75" s="422"/>
      <c r="T75" s="422"/>
      <c r="U75" s="422"/>
      <c r="V75" s="422"/>
      <c r="W75" s="422"/>
      <c r="X75" s="266"/>
      <c r="Y75" s="450"/>
      <c r="Z75" s="422"/>
      <c r="AA75" s="422"/>
      <c r="AB75" s="263"/>
      <c r="AC75" s="449"/>
      <c r="AD75" s="449"/>
      <c r="AE75" s="43"/>
      <c r="AF75" s="451"/>
      <c r="AG75" s="1883"/>
      <c r="AH75" s="453"/>
      <c r="AI75" s="453"/>
      <c r="AJ75" s="1"/>
      <c r="AK75" s="452"/>
      <c r="AL75" s="453"/>
      <c r="AM75" s="263"/>
    </row>
    <row r="76" spans="1:39" s="413" customFormat="1" ht="13.5" thickBot="1" x14ac:dyDescent="0.25">
      <c r="A76" s="408"/>
      <c r="B76" s="408"/>
      <c r="C76" s="408"/>
      <c r="D76" s="408"/>
      <c r="E76" s="417"/>
      <c r="F76" s="284"/>
      <c r="G76" s="422"/>
      <c r="H76" s="422"/>
      <c r="I76" s="422"/>
      <c r="J76" s="422"/>
      <c r="K76" s="422"/>
      <c r="L76" s="422"/>
      <c r="M76" s="422"/>
      <c r="N76" s="422"/>
      <c r="O76" s="266"/>
      <c r="P76" s="422"/>
      <c r="Q76" s="422"/>
      <c r="R76" s="422"/>
      <c r="S76" s="422"/>
      <c r="T76" s="422"/>
      <c r="U76" s="422"/>
      <c r="V76" s="422"/>
      <c r="W76" s="422"/>
      <c r="X76" s="266"/>
      <c r="Y76" s="450"/>
      <c r="Z76" s="422"/>
      <c r="AA76" s="422"/>
      <c r="AB76" s="263"/>
      <c r="AC76" s="449"/>
      <c r="AD76" s="449"/>
      <c r="AE76" s="43"/>
      <c r="AF76" s="451"/>
      <c r="AG76" s="1883"/>
      <c r="AH76" s="453"/>
      <c r="AI76" s="453"/>
      <c r="AJ76" s="1"/>
      <c r="AK76" s="452"/>
      <c r="AL76" s="453"/>
      <c r="AM76" s="263"/>
    </row>
    <row r="77" spans="1:39" ht="14.25" thickTop="1" thickBot="1" x14ac:dyDescent="0.25">
      <c r="A77" s="698" t="s">
        <v>610</v>
      </c>
      <c r="B77" s="696"/>
      <c r="C77" s="696"/>
      <c r="D77" s="696"/>
      <c r="E77" s="420"/>
      <c r="F77" s="421"/>
    </row>
    <row r="78" spans="1:39" s="564" customFormat="1" ht="13.5" thickTop="1" x14ac:dyDescent="0.2">
      <c r="A78" s="1174" t="s">
        <v>616</v>
      </c>
      <c r="B78" s="1222" t="s">
        <v>7</v>
      </c>
      <c r="C78" s="1222" t="s">
        <v>132</v>
      </c>
      <c r="D78" s="1451" t="s">
        <v>8</v>
      </c>
      <c r="E78" s="417"/>
      <c r="F78" s="284"/>
      <c r="G78" s="52"/>
      <c r="H78" s="52"/>
      <c r="I78" s="52"/>
      <c r="J78" s="52"/>
      <c r="K78" s="52"/>
      <c r="L78" s="52"/>
      <c r="M78" s="52"/>
      <c r="N78" s="52"/>
      <c r="O78" s="432"/>
      <c r="P78" s="52"/>
      <c r="Q78" s="52"/>
      <c r="R78" s="52"/>
      <c r="S78" s="52"/>
      <c r="T78" s="52"/>
      <c r="U78" s="52"/>
      <c r="V78" s="52"/>
      <c r="W78" s="52"/>
      <c r="X78" s="432"/>
      <c r="Y78" s="293"/>
      <c r="Z78" s="52"/>
      <c r="AA78" s="52"/>
      <c r="AB78" s="433"/>
      <c r="AC78" s="432"/>
      <c r="AD78" s="432"/>
      <c r="AE78" s="434"/>
      <c r="AF78" s="435"/>
      <c r="AG78" s="292"/>
      <c r="AH78" s="52"/>
      <c r="AI78" s="52"/>
      <c r="AJ78" s="52"/>
      <c r="AK78" s="446"/>
      <c r="AL78" s="119"/>
      <c r="AM78" s="433"/>
    </row>
    <row r="79" spans="1:39" s="1196" customFormat="1" ht="13.5" thickBot="1" x14ac:dyDescent="0.25">
      <c r="A79" s="1404" t="s">
        <v>617</v>
      </c>
      <c r="B79" s="1405" t="s">
        <v>7</v>
      </c>
      <c r="C79" s="1405" t="s">
        <v>44</v>
      </c>
      <c r="D79" s="1416" t="s">
        <v>8</v>
      </c>
      <c r="E79" s="1632">
        <v>241236</v>
      </c>
      <c r="F79" s="1633">
        <v>209071</v>
      </c>
      <c r="G79" s="1197"/>
      <c r="H79" s="1197">
        <v>49125</v>
      </c>
      <c r="I79" s="1197">
        <v>133851</v>
      </c>
      <c r="J79" s="1197">
        <v>187361</v>
      </c>
      <c r="K79" s="1197">
        <v>229986</v>
      </c>
      <c r="L79" s="1197">
        <v>278517</v>
      </c>
      <c r="M79" s="1197"/>
      <c r="N79" s="1197"/>
      <c r="O79" s="1626">
        <f>SUM(G79:L79)</f>
        <v>878840</v>
      </c>
      <c r="P79" s="1197"/>
      <c r="Q79" s="1197">
        <v>11386</v>
      </c>
      <c r="R79" s="1197">
        <v>30418</v>
      </c>
      <c r="S79" s="1197">
        <v>47313</v>
      </c>
      <c r="T79" s="1197">
        <v>71239</v>
      </c>
      <c r="U79" s="1197">
        <v>106621</v>
      </c>
      <c r="V79" s="1197"/>
      <c r="W79" s="1197"/>
      <c r="X79" s="1626">
        <f>SUM(Q79:U79)</f>
        <v>266977</v>
      </c>
      <c r="Y79" s="1627">
        <v>4.2999999999999997E-2</v>
      </c>
      <c r="Z79" s="1197">
        <v>787822</v>
      </c>
      <c r="AA79" s="1197">
        <v>236953</v>
      </c>
      <c r="AB79" s="1628">
        <f>Z79-AA79</f>
        <v>550869</v>
      </c>
      <c r="AC79" s="1626">
        <v>440695</v>
      </c>
      <c r="AD79" s="1626">
        <v>1370000</v>
      </c>
      <c r="AE79" s="1629">
        <f>AC79/AD79</f>
        <v>0.32167518248175181</v>
      </c>
      <c r="AF79" s="1630">
        <v>3.2800000000000003E-2</v>
      </c>
      <c r="AG79" s="1381">
        <v>639921</v>
      </c>
      <c r="AH79" s="1197">
        <v>199943</v>
      </c>
      <c r="AI79" s="1197">
        <v>436896</v>
      </c>
      <c r="AJ79" s="1197">
        <f>Z79-AI79</f>
        <v>350926</v>
      </c>
      <c r="AK79" s="1631">
        <v>170996</v>
      </c>
      <c r="AL79" s="1341">
        <v>407949</v>
      </c>
      <c r="AM79" s="1628">
        <f>Z79-AL79</f>
        <v>379873</v>
      </c>
    </row>
    <row r="80" spans="1:39" ht="13.5" thickTop="1" x14ac:dyDescent="0.2">
      <c r="A80" s="26" t="s">
        <v>38</v>
      </c>
      <c r="B80" s="26"/>
      <c r="C80" s="26"/>
      <c r="D80" s="26"/>
      <c r="E80" s="417">
        <f>SUM(E78:E79)</f>
        <v>241236</v>
      </c>
      <c r="F80" s="284">
        <f>SUM(F78:F79)</f>
        <v>209071</v>
      </c>
    </row>
    <row r="81" spans="1:39" ht="13.5" thickBot="1" x14ac:dyDescent="0.25">
      <c r="A81" s="26"/>
      <c r="B81" s="26"/>
      <c r="C81" s="26"/>
      <c r="D81" s="26"/>
      <c r="E81" s="417"/>
      <c r="F81" s="284"/>
      <c r="AB81" s="6"/>
      <c r="AM81" s="6"/>
    </row>
    <row r="82" spans="1:39" ht="14.25" thickTop="1" thickBot="1" x14ac:dyDescent="0.25">
      <c r="A82" s="698" t="s">
        <v>651</v>
      </c>
      <c r="B82" s="696"/>
      <c r="C82" s="696"/>
      <c r="D82" s="696"/>
      <c r="E82" s="420"/>
      <c r="F82" s="421"/>
      <c r="AB82" s="6"/>
      <c r="AM82" s="6"/>
    </row>
    <row r="83" spans="1:39" s="1196" customFormat="1" ht="13.5" thickTop="1" x14ac:dyDescent="0.2">
      <c r="A83" s="1235" t="s">
        <v>652</v>
      </c>
      <c r="B83" s="1209" t="s">
        <v>7</v>
      </c>
      <c r="C83" s="1209" t="s">
        <v>44</v>
      </c>
      <c r="D83" s="1441" t="s">
        <v>8</v>
      </c>
      <c r="E83" s="1634">
        <v>377371</v>
      </c>
      <c r="F83" s="1383">
        <v>336544</v>
      </c>
      <c r="G83" s="1197"/>
      <c r="H83" s="1197">
        <v>24309</v>
      </c>
      <c r="I83" s="1197">
        <v>127483</v>
      </c>
      <c r="J83" s="1197">
        <v>186257</v>
      </c>
      <c r="K83" s="1197">
        <v>220195</v>
      </c>
      <c r="L83" s="1197">
        <v>248295</v>
      </c>
      <c r="M83" s="1197"/>
      <c r="N83" s="1197"/>
      <c r="O83" s="1626">
        <f>SUM(G83:L83)</f>
        <v>806539</v>
      </c>
      <c r="P83" s="1197"/>
      <c r="Q83" s="1197">
        <v>2984</v>
      </c>
      <c r="R83" s="1197">
        <v>21400</v>
      </c>
      <c r="S83" s="1197">
        <v>44267</v>
      </c>
      <c r="T83" s="1197">
        <v>66272</v>
      </c>
      <c r="U83" s="1197">
        <v>87061</v>
      </c>
      <c r="V83" s="1197"/>
      <c r="W83" s="1197"/>
      <c r="X83" s="1626">
        <f>SUM(Q83:U83)</f>
        <v>221984</v>
      </c>
      <c r="Y83" s="1627">
        <v>4.2999999999999997E-2</v>
      </c>
      <c r="Z83" s="1197">
        <v>721712</v>
      </c>
      <c r="AA83" s="1197">
        <v>196195</v>
      </c>
      <c r="AB83" s="1341">
        <f>Z83-AA83</f>
        <v>525517</v>
      </c>
      <c r="AC83" s="1626">
        <v>420414</v>
      </c>
      <c r="AD83" s="1626">
        <v>1710000</v>
      </c>
      <c r="AE83" s="1629">
        <v>0.246</v>
      </c>
      <c r="AF83" s="1630">
        <v>6.9599999999999995E-2</v>
      </c>
      <c r="AG83" s="1381">
        <v>310107</v>
      </c>
      <c r="AH83" s="1197">
        <v>339545</v>
      </c>
      <c r="AI83" s="1197">
        <v>535739</v>
      </c>
      <c r="AJ83" s="1197">
        <f>Z83-AI83</f>
        <v>185973</v>
      </c>
      <c r="AK83" s="1631">
        <v>299442</v>
      </c>
      <c r="AL83" s="1341">
        <v>495636</v>
      </c>
      <c r="AM83" s="1341">
        <f>Z83-AL83</f>
        <v>226076</v>
      </c>
    </row>
    <row r="84" spans="1:39" s="918" customFormat="1" ht="13.5" thickBot="1" x14ac:dyDescent="0.25">
      <c r="A84" s="946" t="s">
        <v>626</v>
      </c>
      <c r="B84" s="947" t="s">
        <v>14</v>
      </c>
      <c r="C84" s="947" t="s">
        <v>132</v>
      </c>
      <c r="D84" s="950" t="s">
        <v>8</v>
      </c>
      <c r="E84" s="801"/>
      <c r="F84" s="802"/>
      <c r="G84" s="642"/>
      <c r="H84" s="642"/>
      <c r="I84" s="642"/>
      <c r="J84" s="642"/>
      <c r="K84" s="642"/>
      <c r="L84" s="642"/>
      <c r="M84" s="642"/>
      <c r="N84" s="642"/>
      <c r="O84" s="956"/>
      <c r="P84" s="642"/>
      <c r="Q84" s="642"/>
      <c r="R84" s="642"/>
      <c r="S84" s="642"/>
      <c r="T84" s="642"/>
      <c r="U84" s="642"/>
      <c r="V84" s="642"/>
      <c r="W84" s="642"/>
      <c r="X84" s="956"/>
      <c r="Y84" s="957"/>
      <c r="Z84" s="642"/>
      <c r="AA84" s="642"/>
      <c r="AB84" s="74"/>
      <c r="AC84" s="956"/>
      <c r="AD84" s="956"/>
      <c r="AE84" s="958"/>
      <c r="AF84" s="959"/>
      <c r="AG84" s="285"/>
      <c r="AH84" s="642"/>
      <c r="AI84" s="642"/>
      <c r="AJ84" s="642"/>
      <c r="AK84" s="960"/>
      <c r="AL84" s="74"/>
      <c r="AM84" s="74"/>
    </row>
    <row r="85" spans="1:39" ht="13.5" thickTop="1" x14ac:dyDescent="0.2">
      <c r="A85" s="26" t="s">
        <v>38</v>
      </c>
      <c r="B85" s="26"/>
      <c r="C85" s="26"/>
      <c r="D85" s="26"/>
      <c r="E85" s="417">
        <f>SUM(E83:E84)</f>
        <v>377371</v>
      </c>
      <c r="F85" s="284">
        <f>SUM(F83:F84)</f>
        <v>336544</v>
      </c>
      <c r="AB85" s="6"/>
      <c r="AM85" s="6"/>
    </row>
    <row r="86" spans="1:39" ht="13.5" thickBot="1" x14ac:dyDescent="0.25">
      <c r="A86" s="26"/>
      <c r="B86" s="26"/>
      <c r="C86" s="26"/>
      <c r="D86" s="26"/>
      <c r="E86" s="417"/>
      <c r="F86" s="284"/>
      <c r="AB86" s="6"/>
      <c r="AM86" s="6"/>
    </row>
    <row r="87" spans="1:39" ht="14.25" thickTop="1" thickBot="1" x14ac:dyDescent="0.25">
      <c r="A87" s="698" t="s">
        <v>677</v>
      </c>
      <c r="B87" s="696"/>
      <c r="C87" s="696"/>
      <c r="D87" s="696"/>
      <c r="E87" s="420"/>
      <c r="F87" s="421"/>
      <c r="AB87" s="6"/>
      <c r="AM87" s="6"/>
    </row>
    <row r="88" spans="1:39" ht="13.5" thickTop="1" x14ac:dyDescent="0.2">
      <c r="A88" s="1221" t="s">
        <v>683</v>
      </c>
      <c r="B88" s="1222" t="s">
        <v>7</v>
      </c>
      <c r="C88" s="1222" t="s">
        <v>46</v>
      </c>
      <c r="D88" s="1451" t="s">
        <v>8</v>
      </c>
      <c r="E88" s="417"/>
      <c r="F88" s="284"/>
      <c r="AB88" s="6"/>
      <c r="AM88" s="6"/>
    </row>
    <row r="89" spans="1:39" s="1196" customFormat="1" x14ac:dyDescent="0.2">
      <c r="A89" s="1412" t="s">
        <v>412</v>
      </c>
      <c r="B89" s="1201" t="s">
        <v>7</v>
      </c>
      <c r="C89" s="1201" t="s">
        <v>44</v>
      </c>
      <c r="D89" s="1465" t="s">
        <v>8</v>
      </c>
      <c r="E89" s="1634">
        <v>231531</v>
      </c>
      <c r="F89" s="1383">
        <v>221401</v>
      </c>
      <c r="G89" s="1197"/>
      <c r="H89" s="1197">
        <v>11858</v>
      </c>
      <c r="I89" s="1197">
        <v>50120</v>
      </c>
      <c r="J89" s="1197">
        <v>85060</v>
      </c>
      <c r="K89" s="1197">
        <v>113810</v>
      </c>
      <c r="L89" s="1197">
        <v>132689</v>
      </c>
      <c r="M89" s="1197"/>
      <c r="N89" s="1197"/>
      <c r="O89" s="1626">
        <f>SUM(G89:M89)</f>
        <v>393537</v>
      </c>
      <c r="P89" s="1197"/>
      <c r="Q89" s="1197">
        <v>1416</v>
      </c>
      <c r="R89" s="1197">
        <v>7215</v>
      </c>
      <c r="S89" s="1197">
        <v>13902</v>
      </c>
      <c r="T89" s="1197">
        <v>17994</v>
      </c>
      <c r="U89" s="1197">
        <v>21987</v>
      </c>
      <c r="V89" s="1197"/>
      <c r="W89" s="1197"/>
      <c r="X89" s="1626">
        <f>SUM(Q89:V89)</f>
        <v>62514</v>
      </c>
      <c r="Y89" s="1627">
        <v>4.2999999999999997E-2</v>
      </c>
      <c r="Z89" s="1197">
        <v>350573</v>
      </c>
      <c r="AA89" s="1197">
        <v>55559</v>
      </c>
      <c r="AB89" s="1341">
        <f>Z89-AA89</f>
        <v>295014</v>
      </c>
      <c r="AC89" s="1626">
        <v>236012</v>
      </c>
      <c r="AD89" s="1626">
        <v>615000</v>
      </c>
      <c r="AE89" s="1629">
        <v>0.38400000000000001</v>
      </c>
      <c r="AF89" s="1630">
        <v>1.7899999999999999E-2</v>
      </c>
      <c r="AG89" s="1381">
        <v>11675</v>
      </c>
      <c r="AH89" s="1197">
        <v>198516</v>
      </c>
      <c r="AI89" s="1197">
        <v>254075</v>
      </c>
      <c r="AJ89" s="1197">
        <f>Z89-AI89</f>
        <v>96498</v>
      </c>
      <c r="AK89" s="1631">
        <v>188919</v>
      </c>
      <c r="AL89" s="1341">
        <v>244478</v>
      </c>
      <c r="AM89" s="1341">
        <f>Z89-AL89</f>
        <v>106095</v>
      </c>
    </row>
    <row r="90" spans="1:39" s="409" customFormat="1" x14ac:dyDescent="0.2">
      <c r="A90" s="1253" t="s">
        <v>679</v>
      </c>
      <c r="B90" s="1254" t="s">
        <v>14</v>
      </c>
      <c r="C90" s="1254" t="s">
        <v>132</v>
      </c>
      <c r="D90" s="1455" t="s">
        <v>8</v>
      </c>
      <c r="E90" s="1035"/>
      <c r="F90" s="1036"/>
      <c r="G90" s="951"/>
      <c r="H90" s="951"/>
      <c r="I90" s="951"/>
      <c r="J90" s="951"/>
      <c r="K90" s="951"/>
      <c r="L90" s="951"/>
      <c r="M90" s="1037"/>
      <c r="N90" s="1039"/>
      <c r="O90" s="951"/>
      <c r="P90" s="1038"/>
      <c r="Q90" s="1039"/>
      <c r="R90" s="1039"/>
      <c r="S90" s="1039"/>
      <c r="T90" s="1039"/>
      <c r="U90" s="1039"/>
      <c r="V90" s="1037"/>
      <c r="W90" s="1039"/>
      <c r="X90" s="951"/>
      <c r="Y90" s="1040"/>
      <c r="Z90" s="1039"/>
      <c r="AA90" s="1039"/>
      <c r="AB90" s="1037"/>
      <c r="AC90" s="1041"/>
      <c r="AD90" s="1041"/>
      <c r="AE90" s="1042"/>
      <c r="AF90" s="1043"/>
      <c r="AG90" s="285"/>
      <c r="AH90" s="642"/>
      <c r="AI90" s="642"/>
      <c r="AJ90" s="642"/>
      <c r="AK90" s="960"/>
      <c r="AL90" s="74"/>
      <c r="AM90" s="74"/>
    </row>
    <row r="91" spans="1:39" s="409" customFormat="1" x14ac:dyDescent="0.2">
      <c r="A91" s="1253" t="s">
        <v>685</v>
      </c>
      <c r="B91" s="1254" t="s">
        <v>14</v>
      </c>
      <c r="C91" s="1254" t="s">
        <v>132</v>
      </c>
      <c r="D91" s="1455" t="s">
        <v>8</v>
      </c>
      <c r="E91" s="418"/>
      <c r="F91" s="285"/>
      <c r="G91" s="642"/>
      <c r="H91" s="642"/>
      <c r="I91" s="642"/>
      <c r="J91" s="642"/>
      <c r="K91" s="642"/>
      <c r="L91" s="642"/>
      <c r="M91" s="642"/>
      <c r="N91" s="642"/>
      <c r="O91" s="956"/>
      <c r="P91" s="642"/>
      <c r="Q91" s="642"/>
      <c r="R91" s="642"/>
      <c r="S91" s="642"/>
      <c r="T91" s="642"/>
      <c r="U91" s="642"/>
      <c r="V91" s="642"/>
      <c r="W91" s="642"/>
      <c r="X91" s="956"/>
      <c r="Y91" s="957"/>
      <c r="Z91" s="642"/>
      <c r="AA91" s="642"/>
      <c r="AB91" s="74"/>
      <c r="AC91" s="956"/>
      <c r="AD91" s="956"/>
      <c r="AE91" s="958"/>
      <c r="AF91" s="959"/>
      <c r="AG91" s="285"/>
      <c r="AH91" s="642"/>
      <c r="AI91" s="642"/>
      <c r="AJ91" s="642"/>
      <c r="AK91" s="960"/>
      <c r="AL91" s="74"/>
      <c r="AM91" s="74"/>
    </row>
    <row r="92" spans="1:39" s="1276" customFormat="1" ht="13.5" thickBot="1" x14ac:dyDescent="0.25">
      <c r="A92" s="1364" t="s">
        <v>671</v>
      </c>
      <c r="B92" s="1417" t="s">
        <v>7</v>
      </c>
      <c r="C92" s="1418" t="s">
        <v>44</v>
      </c>
      <c r="D92" s="1417" t="s">
        <v>8</v>
      </c>
      <c r="E92" s="1635">
        <v>692854</v>
      </c>
      <c r="F92" s="1636">
        <v>635116</v>
      </c>
      <c r="G92" s="1275"/>
      <c r="H92" s="1275"/>
      <c r="I92" s="1275">
        <v>145872</v>
      </c>
      <c r="J92" s="1275">
        <v>364110</v>
      </c>
      <c r="K92" s="1275">
        <v>606581</v>
      </c>
      <c r="L92" s="1275">
        <v>829612</v>
      </c>
      <c r="M92" s="1275">
        <v>1021898</v>
      </c>
      <c r="N92" s="1275"/>
      <c r="O92" s="1637">
        <f>SUM(G92:M92)</f>
        <v>2968073</v>
      </c>
      <c r="P92" s="1275"/>
      <c r="Q92" s="1275"/>
      <c r="R92" s="1275">
        <v>28189</v>
      </c>
      <c r="S92" s="1275">
        <v>92220</v>
      </c>
      <c r="T92" s="1275">
        <v>191046</v>
      </c>
      <c r="U92" s="1275">
        <v>313878</v>
      </c>
      <c r="V92" s="1275">
        <v>448715</v>
      </c>
      <c r="W92" s="1275"/>
      <c r="X92" s="1637">
        <f>SUM(Q92:V92)</f>
        <v>1074048</v>
      </c>
      <c r="Y92" s="1638">
        <v>5.2999999999999999E-2</v>
      </c>
      <c r="Z92" s="1275">
        <v>2580720</v>
      </c>
      <c r="AA92" s="1275">
        <v>921977</v>
      </c>
      <c r="AB92" s="1348">
        <f>Z92-AA92</f>
        <v>1658743</v>
      </c>
      <c r="AC92" s="1637">
        <v>1326995</v>
      </c>
      <c r="AD92" s="1637">
        <v>5963160</v>
      </c>
      <c r="AE92" s="1639">
        <v>0.223</v>
      </c>
      <c r="AF92" s="1640">
        <v>4.6399999999999997E-2</v>
      </c>
      <c r="AG92" s="1368">
        <v>2973441</v>
      </c>
      <c r="AH92" s="1275">
        <v>599200</v>
      </c>
      <c r="AI92" s="1275">
        <v>1521177</v>
      </c>
      <c r="AJ92" s="1275">
        <f>Z92-AI92</f>
        <v>1059543</v>
      </c>
      <c r="AK92" s="1641">
        <v>543985</v>
      </c>
      <c r="AL92" s="1348">
        <v>1465963</v>
      </c>
      <c r="AM92" s="1348">
        <f>Z92-AL92</f>
        <v>1114757</v>
      </c>
    </row>
    <row r="93" spans="1:39" s="39" customFormat="1" ht="13.5" thickTop="1" x14ac:dyDescent="0.2">
      <c r="A93" s="26" t="s">
        <v>38</v>
      </c>
      <c r="B93" s="26"/>
      <c r="C93" s="26"/>
      <c r="D93" s="26"/>
      <c r="E93" s="952">
        <f>SUM(E89:E92)</f>
        <v>924385</v>
      </c>
      <c r="F93" s="953">
        <f>SUM(F89:F92)</f>
        <v>856517</v>
      </c>
      <c r="G93" s="52"/>
      <c r="H93" s="52"/>
      <c r="I93" s="52"/>
      <c r="J93" s="52"/>
      <c r="K93" s="52"/>
      <c r="L93" s="52"/>
      <c r="M93" s="52"/>
      <c r="N93" s="52"/>
      <c r="O93" s="432"/>
      <c r="P93" s="52"/>
      <c r="Q93" s="52"/>
      <c r="R93" s="52"/>
      <c r="S93" s="52"/>
      <c r="T93" s="52"/>
      <c r="U93" s="52"/>
      <c r="V93" s="52"/>
      <c r="W93" s="52"/>
      <c r="X93" s="432"/>
      <c r="Y93" s="293"/>
      <c r="Z93" s="52"/>
      <c r="AA93" s="52"/>
      <c r="AB93" s="119"/>
      <c r="AC93" s="432"/>
      <c r="AD93" s="432"/>
      <c r="AE93" s="434"/>
      <c r="AF93" s="435"/>
      <c r="AG93" s="292"/>
      <c r="AH93" s="52"/>
      <c r="AI93" s="52"/>
      <c r="AJ93" s="52"/>
      <c r="AK93" s="446"/>
      <c r="AL93" s="119"/>
      <c r="AM93" s="119"/>
    </row>
    <row r="94" spans="1:39" s="39" customFormat="1" ht="13.5" thickBot="1" x14ac:dyDescent="0.25">
      <c r="A94" s="26"/>
      <c r="B94" s="26"/>
      <c r="C94" s="26"/>
      <c r="D94" s="26"/>
      <c r="E94" s="417"/>
      <c r="F94" s="284"/>
      <c r="G94" s="52"/>
      <c r="H94" s="52"/>
      <c r="I94" s="52"/>
      <c r="J94" s="52"/>
      <c r="K94" s="52"/>
      <c r="L94" s="52"/>
      <c r="M94" s="52"/>
      <c r="N94" s="52"/>
      <c r="O94" s="432"/>
      <c r="P94" s="52"/>
      <c r="Q94" s="52"/>
      <c r="R94" s="52"/>
      <c r="S94" s="52"/>
      <c r="T94" s="52"/>
      <c r="U94" s="52"/>
      <c r="V94" s="52"/>
      <c r="W94" s="52"/>
      <c r="X94" s="432"/>
      <c r="Y94" s="293"/>
      <c r="Z94" s="52"/>
      <c r="AA94" s="52"/>
      <c r="AB94" s="119"/>
      <c r="AC94" s="432"/>
      <c r="AD94" s="432"/>
      <c r="AE94" s="434"/>
      <c r="AF94" s="435"/>
      <c r="AG94" s="292"/>
      <c r="AH94" s="52"/>
      <c r="AI94" s="52"/>
      <c r="AJ94" s="52"/>
      <c r="AK94" s="446"/>
      <c r="AL94" s="119"/>
      <c r="AM94" s="119"/>
    </row>
    <row r="95" spans="1:39" s="39" customFormat="1" ht="14.25" thickTop="1" thickBot="1" x14ac:dyDescent="0.25">
      <c r="A95" s="933" t="s">
        <v>744</v>
      </c>
      <c r="B95" s="934"/>
      <c r="C95" s="934"/>
      <c r="D95" s="941"/>
      <c r="E95" s="420"/>
      <c r="F95" s="421"/>
      <c r="G95" s="52"/>
      <c r="H95" s="52"/>
      <c r="I95" s="52"/>
      <c r="J95" s="52"/>
      <c r="K95" s="52"/>
      <c r="L95" s="52"/>
      <c r="M95" s="52"/>
      <c r="N95" s="52"/>
      <c r="O95" s="432"/>
      <c r="P95" s="52"/>
      <c r="Q95" s="52"/>
      <c r="R95" s="52"/>
      <c r="S95" s="52"/>
      <c r="T95" s="52"/>
      <c r="U95" s="52"/>
      <c r="V95" s="52"/>
      <c r="W95" s="52"/>
      <c r="X95" s="432"/>
      <c r="Y95" s="293"/>
      <c r="Z95" s="52"/>
      <c r="AA95" s="52"/>
      <c r="AB95" s="119"/>
      <c r="AC95" s="432"/>
      <c r="AD95" s="432"/>
      <c r="AE95" s="434"/>
      <c r="AF95" s="435"/>
      <c r="AG95" s="292"/>
      <c r="AH95" s="52"/>
      <c r="AI95" s="52"/>
      <c r="AJ95" s="52"/>
      <c r="AK95" s="446"/>
      <c r="AL95" s="119"/>
      <c r="AM95" s="119"/>
    </row>
    <row r="96" spans="1:39" s="1276" customFormat="1" x14ac:dyDescent="0.2">
      <c r="A96" s="1263" t="s">
        <v>383</v>
      </c>
      <c r="B96" s="1264" t="s">
        <v>7</v>
      </c>
      <c r="C96" s="1264" t="s">
        <v>44</v>
      </c>
      <c r="D96" s="1476" t="s">
        <v>8</v>
      </c>
      <c r="E96" s="1635">
        <v>630859</v>
      </c>
      <c r="F96" s="1636">
        <v>554993</v>
      </c>
      <c r="G96" s="1275"/>
      <c r="H96" s="1275"/>
      <c r="I96" s="1275">
        <v>121147</v>
      </c>
      <c r="J96" s="1275">
        <v>267004</v>
      </c>
      <c r="K96" s="1275">
        <v>325545</v>
      </c>
      <c r="L96" s="1275">
        <v>360276</v>
      </c>
      <c r="M96" s="1275">
        <v>379511</v>
      </c>
      <c r="N96" s="1275"/>
      <c r="O96" s="1637">
        <f>SUM(G96:M96)</f>
        <v>1453483</v>
      </c>
      <c r="P96" s="1275"/>
      <c r="Q96" s="1275"/>
      <c r="R96" s="1275">
        <v>27720</v>
      </c>
      <c r="S96" s="1275">
        <v>56350</v>
      </c>
      <c r="T96" s="1275">
        <v>88508</v>
      </c>
      <c r="U96" s="1275">
        <v>116792</v>
      </c>
      <c r="V96" s="1275">
        <v>142366</v>
      </c>
      <c r="W96" s="1275"/>
      <c r="X96" s="1637">
        <f>SUM(Q96:V96)</f>
        <v>431736</v>
      </c>
      <c r="Y96" s="1638">
        <v>5.2999999999999999E-2</v>
      </c>
      <c r="Z96" s="1275">
        <v>1285560</v>
      </c>
      <c r="AA96" s="1275">
        <v>376881</v>
      </c>
      <c r="AB96" s="1348">
        <f>Z96-AA96</f>
        <v>908679</v>
      </c>
      <c r="AC96" s="1637">
        <v>726943</v>
      </c>
      <c r="AD96" s="1637">
        <v>2034000</v>
      </c>
      <c r="AE96" s="1639">
        <v>0.35699999999999998</v>
      </c>
      <c r="AF96" s="1640">
        <v>6.3500000000000001E-2</v>
      </c>
      <c r="AG96" s="1368">
        <v>477262</v>
      </c>
      <c r="AH96" s="1275">
        <v>562962</v>
      </c>
      <c r="AI96" s="1275">
        <v>939843</v>
      </c>
      <c r="AJ96" s="1275">
        <f>Z96-AI96</f>
        <v>345717</v>
      </c>
      <c r="AK96" s="1641">
        <v>487788</v>
      </c>
      <c r="AL96" s="1348">
        <v>864669</v>
      </c>
      <c r="AM96" s="1348">
        <f>Z96-AL96</f>
        <v>420891</v>
      </c>
    </row>
    <row r="97" spans="1:39" s="1276" customFormat="1" x14ac:dyDescent="0.2">
      <c r="A97" s="1263" t="s">
        <v>748</v>
      </c>
      <c r="B97" s="1264" t="s">
        <v>7</v>
      </c>
      <c r="C97" s="1264" t="s">
        <v>44</v>
      </c>
      <c r="D97" s="1478" t="s">
        <v>8</v>
      </c>
      <c r="E97" s="1635">
        <v>103300</v>
      </c>
      <c r="F97" s="1636">
        <v>99857</v>
      </c>
      <c r="G97" s="1275"/>
      <c r="H97" s="1275"/>
      <c r="I97" s="1275">
        <v>30308</v>
      </c>
      <c r="J97" s="1275">
        <v>51770</v>
      </c>
      <c r="K97" s="1275">
        <v>60894</v>
      </c>
      <c r="L97" s="1275">
        <v>67881</v>
      </c>
      <c r="M97" s="1275">
        <v>74591</v>
      </c>
      <c r="N97" s="1275"/>
      <c r="O97" s="1637">
        <f>SUM(G97:M97)</f>
        <v>285444</v>
      </c>
      <c r="P97" s="1275"/>
      <c r="Q97" s="1275"/>
      <c r="R97" s="1275">
        <v>6859</v>
      </c>
      <c r="S97" s="1275">
        <v>16528</v>
      </c>
      <c r="T97" s="1275">
        <v>25051</v>
      </c>
      <c r="U97" s="1275">
        <v>33963</v>
      </c>
      <c r="V97" s="1275">
        <v>41991</v>
      </c>
      <c r="W97" s="1275"/>
      <c r="X97" s="1637">
        <f>SUM(Q97:V97)</f>
        <v>124392</v>
      </c>
      <c r="Y97" s="1638">
        <v>5.2999999999999999E-2</v>
      </c>
      <c r="Z97" s="1275">
        <v>253199</v>
      </c>
      <c r="AA97" s="1275">
        <v>108390</v>
      </c>
      <c r="AB97" s="1348">
        <f>Z97-AA97</f>
        <v>144809</v>
      </c>
      <c r="AC97" s="1637">
        <v>115847</v>
      </c>
      <c r="AD97" s="1637">
        <v>381000</v>
      </c>
      <c r="AE97" s="1639">
        <v>0.30399999999999999</v>
      </c>
      <c r="AF97" s="1640">
        <v>6.8900000000000003E-2</v>
      </c>
      <c r="AG97" s="1368">
        <v>112082</v>
      </c>
      <c r="AH97" s="1275">
        <v>92570</v>
      </c>
      <c r="AI97" s="1275">
        <v>200960</v>
      </c>
      <c r="AJ97" s="1275">
        <f>Z97-AI97</f>
        <v>52239</v>
      </c>
      <c r="AK97" s="1641">
        <v>89157</v>
      </c>
      <c r="AL97" s="1348">
        <v>197548</v>
      </c>
      <c r="AM97" s="1348">
        <f>Z97-AL97</f>
        <v>55651</v>
      </c>
    </row>
    <row r="98" spans="1:39" s="777" customFormat="1" ht="13.5" thickBot="1" x14ac:dyDescent="0.25">
      <c r="A98" s="1253" t="s">
        <v>751</v>
      </c>
      <c r="B98" s="1254" t="s">
        <v>14</v>
      </c>
      <c r="C98" s="1254" t="s">
        <v>132</v>
      </c>
      <c r="D98" s="1392" t="s">
        <v>8</v>
      </c>
      <c r="E98" s="805"/>
      <c r="F98" s="806"/>
      <c r="G98" s="52"/>
      <c r="H98" s="52"/>
      <c r="I98" s="52"/>
      <c r="J98" s="52"/>
      <c r="K98" s="52"/>
      <c r="L98" s="52"/>
      <c r="M98" s="52"/>
      <c r="N98" s="52"/>
      <c r="O98" s="432"/>
      <c r="P98" s="52"/>
      <c r="Q98" s="52"/>
      <c r="R98" s="52"/>
      <c r="S98" s="52"/>
      <c r="T98" s="52"/>
      <c r="U98" s="52"/>
      <c r="V98" s="52"/>
      <c r="W98" s="52"/>
      <c r="X98" s="432"/>
      <c r="Y98" s="293"/>
      <c r="Z98" s="52"/>
      <c r="AA98" s="52"/>
      <c r="AB98" s="119"/>
      <c r="AC98" s="432"/>
      <c r="AD98" s="432"/>
      <c r="AE98" s="434"/>
      <c r="AF98" s="435"/>
      <c r="AG98" s="292"/>
      <c r="AH98" s="52"/>
      <c r="AI98" s="52"/>
      <c r="AJ98" s="52"/>
      <c r="AK98" s="446"/>
      <c r="AL98" s="119"/>
      <c r="AM98" s="119"/>
    </row>
    <row r="99" spans="1:39" s="39" customFormat="1" ht="13.5" thickTop="1" x14ac:dyDescent="0.2">
      <c r="A99" s="803" t="s">
        <v>38</v>
      </c>
      <c r="B99" s="961"/>
      <c r="C99" s="961"/>
      <c r="D99" s="408"/>
      <c r="E99" s="417">
        <f>SUM(E96:E98)</f>
        <v>734159</v>
      </c>
      <c r="F99" s="284">
        <f>SUM(F96:F98)</f>
        <v>654850</v>
      </c>
      <c r="G99" s="52"/>
      <c r="H99" s="52"/>
      <c r="I99" s="52"/>
      <c r="J99" s="52"/>
      <c r="K99" s="52"/>
      <c r="L99" s="52"/>
      <c r="M99" s="52"/>
      <c r="N99" s="52"/>
      <c r="O99" s="432"/>
      <c r="P99" s="52"/>
      <c r="Q99" s="52"/>
      <c r="R99" s="52"/>
      <c r="S99" s="52"/>
      <c r="T99" s="52"/>
      <c r="U99" s="52"/>
      <c r="V99" s="52"/>
      <c r="W99" s="52"/>
      <c r="X99" s="432"/>
      <c r="Y99" s="293"/>
      <c r="Z99" s="52"/>
      <c r="AA99" s="52"/>
      <c r="AB99" s="119"/>
      <c r="AC99" s="432"/>
      <c r="AD99" s="432"/>
      <c r="AE99" s="434"/>
      <c r="AF99" s="435"/>
      <c r="AG99" s="292"/>
      <c r="AH99" s="52"/>
      <c r="AI99" s="52"/>
      <c r="AJ99" s="52"/>
      <c r="AK99" s="446"/>
      <c r="AL99" s="119"/>
      <c r="AM99" s="119"/>
    </row>
    <row r="100" spans="1:39" s="39" customFormat="1" ht="13.5" thickBot="1" x14ac:dyDescent="0.25">
      <c r="A100" s="294"/>
      <c r="B100" s="294"/>
      <c r="C100" s="294"/>
      <c r="D100" s="26"/>
      <c r="E100" s="417"/>
      <c r="F100" s="284"/>
      <c r="G100" s="52"/>
      <c r="H100" s="52"/>
      <c r="I100" s="52"/>
      <c r="J100" s="52"/>
      <c r="K100" s="52"/>
      <c r="L100" s="52"/>
      <c r="M100" s="52"/>
      <c r="N100" s="52"/>
      <c r="O100" s="432"/>
      <c r="P100" s="52"/>
      <c r="Q100" s="52"/>
      <c r="R100" s="52"/>
      <c r="S100" s="52"/>
      <c r="T100" s="52"/>
      <c r="U100" s="52"/>
      <c r="V100" s="52"/>
      <c r="W100" s="52"/>
      <c r="X100" s="432"/>
      <c r="Y100" s="293"/>
      <c r="Z100" s="52"/>
      <c r="AA100" s="52"/>
      <c r="AB100" s="119"/>
      <c r="AC100" s="432"/>
      <c r="AD100" s="432"/>
      <c r="AE100" s="434"/>
      <c r="AF100" s="435"/>
      <c r="AG100" s="292"/>
      <c r="AH100" s="52"/>
      <c r="AI100" s="52"/>
      <c r="AJ100" s="52"/>
      <c r="AK100" s="446"/>
      <c r="AL100" s="119"/>
      <c r="AM100" s="119"/>
    </row>
    <row r="101" spans="1:39" s="39" customFormat="1" ht="14.25" thickTop="1" thickBot="1" x14ac:dyDescent="0.25">
      <c r="A101" s="933" t="s">
        <v>754</v>
      </c>
      <c r="B101" s="934"/>
      <c r="C101" s="934"/>
      <c r="D101" s="756"/>
      <c r="E101" s="420"/>
      <c r="F101" s="421"/>
      <c r="G101" s="52"/>
      <c r="H101" s="52"/>
      <c r="I101" s="52"/>
      <c r="J101" s="52"/>
      <c r="K101" s="52"/>
      <c r="L101" s="52"/>
      <c r="M101" s="52"/>
      <c r="N101" s="52"/>
      <c r="O101" s="432"/>
      <c r="P101" s="52"/>
      <c r="Q101" s="52"/>
      <c r="R101" s="52"/>
      <c r="S101" s="52"/>
      <c r="T101" s="52"/>
      <c r="U101" s="52"/>
      <c r="V101" s="52"/>
      <c r="W101" s="52"/>
      <c r="X101" s="432"/>
      <c r="Y101" s="293"/>
      <c r="Z101" s="52"/>
      <c r="AA101" s="52"/>
      <c r="AB101" s="119"/>
      <c r="AC101" s="432"/>
      <c r="AD101" s="432"/>
      <c r="AE101" s="434"/>
      <c r="AF101" s="435"/>
      <c r="AG101" s="292"/>
      <c r="AH101" s="52"/>
      <c r="AI101" s="52"/>
      <c r="AJ101" s="52"/>
      <c r="AK101" s="446"/>
      <c r="AL101" s="119"/>
      <c r="AM101" s="119"/>
    </row>
    <row r="102" spans="1:39" s="1245" customFormat="1" ht="14.25" thickTop="1" thickBot="1" x14ac:dyDescent="0.25">
      <c r="A102" s="2076" t="s">
        <v>756</v>
      </c>
      <c r="B102" s="2077" t="s">
        <v>14</v>
      </c>
      <c r="C102" s="2077" t="s">
        <v>132</v>
      </c>
      <c r="D102" s="2079" t="s">
        <v>8</v>
      </c>
      <c r="E102" s="2080"/>
      <c r="F102" s="2081"/>
      <c r="G102" s="642"/>
      <c r="H102" s="642"/>
      <c r="I102" s="642"/>
      <c r="J102" s="642"/>
      <c r="K102" s="642"/>
      <c r="L102" s="642"/>
      <c r="M102" s="642"/>
      <c r="N102" s="642"/>
      <c r="O102" s="956"/>
      <c r="P102" s="642"/>
      <c r="Q102" s="642"/>
      <c r="R102" s="642"/>
      <c r="S102" s="642"/>
      <c r="T102" s="642"/>
      <c r="U102" s="642"/>
      <c r="V102" s="642"/>
      <c r="W102" s="642"/>
      <c r="X102" s="956"/>
      <c r="Y102" s="957"/>
      <c r="Z102" s="642"/>
      <c r="AA102" s="642"/>
      <c r="AB102" s="74"/>
      <c r="AC102" s="956"/>
      <c r="AD102" s="956"/>
      <c r="AE102" s="958"/>
      <c r="AF102" s="959"/>
      <c r="AG102" s="285"/>
      <c r="AH102" s="642"/>
      <c r="AI102" s="642"/>
      <c r="AJ102" s="642"/>
      <c r="AK102" s="960"/>
      <c r="AL102" s="74"/>
      <c r="AM102" s="74"/>
    </row>
    <row r="103" spans="1:39" s="39" customFormat="1" ht="13.5" thickTop="1" x14ac:dyDescent="0.2">
      <c r="A103" s="26" t="s">
        <v>38</v>
      </c>
      <c r="B103" s="26"/>
      <c r="C103" s="26"/>
      <c r="D103" s="26"/>
      <c r="E103" s="417">
        <f>SUM(E102)</f>
        <v>0</v>
      </c>
      <c r="F103" s="284">
        <f>SUM(F102)</f>
        <v>0</v>
      </c>
      <c r="G103" s="52"/>
      <c r="H103" s="52"/>
      <c r="I103" s="52"/>
      <c r="J103" s="52"/>
      <c r="K103" s="52"/>
      <c r="L103" s="52"/>
      <c r="M103" s="52"/>
      <c r="N103" s="52"/>
      <c r="O103" s="432"/>
      <c r="P103" s="52"/>
      <c r="Q103" s="52"/>
      <c r="R103" s="52"/>
      <c r="S103" s="52"/>
      <c r="T103" s="52"/>
      <c r="U103" s="52"/>
      <c r="V103" s="52"/>
      <c r="W103" s="52"/>
      <c r="X103" s="432"/>
      <c r="Y103" s="293"/>
      <c r="Z103" s="52"/>
      <c r="AA103" s="52"/>
      <c r="AB103" s="119"/>
      <c r="AC103" s="432"/>
      <c r="AD103" s="432"/>
      <c r="AE103" s="434"/>
      <c r="AF103" s="435"/>
      <c r="AG103" s="292"/>
      <c r="AH103" s="52"/>
      <c r="AI103" s="52"/>
      <c r="AJ103" s="52"/>
      <c r="AK103" s="446"/>
      <c r="AL103" s="119"/>
      <c r="AM103" s="119"/>
    </row>
    <row r="104" spans="1:39" s="39" customFormat="1" ht="13.5" thickBot="1" x14ac:dyDescent="0.25">
      <c r="A104" s="26"/>
      <c r="B104" s="26"/>
      <c r="C104" s="26"/>
      <c r="D104" s="26"/>
      <c r="E104" s="417"/>
      <c r="F104" s="284"/>
      <c r="G104" s="52"/>
      <c r="H104" s="52"/>
      <c r="I104" s="52"/>
      <c r="J104" s="52"/>
      <c r="K104" s="52"/>
      <c r="L104" s="52"/>
      <c r="M104" s="52"/>
      <c r="N104" s="52"/>
      <c r="O104" s="432"/>
      <c r="P104" s="52"/>
      <c r="Q104" s="52"/>
      <c r="R104" s="52"/>
      <c r="S104" s="52"/>
      <c r="T104" s="52"/>
      <c r="U104" s="52"/>
      <c r="V104" s="52"/>
      <c r="W104" s="52"/>
      <c r="X104" s="432"/>
      <c r="Y104" s="293"/>
      <c r="Z104" s="52"/>
      <c r="AA104" s="52"/>
      <c r="AB104" s="119"/>
      <c r="AC104" s="432"/>
      <c r="AD104" s="432"/>
      <c r="AE104" s="434"/>
      <c r="AF104" s="435"/>
      <c r="AG104" s="292"/>
      <c r="AH104" s="52"/>
      <c r="AI104" s="52"/>
      <c r="AJ104" s="52"/>
      <c r="AK104" s="446"/>
      <c r="AL104" s="119"/>
      <c r="AM104" s="119"/>
    </row>
    <row r="105" spans="1:39" s="39" customFormat="1" ht="14.25" thickTop="1" thickBot="1" x14ac:dyDescent="0.25">
      <c r="A105" s="933" t="s">
        <v>814</v>
      </c>
      <c r="B105" s="934"/>
      <c r="C105" s="934"/>
      <c r="D105" s="941"/>
      <c r="E105" s="420"/>
      <c r="F105" s="421"/>
      <c r="G105" s="52"/>
      <c r="H105" s="52"/>
      <c r="I105" s="52"/>
      <c r="J105" s="52"/>
      <c r="K105" s="52"/>
      <c r="L105" s="52"/>
      <c r="M105" s="52"/>
      <c r="N105" s="52"/>
      <c r="O105" s="432"/>
      <c r="P105" s="52"/>
      <c r="Q105" s="52"/>
      <c r="R105" s="52"/>
      <c r="S105" s="52"/>
      <c r="T105" s="52"/>
      <c r="U105" s="52"/>
      <c r="V105" s="52"/>
      <c r="W105" s="52"/>
      <c r="X105" s="432"/>
      <c r="Y105" s="293"/>
      <c r="Z105" s="52"/>
      <c r="AA105" s="52"/>
      <c r="AB105" s="119"/>
      <c r="AC105" s="432"/>
      <c r="AD105" s="432"/>
      <c r="AE105" s="434"/>
      <c r="AF105" s="435"/>
      <c r="AG105" s="292"/>
      <c r="AH105" s="52"/>
      <c r="AI105" s="52"/>
      <c r="AJ105" s="52"/>
      <c r="AK105" s="446"/>
      <c r="AL105" s="119"/>
      <c r="AM105" s="119"/>
    </row>
    <row r="106" spans="1:39" s="1276" customFormat="1" x14ac:dyDescent="0.2">
      <c r="A106" s="1263" t="s">
        <v>808</v>
      </c>
      <c r="B106" s="1264" t="s">
        <v>7</v>
      </c>
      <c r="C106" s="1264" t="s">
        <v>44</v>
      </c>
      <c r="D106" s="1479" t="s">
        <v>8</v>
      </c>
      <c r="E106" s="1635">
        <v>553722</v>
      </c>
      <c r="F106" s="1636">
        <v>452207</v>
      </c>
      <c r="G106" s="1275"/>
      <c r="H106" s="1275"/>
      <c r="I106" s="1275">
        <v>17079</v>
      </c>
      <c r="J106" s="1275">
        <v>119502</v>
      </c>
      <c r="K106" s="1275">
        <v>238775</v>
      </c>
      <c r="L106" s="1275">
        <v>416204</v>
      </c>
      <c r="M106" s="1275">
        <v>621347</v>
      </c>
      <c r="N106" s="1275"/>
      <c r="O106" s="1637">
        <f>SUM(G106:M106)</f>
        <v>1412907</v>
      </c>
      <c r="P106" s="1275"/>
      <c r="Q106" s="1275"/>
      <c r="R106" s="1275">
        <v>4616</v>
      </c>
      <c r="S106" s="1275">
        <v>26686</v>
      </c>
      <c r="T106" s="1275">
        <v>76588</v>
      </c>
      <c r="U106" s="1275">
        <v>168027</v>
      </c>
      <c r="V106" s="1275">
        <v>300328</v>
      </c>
      <c r="W106" s="1275"/>
      <c r="X106" s="1637">
        <f>SUM(Q106:V106)</f>
        <v>576245</v>
      </c>
      <c r="Y106" s="1638">
        <v>5.2999999999999999E-2</v>
      </c>
      <c r="Z106" s="1275">
        <v>1207760</v>
      </c>
      <c r="AA106" s="1275">
        <v>487220</v>
      </c>
      <c r="AB106" s="1348">
        <f>Z106-AA106</f>
        <v>720540</v>
      </c>
      <c r="AC106" s="1637">
        <v>576433</v>
      </c>
      <c r="AD106" s="1637">
        <v>3757226</v>
      </c>
      <c r="AE106" s="1639">
        <v>0.153</v>
      </c>
      <c r="AF106" s="1640">
        <v>6.2E-2</v>
      </c>
      <c r="AG106" s="1368">
        <v>148027</v>
      </c>
      <c r="AH106" s="1275">
        <v>456543</v>
      </c>
      <c r="AI106" s="1275">
        <v>943762</v>
      </c>
      <c r="AJ106" s="1275">
        <f>Z106-AI106</f>
        <v>263998</v>
      </c>
      <c r="AK106" s="1641">
        <v>363983</v>
      </c>
      <c r="AL106" s="1348">
        <v>851203</v>
      </c>
      <c r="AM106" s="1348">
        <f>Z106-AL106</f>
        <v>356557</v>
      </c>
    </row>
    <row r="107" spans="1:39" s="1276" customFormat="1" x14ac:dyDescent="0.2">
      <c r="A107" s="1263" t="s">
        <v>810</v>
      </c>
      <c r="B107" s="1264" t="s">
        <v>7</v>
      </c>
      <c r="C107" s="1264" t="s">
        <v>44</v>
      </c>
      <c r="D107" s="1479" t="s">
        <v>8</v>
      </c>
      <c r="E107" s="1635">
        <v>267569</v>
      </c>
      <c r="F107" s="1636">
        <v>253667</v>
      </c>
      <c r="G107" s="1275"/>
      <c r="H107" s="1275"/>
      <c r="I107" s="1275">
        <v>39975</v>
      </c>
      <c r="J107" s="1275">
        <v>120855</v>
      </c>
      <c r="K107" s="1275">
        <v>183914</v>
      </c>
      <c r="L107" s="1275">
        <v>225870</v>
      </c>
      <c r="M107" s="1275">
        <v>262691</v>
      </c>
      <c r="N107" s="1275"/>
      <c r="O107" s="1637">
        <f>SUM(G107:M107)</f>
        <v>833305</v>
      </c>
      <c r="P107" s="1275"/>
      <c r="Q107" s="1275"/>
      <c r="R107" s="1275">
        <v>11225</v>
      </c>
      <c r="S107" s="1275">
        <v>48643</v>
      </c>
      <c r="T107" s="1275">
        <v>98655</v>
      </c>
      <c r="U107" s="1275">
        <v>149348</v>
      </c>
      <c r="V107" s="1275">
        <v>197514</v>
      </c>
      <c r="W107" s="1275"/>
      <c r="X107" s="1637">
        <f>SUM(Q107:V107)</f>
        <v>505385</v>
      </c>
      <c r="Y107" s="1638">
        <v>3.3000000000000002E-2</v>
      </c>
      <c r="Z107" s="1275">
        <v>760163</v>
      </c>
      <c r="AA107" s="1275">
        <v>459713</v>
      </c>
      <c r="AB107" s="1348">
        <f>Z107-AA107</f>
        <v>300450</v>
      </c>
      <c r="AC107" s="1637">
        <v>270405</v>
      </c>
      <c r="AD107" s="1637">
        <v>1309432</v>
      </c>
      <c r="AE107" s="1639">
        <v>0.20699999999999999</v>
      </c>
      <c r="AF107" s="1640">
        <v>4.6300000000000001E-2</v>
      </c>
      <c r="AG107" s="1368">
        <v>23831</v>
      </c>
      <c r="AH107" s="1275">
        <v>244540</v>
      </c>
      <c r="AI107" s="1275">
        <v>704252</v>
      </c>
      <c r="AJ107" s="1275">
        <f>Z107-AI107</f>
        <v>55911</v>
      </c>
      <c r="AK107" s="1641">
        <v>230867</v>
      </c>
      <c r="AL107" s="1348">
        <v>690580</v>
      </c>
      <c r="AM107" s="1348">
        <f>Z107-AL107</f>
        <v>69583</v>
      </c>
    </row>
    <row r="108" spans="1:39" s="777" customFormat="1" ht="13.5" thickBot="1" x14ac:dyDescent="0.25">
      <c r="A108" s="1427" t="s">
        <v>811</v>
      </c>
      <c r="B108" s="1391" t="s">
        <v>14</v>
      </c>
      <c r="C108" s="1391" t="s">
        <v>132</v>
      </c>
      <c r="D108" s="1392" t="s">
        <v>8</v>
      </c>
      <c r="E108" s="1111"/>
      <c r="F108" s="1112"/>
      <c r="G108" s="52"/>
      <c r="H108" s="52"/>
      <c r="I108" s="52"/>
      <c r="J108" s="52"/>
      <c r="K108" s="52"/>
      <c r="L108" s="52"/>
      <c r="M108" s="52"/>
      <c r="N108" s="52"/>
      <c r="O108" s="432"/>
      <c r="P108" s="52"/>
      <c r="Q108" s="52"/>
      <c r="R108" s="52"/>
      <c r="S108" s="52"/>
      <c r="T108" s="52"/>
      <c r="U108" s="52"/>
      <c r="V108" s="52"/>
      <c r="W108" s="52"/>
      <c r="X108" s="432"/>
      <c r="Y108" s="293"/>
      <c r="Z108" s="52"/>
      <c r="AA108" s="52"/>
      <c r="AB108" s="119"/>
      <c r="AC108" s="432"/>
      <c r="AD108" s="432"/>
      <c r="AE108" s="434"/>
      <c r="AF108" s="435"/>
      <c r="AG108" s="292"/>
      <c r="AH108" s="52"/>
      <c r="AI108" s="52"/>
      <c r="AJ108" s="52"/>
      <c r="AK108" s="446"/>
      <c r="AL108" s="119"/>
      <c r="AM108" s="119"/>
    </row>
    <row r="109" spans="1:39" s="39" customFormat="1" ht="13.5" thickTop="1" x14ac:dyDescent="0.2">
      <c r="A109" s="26"/>
      <c r="B109" s="26"/>
      <c r="C109" s="26"/>
      <c r="D109" s="26"/>
      <c r="E109" s="417">
        <f>SUM(E106:E108)</f>
        <v>821291</v>
      </c>
      <c r="F109" s="284">
        <f>SUM(F106:F108)</f>
        <v>705874</v>
      </c>
      <c r="G109" s="52"/>
      <c r="H109" s="52"/>
      <c r="I109" s="52"/>
      <c r="J109" s="52"/>
      <c r="K109" s="52"/>
      <c r="L109" s="52"/>
      <c r="M109" s="52"/>
      <c r="N109" s="52"/>
      <c r="O109" s="432"/>
      <c r="P109" s="52"/>
      <c r="Q109" s="52"/>
      <c r="R109" s="52"/>
      <c r="S109" s="52"/>
      <c r="T109" s="52"/>
      <c r="U109" s="52"/>
      <c r="V109" s="52"/>
      <c r="W109" s="52"/>
      <c r="X109" s="432"/>
      <c r="Y109" s="293"/>
      <c r="Z109" s="52"/>
      <c r="AA109" s="52"/>
      <c r="AB109" s="119"/>
      <c r="AC109" s="432"/>
      <c r="AD109" s="432"/>
      <c r="AE109" s="434"/>
      <c r="AF109" s="435"/>
      <c r="AG109" s="292"/>
      <c r="AH109" s="52"/>
      <c r="AI109" s="52"/>
      <c r="AJ109" s="52"/>
      <c r="AK109" s="446"/>
      <c r="AL109" s="119"/>
      <c r="AM109" s="119"/>
    </row>
    <row r="110" spans="1:39" s="39" customFormat="1" ht="13.5" thickBot="1" x14ac:dyDescent="0.25">
      <c r="A110" s="26"/>
      <c r="B110" s="26"/>
      <c r="C110" s="26"/>
      <c r="D110" s="26"/>
      <c r="E110" s="417"/>
      <c r="F110" s="284"/>
      <c r="G110" s="52"/>
      <c r="H110" s="52"/>
      <c r="I110" s="52"/>
      <c r="J110" s="52"/>
      <c r="K110" s="52"/>
      <c r="L110" s="52"/>
      <c r="M110" s="52"/>
      <c r="N110" s="52"/>
      <c r="O110" s="432"/>
      <c r="P110" s="52"/>
      <c r="Q110" s="52"/>
      <c r="R110" s="52"/>
      <c r="S110" s="52"/>
      <c r="T110" s="52"/>
      <c r="U110" s="52"/>
      <c r="V110" s="52"/>
      <c r="W110" s="52"/>
      <c r="X110" s="432"/>
      <c r="Y110" s="293"/>
      <c r="Z110" s="52"/>
      <c r="AA110" s="52"/>
      <c r="AB110" s="119"/>
      <c r="AC110" s="432"/>
      <c r="AD110" s="432"/>
      <c r="AE110" s="434"/>
      <c r="AF110" s="435"/>
      <c r="AG110" s="292"/>
      <c r="AH110" s="52"/>
      <c r="AI110" s="52"/>
      <c r="AJ110" s="52"/>
      <c r="AK110" s="446"/>
      <c r="AL110" s="119"/>
      <c r="AM110" s="119"/>
    </row>
    <row r="111" spans="1:39" s="39" customFormat="1" ht="14.25" thickTop="1" thickBot="1" x14ac:dyDescent="0.25">
      <c r="A111" s="933" t="s">
        <v>850</v>
      </c>
      <c r="B111" s="934"/>
      <c r="C111" s="934"/>
      <c r="D111" s="1108"/>
      <c r="E111" s="420"/>
      <c r="F111" s="421"/>
      <c r="G111" s="52"/>
      <c r="H111" s="52"/>
      <c r="I111" s="52"/>
      <c r="J111" s="52"/>
      <c r="K111" s="52"/>
      <c r="L111" s="52"/>
      <c r="M111" s="52"/>
      <c r="N111" s="52"/>
      <c r="O111" s="432"/>
      <c r="P111" s="52"/>
      <c r="Q111" s="52"/>
      <c r="R111" s="52"/>
      <c r="S111" s="52"/>
      <c r="T111" s="52"/>
      <c r="U111" s="52"/>
      <c r="V111" s="52"/>
      <c r="W111" s="52"/>
      <c r="X111" s="432"/>
      <c r="Y111" s="293"/>
      <c r="Z111" s="52"/>
      <c r="AA111" s="52"/>
      <c r="AB111" s="119"/>
      <c r="AC111" s="432"/>
      <c r="AD111" s="432"/>
      <c r="AE111" s="434"/>
      <c r="AF111" s="435"/>
      <c r="AG111" s="292"/>
      <c r="AH111" s="52"/>
      <c r="AI111" s="52"/>
      <c r="AJ111" s="52"/>
      <c r="AK111" s="446"/>
      <c r="AL111" s="119"/>
      <c r="AM111" s="119"/>
    </row>
    <row r="112" spans="1:39" s="1276" customFormat="1" ht="14.25" thickTop="1" thickBot="1" x14ac:dyDescent="0.25">
      <c r="A112" s="1285" t="s">
        <v>751</v>
      </c>
      <c r="B112" s="1286" t="s">
        <v>7</v>
      </c>
      <c r="C112" s="1286" t="s">
        <v>44</v>
      </c>
      <c r="D112" s="1428" t="s">
        <v>8</v>
      </c>
      <c r="E112" s="1642">
        <v>230414</v>
      </c>
      <c r="F112" s="1643">
        <v>213781</v>
      </c>
      <c r="G112" s="1275"/>
      <c r="H112" s="1275"/>
      <c r="I112" s="1275">
        <v>53785</v>
      </c>
      <c r="J112" s="1275">
        <v>103343</v>
      </c>
      <c r="K112" s="1275">
        <v>127493</v>
      </c>
      <c r="L112" s="1275">
        <v>154998</v>
      </c>
      <c r="M112" s="1275">
        <v>181479</v>
      </c>
      <c r="N112" s="1275"/>
      <c r="O112" s="1637">
        <f>SUM(G112:M112)</f>
        <v>621098</v>
      </c>
      <c r="P112" s="1275"/>
      <c r="Q112" s="1275"/>
      <c r="R112" s="1275">
        <v>12373</v>
      </c>
      <c r="S112" s="1275">
        <v>31377</v>
      </c>
      <c r="T112" s="1275">
        <v>52211</v>
      </c>
      <c r="U112" s="1275">
        <v>74711</v>
      </c>
      <c r="V112" s="1275">
        <v>98361</v>
      </c>
      <c r="W112" s="1275"/>
      <c r="X112" s="1637">
        <f>SUM(Q112:V112)</f>
        <v>269033</v>
      </c>
      <c r="Y112" s="1638">
        <v>5.2999999999999999E-2</v>
      </c>
      <c r="Z112" s="1275">
        <v>547269</v>
      </c>
      <c r="AA112" s="1275">
        <v>233250</v>
      </c>
      <c r="AB112" s="1348">
        <f>Z112-AA112</f>
        <v>314019</v>
      </c>
      <c r="AC112" s="1637">
        <v>251215</v>
      </c>
      <c r="AD112" s="1637">
        <v>932999</v>
      </c>
      <c r="AE112" s="1639">
        <v>0.26900000000000002</v>
      </c>
      <c r="AF112" s="1640">
        <v>2.2100000000000002E-2</v>
      </c>
      <c r="AG112" s="1368">
        <v>77254</v>
      </c>
      <c r="AH112" s="1275">
        <v>201857</v>
      </c>
      <c r="AI112" s="1275">
        <v>435107</v>
      </c>
      <c r="AJ112" s="1275">
        <f>Z112-AI112</f>
        <v>112162</v>
      </c>
      <c r="AK112" s="1641">
        <v>185463</v>
      </c>
      <c r="AL112" s="1348">
        <v>418713</v>
      </c>
      <c r="AM112" s="1348">
        <f>Z112-AL112</f>
        <v>128556</v>
      </c>
    </row>
    <row r="113" spans="1:39" s="39" customFormat="1" ht="13.5" thickTop="1" x14ac:dyDescent="0.2">
      <c r="A113" s="611" t="s">
        <v>38</v>
      </c>
      <c r="B113" s="26"/>
      <c r="C113" s="26"/>
      <c r="D113" s="26"/>
      <c r="E113" s="952">
        <f>SUM(E112)</f>
        <v>230414</v>
      </c>
      <c r="F113" s="114">
        <f>SUM(F112)</f>
        <v>213781</v>
      </c>
      <c r="G113" s="52"/>
      <c r="H113" s="52"/>
      <c r="I113" s="52"/>
      <c r="J113" s="52"/>
      <c r="K113" s="52"/>
      <c r="L113" s="52"/>
      <c r="M113" s="52"/>
      <c r="N113" s="52"/>
      <c r="O113" s="432"/>
      <c r="P113" s="52"/>
      <c r="Q113" s="52"/>
      <c r="R113" s="52"/>
      <c r="S113" s="52"/>
      <c r="T113" s="52"/>
      <c r="U113" s="52"/>
      <c r="V113" s="52"/>
      <c r="W113" s="52"/>
      <c r="X113" s="432"/>
      <c r="Y113" s="293"/>
      <c r="Z113" s="52"/>
      <c r="AA113" s="52"/>
      <c r="AB113" s="119"/>
      <c r="AC113" s="432"/>
      <c r="AD113" s="432"/>
      <c r="AE113" s="434"/>
      <c r="AF113" s="435"/>
      <c r="AG113" s="292"/>
      <c r="AH113" s="52"/>
      <c r="AI113" s="52"/>
      <c r="AJ113" s="52"/>
      <c r="AK113" s="446"/>
      <c r="AL113" s="119"/>
      <c r="AM113" s="119"/>
    </row>
    <row r="114" spans="1:39" s="39" customFormat="1" ht="13.5" thickBot="1" x14ac:dyDescent="0.25">
      <c r="A114" s="611"/>
      <c r="B114" s="408"/>
      <c r="C114" s="408"/>
      <c r="D114" s="408"/>
      <c r="E114" s="805"/>
      <c r="F114" s="806"/>
      <c r="G114" s="52"/>
      <c r="H114" s="52"/>
      <c r="I114" s="52"/>
      <c r="J114" s="52"/>
      <c r="K114" s="52"/>
      <c r="L114" s="52"/>
      <c r="M114" s="52"/>
      <c r="N114" s="52"/>
      <c r="O114" s="432"/>
      <c r="P114" s="52"/>
      <c r="Q114" s="52"/>
      <c r="R114" s="52"/>
      <c r="S114" s="52"/>
      <c r="T114" s="52"/>
      <c r="U114" s="52"/>
      <c r="V114" s="52"/>
      <c r="W114" s="52"/>
      <c r="X114" s="432"/>
      <c r="Y114" s="293"/>
      <c r="Z114" s="52"/>
      <c r="AA114" s="52"/>
      <c r="AB114" s="119"/>
      <c r="AC114" s="432"/>
      <c r="AD114" s="432"/>
      <c r="AE114" s="434"/>
      <c r="AF114" s="435"/>
      <c r="AG114" s="292"/>
      <c r="AH114" s="52"/>
      <c r="AI114" s="52"/>
      <c r="AJ114" s="52"/>
      <c r="AK114" s="446"/>
      <c r="AL114" s="119"/>
      <c r="AM114" s="119"/>
    </row>
    <row r="115" spans="1:39" s="39" customFormat="1" ht="14.25" thickTop="1" thickBot="1" x14ac:dyDescent="0.25">
      <c r="A115" s="407" t="s">
        <v>854</v>
      </c>
      <c r="B115" s="109"/>
      <c r="C115" s="109"/>
      <c r="D115" s="1109"/>
      <c r="E115" s="420"/>
      <c r="F115" s="421"/>
      <c r="G115" s="52"/>
      <c r="H115" s="52"/>
      <c r="I115" s="52"/>
      <c r="J115" s="52"/>
      <c r="K115" s="52"/>
      <c r="L115" s="52"/>
      <c r="M115" s="52"/>
      <c r="N115" s="52"/>
      <c r="O115" s="432"/>
      <c r="P115" s="52"/>
      <c r="Q115" s="52"/>
      <c r="R115" s="52"/>
      <c r="S115" s="52"/>
      <c r="T115" s="52"/>
      <c r="U115" s="52"/>
      <c r="V115" s="52"/>
      <c r="W115" s="52"/>
      <c r="X115" s="432"/>
      <c r="Y115" s="293"/>
      <c r="Z115" s="52"/>
      <c r="AA115" s="52"/>
      <c r="AB115" s="119"/>
      <c r="AC115" s="432"/>
      <c r="AD115" s="432"/>
      <c r="AE115" s="434"/>
      <c r="AF115" s="435"/>
      <c r="AG115" s="292"/>
      <c r="AH115" s="52"/>
      <c r="AI115" s="52"/>
      <c r="AJ115" s="52"/>
      <c r="AK115" s="446"/>
      <c r="AL115" s="119"/>
      <c r="AM115" s="119"/>
    </row>
    <row r="116" spans="1:39" s="1276" customFormat="1" ht="13.5" thickTop="1" x14ac:dyDescent="0.2">
      <c r="A116" s="1292" t="s">
        <v>811</v>
      </c>
      <c r="B116" s="1293" t="s">
        <v>7</v>
      </c>
      <c r="C116" s="1293" t="s">
        <v>44</v>
      </c>
      <c r="D116" s="1426" t="s">
        <v>8</v>
      </c>
      <c r="E116" s="1635">
        <v>245795</v>
      </c>
      <c r="F116" s="1636">
        <v>225312</v>
      </c>
      <c r="G116" s="1275"/>
      <c r="H116" s="1275"/>
      <c r="I116" s="1275">
        <v>8752</v>
      </c>
      <c r="J116" s="1275">
        <v>21358</v>
      </c>
      <c r="K116" s="1275">
        <v>43069</v>
      </c>
      <c r="L116" s="1275">
        <v>174371</v>
      </c>
      <c r="M116" s="1275">
        <v>288133</v>
      </c>
      <c r="N116" s="1275"/>
      <c r="O116" s="1637">
        <f>SUM(G116:M116)</f>
        <v>535683</v>
      </c>
      <c r="P116" s="1275"/>
      <c r="Q116" s="1275"/>
      <c r="R116" s="1275">
        <v>2048</v>
      </c>
      <c r="S116" s="1275">
        <v>4787</v>
      </c>
      <c r="T116" s="1275">
        <v>11820</v>
      </c>
      <c r="U116" s="1275">
        <v>47888</v>
      </c>
      <c r="V116" s="1275">
        <v>93603</v>
      </c>
      <c r="W116" s="1275"/>
      <c r="X116" s="1637">
        <f>SUM(Q116:V116)</f>
        <v>160146</v>
      </c>
      <c r="Y116" s="1638">
        <v>4.2999999999999997E-2</v>
      </c>
      <c r="Z116" s="1275">
        <v>465977</v>
      </c>
      <c r="AA116" s="1275">
        <v>138803</v>
      </c>
      <c r="AB116" s="1348">
        <f>Z116-AA116</f>
        <v>327174</v>
      </c>
      <c r="AC116" s="1637">
        <v>261739</v>
      </c>
      <c r="AD116" s="1637">
        <v>1200020</v>
      </c>
      <c r="AE116" s="1639">
        <v>0.218</v>
      </c>
      <c r="AF116" s="1640">
        <v>2.2100000000000002E-2</v>
      </c>
      <c r="AG116" s="1368">
        <v>73100</v>
      </c>
      <c r="AH116" s="1275">
        <v>201253</v>
      </c>
      <c r="AI116" s="1275">
        <v>340057</v>
      </c>
      <c r="AJ116" s="1275">
        <f>Z116-AI116</f>
        <v>125920</v>
      </c>
      <c r="AK116" s="1641">
        <v>183041</v>
      </c>
      <c r="AL116" s="1348">
        <v>321845</v>
      </c>
      <c r="AM116" s="1348">
        <f>Z116-AL116</f>
        <v>144132</v>
      </c>
    </row>
    <row r="117" spans="1:39" s="1276" customFormat="1" ht="13.5" thickBot="1" x14ac:dyDescent="0.25">
      <c r="A117" s="1278" t="s">
        <v>859</v>
      </c>
      <c r="B117" s="1279" t="s">
        <v>14</v>
      </c>
      <c r="C117" s="1279" t="s">
        <v>132</v>
      </c>
      <c r="D117" s="1431" t="s">
        <v>8</v>
      </c>
      <c r="E117" s="805"/>
      <c r="F117" s="806"/>
      <c r="G117" s="52"/>
      <c r="H117" s="52"/>
      <c r="I117" s="52"/>
      <c r="J117" s="52"/>
      <c r="K117" s="52"/>
      <c r="L117" s="52"/>
      <c r="M117" s="52"/>
      <c r="N117" s="52"/>
      <c r="O117" s="432"/>
      <c r="P117" s="52"/>
      <c r="Q117" s="52"/>
      <c r="R117" s="52"/>
      <c r="S117" s="52"/>
      <c r="T117" s="52"/>
      <c r="U117" s="52"/>
      <c r="V117" s="52"/>
      <c r="W117" s="52"/>
      <c r="X117" s="432"/>
      <c r="Y117" s="293"/>
      <c r="Z117" s="52"/>
      <c r="AA117" s="52"/>
      <c r="AB117" s="119"/>
      <c r="AC117" s="432"/>
      <c r="AD117" s="432"/>
      <c r="AE117" s="434"/>
      <c r="AF117" s="435"/>
      <c r="AG117" s="292"/>
      <c r="AH117" s="52"/>
      <c r="AI117" s="52"/>
      <c r="AJ117" s="52"/>
      <c r="AK117" s="446"/>
      <c r="AL117" s="119"/>
      <c r="AM117" s="119"/>
    </row>
    <row r="118" spans="1:39" s="39" customFormat="1" ht="13.5" thickTop="1" x14ac:dyDescent="0.2">
      <c r="A118" s="803" t="s">
        <v>38</v>
      </c>
      <c r="B118" s="803"/>
      <c r="C118" s="803"/>
      <c r="D118" s="26"/>
      <c r="E118" s="417">
        <f>SUM(E116:E117)</f>
        <v>245795</v>
      </c>
      <c r="F118" s="284">
        <f>SUM(F116:F117)</f>
        <v>225312</v>
      </c>
      <c r="G118" s="52"/>
      <c r="H118" s="52"/>
      <c r="I118" s="52"/>
      <c r="J118" s="52"/>
      <c r="K118" s="52"/>
      <c r="L118" s="52"/>
      <c r="M118" s="52"/>
      <c r="N118" s="52"/>
      <c r="O118" s="432"/>
      <c r="P118" s="52"/>
      <c r="Q118" s="52"/>
      <c r="R118" s="52"/>
      <c r="S118" s="52"/>
      <c r="T118" s="52"/>
      <c r="U118" s="52"/>
      <c r="V118" s="52"/>
      <c r="W118" s="52"/>
      <c r="X118" s="432"/>
      <c r="Y118" s="293"/>
      <c r="Z118" s="52"/>
      <c r="AA118" s="52"/>
      <c r="AB118" s="119"/>
      <c r="AC118" s="432"/>
      <c r="AD118" s="432"/>
      <c r="AE118" s="434"/>
      <c r="AF118" s="435"/>
      <c r="AG118" s="292"/>
      <c r="AH118" s="52"/>
      <c r="AI118" s="52"/>
      <c r="AJ118" s="52"/>
      <c r="AK118" s="446"/>
      <c r="AL118" s="119"/>
      <c r="AM118" s="119"/>
    </row>
    <row r="119" spans="1:39" s="39" customFormat="1" ht="13.5" thickBot="1" x14ac:dyDescent="0.25">
      <c r="A119" s="26"/>
      <c r="B119" s="26"/>
      <c r="C119" s="26"/>
      <c r="D119" s="26"/>
      <c r="E119" s="417"/>
      <c r="F119" s="284"/>
      <c r="G119" s="52"/>
      <c r="H119" s="52"/>
      <c r="I119" s="52"/>
      <c r="J119" s="52"/>
      <c r="K119" s="52"/>
      <c r="L119" s="52"/>
      <c r="M119" s="52"/>
      <c r="N119" s="52"/>
      <c r="O119" s="432"/>
      <c r="P119" s="52"/>
      <c r="Q119" s="52"/>
      <c r="R119" s="52"/>
      <c r="S119" s="52"/>
      <c r="T119" s="52"/>
      <c r="U119" s="52"/>
      <c r="V119" s="52"/>
      <c r="W119" s="52"/>
      <c r="X119" s="432"/>
      <c r="Y119" s="293"/>
      <c r="Z119" s="52"/>
      <c r="AA119" s="52"/>
      <c r="AB119" s="119"/>
      <c r="AC119" s="432"/>
      <c r="AD119" s="432"/>
      <c r="AE119" s="434"/>
      <c r="AF119" s="435"/>
      <c r="AG119" s="292"/>
      <c r="AH119" s="52"/>
      <c r="AI119" s="52"/>
      <c r="AJ119" s="52"/>
      <c r="AK119" s="446"/>
      <c r="AL119" s="119"/>
      <c r="AM119" s="119"/>
    </row>
    <row r="120" spans="1:39" s="39" customFormat="1" ht="14.25" thickTop="1" thickBot="1" x14ac:dyDescent="0.25">
      <c r="A120" s="407" t="s">
        <v>886</v>
      </c>
      <c r="B120" s="109"/>
      <c r="C120" s="109"/>
      <c r="D120" s="1482"/>
      <c r="E120" s="420"/>
      <c r="F120" s="421"/>
      <c r="G120" s="52"/>
      <c r="H120" s="52"/>
      <c r="I120" s="52"/>
      <c r="J120" s="52"/>
      <c r="K120" s="52"/>
      <c r="L120" s="52"/>
      <c r="M120" s="52"/>
      <c r="N120" s="52"/>
      <c r="O120" s="432"/>
      <c r="P120" s="52"/>
      <c r="Q120" s="52"/>
      <c r="R120" s="52"/>
      <c r="S120" s="52"/>
      <c r="T120" s="52"/>
      <c r="U120" s="52"/>
      <c r="V120" s="52"/>
      <c r="W120" s="52"/>
      <c r="X120" s="432"/>
      <c r="Y120" s="293"/>
      <c r="Z120" s="52"/>
      <c r="AA120" s="52"/>
      <c r="AB120" s="119"/>
      <c r="AC120" s="432"/>
      <c r="AD120" s="432"/>
      <c r="AE120" s="434"/>
      <c r="AF120" s="435"/>
      <c r="AG120" s="292"/>
      <c r="AH120" s="52"/>
      <c r="AI120" s="52"/>
      <c r="AJ120" s="52"/>
      <c r="AK120" s="446"/>
      <c r="AL120" s="119"/>
      <c r="AM120" s="119"/>
    </row>
    <row r="121" spans="1:39" s="1276" customFormat="1" ht="13.5" thickTop="1" x14ac:dyDescent="0.2">
      <c r="A121" s="1292" t="s">
        <v>563</v>
      </c>
      <c r="B121" s="1293" t="s">
        <v>7</v>
      </c>
      <c r="C121" s="1293" t="s">
        <v>44</v>
      </c>
      <c r="D121" s="1479" t="s">
        <v>8</v>
      </c>
      <c r="E121" s="1635">
        <v>1201154</v>
      </c>
      <c r="F121" s="1636">
        <v>1096507</v>
      </c>
      <c r="G121" s="1275"/>
      <c r="H121" s="1275"/>
      <c r="I121" s="1275">
        <v>99549</v>
      </c>
      <c r="J121" s="1275">
        <v>414054</v>
      </c>
      <c r="K121" s="1275">
        <v>574819</v>
      </c>
      <c r="L121" s="1275">
        <v>595674</v>
      </c>
      <c r="M121" s="1275">
        <v>622204</v>
      </c>
      <c r="N121" s="1275"/>
      <c r="O121" s="1637">
        <f>SUM(G121:M121)</f>
        <v>2306300</v>
      </c>
      <c r="P121" s="1275"/>
      <c r="Q121" s="1275"/>
      <c r="R121" s="1275">
        <v>21752</v>
      </c>
      <c r="S121" s="1275">
        <v>84493</v>
      </c>
      <c r="T121" s="1275">
        <v>108673</v>
      </c>
      <c r="U121" s="1275">
        <v>127990</v>
      </c>
      <c r="V121" s="1275">
        <v>156479</v>
      </c>
      <c r="W121" s="1275"/>
      <c r="X121" s="1637">
        <f>SUM(Q121:V121)</f>
        <v>499387</v>
      </c>
      <c r="Y121" s="1638">
        <v>4.2999999999999997E-2</v>
      </c>
      <c r="Z121" s="1275">
        <v>2075697</v>
      </c>
      <c r="AA121" s="1275">
        <v>447689</v>
      </c>
      <c r="AB121" s="1348">
        <f>Z121-AA121</f>
        <v>1628008</v>
      </c>
      <c r="AC121" s="1637">
        <v>1302407</v>
      </c>
      <c r="AD121" s="1637">
        <v>1195048</v>
      </c>
      <c r="AE121" s="1639">
        <v>1.0900000000000001</v>
      </c>
      <c r="AF121" s="1640">
        <v>3.6700000000000003E-2</v>
      </c>
      <c r="AG121" s="1368">
        <v>92906</v>
      </c>
      <c r="AH121" s="1275">
        <v>1013503</v>
      </c>
      <c r="AI121" s="1275">
        <v>1461192</v>
      </c>
      <c r="AJ121" s="1275">
        <f>Z121-AI121</f>
        <v>614505</v>
      </c>
      <c r="AK121" s="1641">
        <v>914872</v>
      </c>
      <c r="AL121" s="1348">
        <v>1362561</v>
      </c>
      <c r="AM121" s="1348">
        <f>Z121-AL121</f>
        <v>713136</v>
      </c>
    </row>
    <row r="122" spans="1:39" s="2034" customFormat="1" x14ac:dyDescent="0.2">
      <c r="A122" s="2054" t="s">
        <v>910</v>
      </c>
      <c r="B122" s="2018" t="s">
        <v>14</v>
      </c>
      <c r="C122" s="2018" t="s">
        <v>132</v>
      </c>
      <c r="D122" s="2062" t="s">
        <v>8</v>
      </c>
      <c r="E122" s="807"/>
      <c r="F122" s="808"/>
      <c r="G122" s="642"/>
      <c r="H122" s="642"/>
      <c r="I122" s="642"/>
      <c r="J122" s="642"/>
      <c r="K122" s="642"/>
      <c r="L122" s="642"/>
      <c r="M122" s="642"/>
      <c r="N122" s="642"/>
      <c r="O122" s="956"/>
      <c r="P122" s="642"/>
      <c r="Q122" s="642"/>
      <c r="R122" s="642"/>
      <c r="S122" s="642"/>
      <c r="T122" s="642"/>
      <c r="U122" s="642"/>
      <c r="V122" s="642"/>
      <c r="W122" s="642"/>
      <c r="X122" s="956"/>
      <c r="Y122" s="957"/>
      <c r="Z122" s="642"/>
      <c r="AA122" s="642"/>
      <c r="AB122" s="74"/>
      <c r="AC122" s="956"/>
      <c r="AD122" s="956"/>
      <c r="AE122" s="958"/>
      <c r="AF122" s="959"/>
      <c r="AG122" s="285"/>
      <c r="AH122" s="642"/>
      <c r="AI122" s="642"/>
      <c r="AJ122" s="642"/>
      <c r="AK122" s="960"/>
      <c r="AL122" s="74"/>
      <c r="AM122" s="74"/>
    </row>
    <row r="123" spans="1:39" s="1245" customFormat="1" ht="13.5" thickBot="1" x14ac:dyDescent="0.25">
      <c r="A123" s="1427" t="s">
        <v>911</v>
      </c>
      <c r="B123" s="1391" t="s">
        <v>14</v>
      </c>
      <c r="C123" s="1391" t="s">
        <v>132</v>
      </c>
      <c r="D123" s="1392" t="s">
        <v>8</v>
      </c>
      <c r="E123" s="1999"/>
      <c r="F123" s="2000"/>
      <c r="G123" s="642"/>
      <c r="H123" s="642"/>
      <c r="I123" s="642"/>
      <c r="J123" s="642"/>
      <c r="K123" s="642"/>
      <c r="L123" s="642"/>
      <c r="M123" s="642"/>
      <c r="N123" s="642"/>
      <c r="O123" s="956"/>
      <c r="P123" s="642"/>
      <c r="Q123" s="642"/>
      <c r="R123" s="642"/>
      <c r="S123" s="642"/>
      <c r="T123" s="642"/>
      <c r="U123" s="642"/>
      <c r="V123" s="642"/>
      <c r="W123" s="642"/>
      <c r="X123" s="956"/>
      <c r="Y123" s="957"/>
      <c r="Z123" s="642"/>
      <c r="AA123" s="642"/>
      <c r="AB123" s="74"/>
      <c r="AC123" s="956"/>
      <c r="AD123" s="956"/>
      <c r="AE123" s="958"/>
      <c r="AF123" s="959"/>
      <c r="AG123" s="285"/>
      <c r="AH123" s="642"/>
      <c r="AI123" s="642"/>
      <c r="AJ123" s="642"/>
      <c r="AK123" s="960"/>
      <c r="AL123" s="74"/>
      <c r="AM123" s="74"/>
    </row>
    <row r="124" spans="1:39" s="39" customFormat="1" ht="15.75" customHeight="1" thickTop="1" thickBot="1" x14ac:dyDescent="0.25">
      <c r="A124" s="1032"/>
      <c r="B124" s="408"/>
      <c r="C124" s="408"/>
      <c r="D124" s="408"/>
      <c r="E124" s="417">
        <f>SUM(E121:E123)</f>
        <v>1201154</v>
      </c>
      <c r="F124" s="284">
        <f>SUM(F121:F123)</f>
        <v>1096507</v>
      </c>
      <c r="G124" s="52"/>
      <c r="H124" s="52"/>
      <c r="I124" s="52"/>
      <c r="J124" s="52"/>
      <c r="K124" s="52"/>
      <c r="L124" s="52"/>
      <c r="M124" s="52"/>
      <c r="N124" s="52"/>
      <c r="O124" s="432"/>
      <c r="P124" s="52"/>
      <c r="Q124" s="52"/>
      <c r="R124" s="52"/>
      <c r="S124" s="52"/>
      <c r="T124" s="52"/>
      <c r="U124" s="52"/>
      <c r="V124" s="52"/>
      <c r="W124" s="52"/>
      <c r="X124" s="432"/>
      <c r="Y124" s="293"/>
      <c r="Z124" s="52"/>
      <c r="AA124" s="52"/>
      <c r="AB124" s="119"/>
      <c r="AC124" s="432"/>
      <c r="AD124" s="432"/>
      <c r="AE124" s="434"/>
      <c r="AF124" s="435"/>
      <c r="AG124" s="292"/>
      <c r="AH124" s="52"/>
      <c r="AI124" s="52"/>
      <c r="AJ124" s="52"/>
      <c r="AK124" s="446"/>
      <c r="AL124" s="119"/>
      <c r="AM124" s="119"/>
    </row>
    <row r="125" spans="1:39" s="39" customFormat="1" ht="14.25" thickTop="1" thickBot="1" x14ac:dyDescent="0.25">
      <c r="A125" s="933" t="s">
        <v>895</v>
      </c>
      <c r="B125" s="934"/>
      <c r="C125" s="934"/>
      <c r="D125" s="941"/>
      <c r="E125" s="420"/>
      <c r="F125" s="421"/>
      <c r="G125" s="52"/>
      <c r="H125" s="52"/>
      <c r="I125" s="52"/>
      <c r="J125" s="52"/>
      <c r="K125" s="52"/>
      <c r="L125" s="52"/>
      <c r="M125" s="52"/>
      <c r="N125" s="52"/>
      <c r="O125" s="432"/>
      <c r="P125" s="52"/>
      <c r="Q125" s="52"/>
      <c r="R125" s="52"/>
      <c r="S125" s="52"/>
      <c r="T125" s="52"/>
      <c r="U125" s="52"/>
      <c r="V125" s="52"/>
      <c r="W125" s="52"/>
      <c r="X125" s="432"/>
      <c r="Y125" s="293"/>
      <c r="Z125" s="52"/>
      <c r="AA125" s="52"/>
      <c r="AB125" s="119"/>
      <c r="AC125" s="432"/>
      <c r="AD125" s="432"/>
      <c r="AE125" s="434"/>
      <c r="AF125" s="435"/>
      <c r="AG125" s="292"/>
      <c r="AH125" s="52"/>
      <c r="AI125" s="52"/>
      <c r="AJ125" s="52"/>
      <c r="AK125" s="446"/>
      <c r="AL125" s="119"/>
      <c r="AM125" s="119"/>
    </row>
    <row r="126" spans="1:39" s="1245" customFormat="1" x14ac:dyDescent="0.2">
      <c r="A126" s="1260" t="s">
        <v>912</v>
      </c>
      <c r="B126" s="1254" t="s">
        <v>14</v>
      </c>
      <c r="C126" s="1254" t="s">
        <v>132</v>
      </c>
      <c r="D126" s="1455" t="s">
        <v>8</v>
      </c>
      <c r="E126" s="807"/>
      <c r="F126" s="808"/>
      <c r="G126" s="642"/>
      <c r="H126" s="642"/>
      <c r="I126" s="642"/>
      <c r="J126" s="642"/>
      <c r="K126" s="642"/>
      <c r="L126" s="642"/>
      <c r="M126" s="642"/>
      <c r="N126" s="642"/>
      <c r="O126" s="956"/>
      <c r="P126" s="642"/>
      <c r="Q126" s="642"/>
      <c r="R126" s="642"/>
      <c r="S126" s="642"/>
      <c r="T126" s="642"/>
      <c r="U126" s="642"/>
      <c r="V126" s="642"/>
      <c r="W126" s="642"/>
      <c r="X126" s="956"/>
      <c r="Y126" s="957"/>
      <c r="Z126" s="642"/>
      <c r="AA126" s="642"/>
      <c r="AB126" s="74"/>
      <c r="AC126" s="956"/>
      <c r="AD126" s="956"/>
      <c r="AE126" s="958"/>
      <c r="AF126" s="959"/>
      <c r="AG126" s="285"/>
      <c r="AH126" s="642"/>
      <c r="AI126" s="642"/>
      <c r="AJ126" s="642"/>
      <c r="AK126" s="960"/>
      <c r="AL126" s="74"/>
      <c r="AM126" s="74"/>
    </row>
    <row r="127" spans="1:39" s="1245" customFormat="1" ht="13.5" thickBot="1" x14ac:dyDescent="0.25">
      <c r="A127" s="1427" t="s">
        <v>129</v>
      </c>
      <c r="B127" s="1391" t="s">
        <v>14</v>
      </c>
      <c r="C127" s="1391" t="s">
        <v>132</v>
      </c>
      <c r="D127" s="1392" t="s">
        <v>8</v>
      </c>
      <c r="E127" s="801"/>
      <c r="F127" s="802"/>
      <c r="G127" s="642"/>
      <c r="H127" s="642"/>
      <c r="I127" s="642"/>
      <c r="J127" s="642"/>
      <c r="K127" s="642"/>
      <c r="L127" s="642"/>
      <c r="M127" s="642"/>
      <c r="N127" s="642"/>
      <c r="O127" s="956"/>
      <c r="P127" s="642"/>
      <c r="Q127" s="642"/>
      <c r="R127" s="642"/>
      <c r="S127" s="642"/>
      <c r="T127" s="642"/>
      <c r="U127" s="642"/>
      <c r="V127" s="642"/>
      <c r="W127" s="642"/>
      <c r="X127" s="956"/>
      <c r="Y127" s="957"/>
      <c r="Z127" s="642"/>
      <c r="AA127" s="642"/>
      <c r="AB127" s="74"/>
      <c r="AC127" s="956"/>
      <c r="AD127" s="956"/>
      <c r="AE127" s="958"/>
      <c r="AF127" s="959"/>
      <c r="AG127" s="285"/>
      <c r="AH127" s="642"/>
      <c r="AI127" s="642"/>
      <c r="AJ127" s="642"/>
      <c r="AK127" s="960"/>
      <c r="AL127" s="74"/>
      <c r="AM127" s="74"/>
    </row>
    <row r="128" spans="1:39" ht="13.5" thickTop="1" x14ac:dyDescent="0.2">
      <c r="E128" s="417">
        <f>SUM(E126:E127)</f>
        <v>0</v>
      </c>
      <c r="F128" s="284">
        <f>SUM(F126:F127)</f>
        <v>0</v>
      </c>
      <c r="AB128" s="6"/>
      <c r="AM128" s="6"/>
    </row>
    <row r="129" spans="1:39" ht="13.5" thickBot="1" x14ac:dyDescent="0.25">
      <c r="E129" s="417"/>
      <c r="F129" s="284"/>
      <c r="AB129" s="6"/>
      <c r="AD129" s="6"/>
      <c r="AM129" s="6"/>
    </row>
    <row r="130" spans="1:39" s="39" customFormat="1" ht="14.25" thickTop="1" thickBot="1" x14ac:dyDescent="0.25">
      <c r="A130" s="933" t="s">
        <v>955</v>
      </c>
      <c r="B130" s="934"/>
      <c r="C130" s="934"/>
      <c r="D130" s="1108"/>
      <c r="E130" s="420"/>
      <c r="F130" s="421"/>
      <c r="G130" s="52"/>
      <c r="H130" s="52"/>
      <c r="I130" s="52"/>
      <c r="J130" s="52"/>
      <c r="K130" s="52"/>
      <c r="L130" s="52"/>
      <c r="M130" s="52"/>
      <c r="N130" s="52"/>
      <c r="O130" s="432"/>
      <c r="P130" s="52"/>
      <c r="Q130" s="52"/>
      <c r="R130" s="52"/>
      <c r="S130" s="52"/>
      <c r="T130" s="52"/>
      <c r="U130" s="52"/>
      <c r="V130" s="52"/>
      <c r="W130" s="52"/>
      <c r="X130" s="432"/>
      <c r="Y130" s="293"/>
      <c r="Z130" s="52"/>
      <c r="AA130" s="52"/>
      <c r="AB130" s="119"/>
      <c r="AC130" s="432"/>
      <c r="AD130" s="432"/>
      <c r="AE130" s="434"/>
      <c r="AF130" s="435"/>
      <c r="AG130" s="292"/>
      <c r="AH130" s="52"/>
      <c r="AI130" s="52"/>
      <c r="AJ130" s="52"/>
      <c r="AK130" s="446"/>
      <c r="AL130" s="119"/>
      <c r="AM130" s="119"/>
    </row>
    <row r="131" spans="1:39" s="2034" customFormat="1" ht="14.25" thickTop="1" thickBot="1" x14ac:dyDescent="0.25">
      <c r="A131" s="2036" t="s">
        <v>957</v>
      </c>
      <c r="B131" s="2037" t="s">
        <v>14</v>
      </c>
      <c r="C131" s="2037" t="s">
        <v>132</v>
      </c>
      <c r="D131" s="2057" t="s">
        <v>8</v>
      </c>
      <c r="E131" s="2074"/>
      <c r="F131" s="2075"/>
      <c r="G131" s="642"/>
      <c r="H131" s="642"/>
      <c r="I131" s="642"/>
      <c r="J131" s="642"/>
      <c r="K131" s="642"/>
      <c r="L131" s="642"/>
      <c r="M131" s="642"/>
      <c r="N131" s="642"/>
      <c r="O131" s="956"/>
      <c r="P131" s="642"/>
      <c r="Q131" s="642"/>
      <c r="R131" s="642"/>
      <c r="S131" s="642"/>
      <c r="T131" s="642"/>
      <c r="U131" s="642"/>
      <c r="V131" s="642"/>
      <c r="W131" s="642"/>
      <c r="X131" s="956"/>
      <c r="Y131" s="957"/>
      <c r="Z131" s="642"/>
      <c r="AA131" s="642"/>
      <c r="AB131" s="74"/>
      <c r="AC131" s="956"/>
      <c r="AD131" s="956"/>
      <c r="AE131" s="958"/>
      <c r="AF131" s="959"/>
      <c r="AG131" s="285"/>
      <c r="AH131" s="642"/>
      <c r="AI131" s="642"/>
      <c r="AJ131" s="642"/>
      <c r="AK131" s="960"/>
      <c r="AL131" s="74"/>
      <c r="AM131" s="74"/>
    </row>
    <row r="132" spans="1:39" s="39" customFormat="1" ht="13.5" thickTop="1" x14ac:dyDescent="0.2">
      <c r="A132" s="611" t="s">
        <v>38</v>
      </c>
      <c r="B132" s="26"/>
      <c r="C132" s="26"/>
      <c r="D132" s="26"/>
      <c r="E132" s="952">
        <f>SUM(E131)</f>
        <v>0</v>
      </c>
      <c r="F132" s="114">
        <f>SUM(F131)</f>
        <v>0</v>
      </c>
      <c r="G132" s="52"/>
      <c r="H132" s="52"/>
      <c r="I132" s="52"/>
      <c r="J132" s="52"/>
      <c r="K132" s="52"/>
      <c r="L132" s="52"/>
      <c r="M132" s="52"/>
      <c r="N132" s="52"/>
      <c r="O132" s="432"/>
      <c r="P132" s="52"/>
      <c r="Q132" s="52"/>
      <c r="R132" s="52"/>
      <c r="S132" s="52"/>
      <c r="T132" s="52"/>
      <c r="U132" s="52"/>
      <c r="V132" s="52"/>
      <c r="W132" s="52"/>
      <c r="X132" s="432"/>
      <c r="Y132" s="293"/>
      <c r="Z132" s="52"/>
      <c r="AA132" s="52"/>
      <c r="AB132" s="119"/>
      <c r="AC132" s="432"/>
      <c r="AD132" s="432"/>
      <c r="AE132" s="434"/>
      <c r="AF132" s="435"/>
      <c r="AG132" s="292"/>
      <c r="AH132" s="52"/>
      <c r="AI132" s="52"/>
      <c r="AJ132" s="52"/>
      <c r="AK132" s="446"/>
      <c r="AL132" s="119"/>
      <c r="AM132" s="119"/>
    </row>
    <row r="133" spans="1:39" ht="13.5" thickBot="1" x14ac:dyDescent="0.25">
      <c r="E133" s="417"/>
      <c r="F133" s="284"/>
      <c r="AB133" s="6"/>
      <c r="AD133" s="6"/>
      <c r="AM133" s="6"/>
    </row>
    <row r="134" spans="1:39" s="39" customFormat="1" ht="14.25" thickTop="1" thickBot="1" x14ac:dyDescent="0.25">
      <c r="A134" s="1910" t="s">
        <v>973</v>
      </c>
      <c r="B134" s="1911"/>
      <c r="C134" s="1911"/>
      <c r="D134" s="1108"/>
      <c r="E134" s="420"/>
      <c r="F134" s="421"/>
      <c r="G134" s="52"/>
      <c r="H134" s="52"/>
      <c r="I134" s="52"/>
      <c r="J134" s="52"/>
      <c r="K134" s="52"/>
      <c r="L134" s="52"/>
      <c r="M134" s="52"/>
      <c r="N134" s="52"/>
      <c r="O134" s="432"/>
      <c r="P134" s="52"/>
      <c r="Q134" s="52"/>
      <c r="R134" s="52"/>
      <c r="S134" s="52"/>
      <c r="T134" s="52"/>
      <c r="U134" s="52"/>
      <c r="V134" s="52"/>
      <c r="W134" s="52"/>
      <c r="X134" s="432"/>
      <c r="Y134" s="293"/>
      <c r="Z134" s="52"/>
      <c r="AA134" s="52"/>
      <c r="AB134" s="119"/>
      <c r="AC134" s="432"/>
      <c r="AD134" s="432"/>
      <c r="AE134" s="434"/>
      <c r="AF134" s="435"/>
      <c r="AG134" s="292"/>
      <c r="AH134" s="52"/>
      <c r="AI134" s="52"/>
      <c r="AJ134" s="52"/>
      <c r="AK134" s="446"/>
      <c r="AL134" s="119"/>
      <c r="AM134" s="119"/>
    </row>
    <row r="135" spans="1:39" s="1271" customFormat="1" ht="14.25" thickTop="1" thickBot="1" x14ac:dyDescent="0.25">
      <c r="A135" s="1285" t="s">
        <v>859</v>
      </c>
      <c r="B135" s="1286" t="s">
        <v>7</v>
      </c>
      <c r="C135" s="1286" t="s">
        <v>44</v>
      </c>
      <c r="D135" s="1428" t="s">
        <v>8</v>
      </c>
      <c r="E135" s="1644">
        <v>243280</v>
      </c>
      <c r="F135" s="1645">
        <v>219330</v>
      </c>
      <c r="G135" s="1270"/>
      <c r="H135" s="1270"/>
      <c r="I135" s="1270">
        <v>21629</v>
      </c>
      <c r="J135" s="1270">
        <v>108037</v>
      </c>
      <c r="K135" s="1270">
        <v>148518</v>
      </c>
      <c r="L135" s="1270">
        <v>192741</v>
      </c>
      <c r="M135" s="1270">
        <v>226618</v>
      </c>
      <c r="N135" s="1270"/>
      <c r="O135" s="1912">
        <f>SUM(G135:M135)</f>
        <v>697543</v>
      </c>
      <c r="P135" s="1270"/>
      <c r="Q135" s="1270"/>
      <c r="R135" s="1270">
        <v>5261</v>
      </c>
      <c r="S135" s="1270">
        <v>29249</v>
      </c>
      <c r="T135" s="1270">
        <v>60870</v>
      </c>
      <c r="U135" s="1270">
        <v>97734</v>
      </c>
      <c r="V135" s="1270">
        <v>136491</v>
      </c>
      <c r="W135" s="1270"/>
      <c r="X135" s="1912">
        <f>SUM(Q135:V135)</f>
        <v>329605</v>
      </c>
      <c r="Y135" s="1913">
        <v>5.2999999999999999E-2</v>
      </c>
      <c r="Z135" s="1270">
        <v>607574</v>
      </c>
      <c r="AA135" s="1270">
        <v>282659</v>
      </c>
      <c r="AB135" s="1318">
        <f>Z135-AA135</f>
        <v>324915</v>
      </c>
      <c r="AC135" s="1912">
        <v>259932</v>
      </c>
      <c r="AD135" s="1912">
        <v>1190000</v>
      </c>
      <c r="AE135" s="1914">
        <v>0.218</v>
      </c>
      <c r="AF135" s="1915">
        <v>4.5900000000000003E-2</v>
      </c>
      <c r="AG135" s="1636">
        <v>97308</v>
      </c>
      <c r="AH135" s="1270">
        <v>208190</v>
      </c>
      <c r="AI135" s="1270">
        <v>490849</v>
      </c>
      <c r="AJ135" s="1270">
        <v>116725</v>
      </c>
      <c r="AK135" s="1916">
        <v>185093</v>
      </c>
      <c r="AL135" s="1318">
        <v>467752</v>
      </c>
      <c r="AM135" s="1318">
        <v>139822</v>
      </c>
    </row>
    <row r="136" spans="1:39" s="39" customFormat="1" ht="13.5" thickTop="1" x14ac:dyDescent="0.2">
      <c r="A136" s="611" t="s">
        <v>38</v>
      </c>
      <c r="B136" s="26"/>
      <c r="C136" s="26"/>
      <c r="D136" s="26"/>
      <c r="E136" s="952">
        <f>SUM(E135)</f>
        <v>243280</v>
      </c>
      <c r="F136" s="114">
        <f>SUM(F135)</f>
        <v>219330</v>
      </c>
      <c r="G136" s="52"/>
      <c r="H136" s="52"/>
      <c r="I136" s="52"/>
      <c r="J136" s="52"/>
      <c r="K136" s="52"/>
      <c r="L136" s="52"/>
      <c r="M136" s="52"/>
      <c r="N136" s="52"/>
      <c r="O136" s="432"/>
      <c r="P136" s="52"/>
      <c r="Q136" s="52"/>
      <c r="R136" s="52"/>
      <c r="S136" s="52"/>
      <c r="T136" s="52"/>
      <c r="U136" s="52"/>
      <c r="V136" s="52"/>
      <c r="W136" s="52"/>
      <c r="X136" s="432"/>
      <c r="Y136" s="293"/>
      <c r="Z136" s="52"/>
      <c r="AA136" s="52"/>
      <c r="AB136" s="119"/>
      <c r="AC136" s="432"/>
      <c r="AD136" s="432"/>
      <c r="AE136" s="434"/>
      <c r="AF136" s="435"/>
      <c r="AG136" s="292"/>
      <c r="AH136" s="52"/>
      <c r="AI136" s="52"/>
      <c r="AJ136" s="52"/>
      <c r="AK136" s="446"/>
      <c r="AL136" s="119"/>
      <c r="AM136" s="119"/>
    </row>
    <row r="137" spans="1:39" ht="13.5" thickBot="1" x14ac:dyDescent="0.25">
      <c r="E137" s="417"/>
      <c r="F137" s="284"/>
      <c r="AB137" s="6"/>
      <c r="AD137" s="6"/>
      <c r="AM137" s="6"/>
    </row>
    <row r="138" spans="1:39" s="39" customFormat="1" ht="14.25" thickTop="1" thickBot="1" x14ac:dyDescent="0.25">
      <c r="A138" s="933" t="s">
        <v>987</v>
      </c>
      <c r="B138" s="934"/>
      <c r="C138" s="934"/>
      <c r="D138" s="1108"/>
      <c r="E138" s="420"/>
      <c r="F138" s="421"/>
      <c r="G138" s="52"/>
      <c r="H138" s="52"/>
      <c r="I138" s="52"/>
      <c r="J138" s="52"/>
      <c r="K138" s="52"/>
      <c r="L138" s="52"/>
      <c r="M138" s="52"/>
      <c r="N138" s="52"/>
      <c r="O138" s="432"/>
      <c r="P138" s="52"/>
      <c r="Q138" s="52"/>
      <c r="R138" s="52"/>
      <c r="S138" s="52"/>
      <c r="T138" s="52"/>
      <c r="U138" s="52"/>
      <c r="V138" s="52"/>
      <c r="W138" s="52"/>
      <c r="X138" s="432"/>
      <c r="Y138" s="293"/>
      <c r="Z138" s="52"/>
      <c r="AA138" s="52"/>
      <c r="AB138" s="119"/>
      <c r="AC138" s="432"/>
      <c r="AD138" s="432"/>
      <c r="AE138" s="434"/>
      <c r="AF138" s="435"/>
      <c r="AG138" s="292"/>
      <c r="AH138" s="52"/>
      <c r="AI138" s="52"/>
      <c r="AJ138" s="52"/>
      <c r="AK138" s="446"/>
      <c r="AL138" s="119"/>
      <c r="AM138" s="119"/>
    </row>
    <row r="139" spans="1:39" s="1932" customFormat="1" ht="14.25" thickTop="1" thickBot="1" x14ac:dyDescent="0.25">
      <c r="A139" s="1952" t="s">
        <v>988</v>
      </c>
      <c r="B139" s="1953" t="s">
        <v>7</v>
      </c>
      <c r="C139" s="1953" t="s">
        <v>44</v>
      </c>
      <c r="D139" s="1954" t="s">
        <v>8</v>
      </c>
      <c r="E139" s="2067">
        <v>453475</v>
      </c>
      <c r="F139" s="2068">
        <v>415686</v>
      </c>
      <c r="G139" s="1769"/>
      <c r="H139" s="1769"/>
      <c r="I139" s="1769"/>
      <c r="J139" s="1769">
        <v>56530</v>
      </c>
      <c r="K139" s="1769">
        <v>154537</v>
      </c>
      <c r="L139" s="1769">
        <v>255241</v>
      </c>
      <c r="M139" s="1769">
        <v>364631</v>
      </c>
      <c r="N139" s="1769">
        <v>460968</v>
      </c>
      <c r="O139" s="2069">
        <f>SUM(G139:N139)</f>
        <v>1291907</v>
      </c>
      <c r="P139" s="1769"/>
      <c r="Q139" s="1769"/>
      <c r="R139" s="1769"/>
      <c r="S139" s="1769">
        <v>11714</v>
      </c>
      <c r="T139" s="1769">
        <v>43014</v>
      </c>
      <c r="U139" s="1769">
        <v>91607</v>
      </c>
      <c r="V139" s="1769">
        <v>155240</v>
      </c>
      <c r="W139" s="1769">
        <v>229089</v>
      </c>
      <c r="X139" s="2069">
        <f>SUM(Q139:W139)</f>
        <v>530664</v>
      </c>
      <c r="Y139" s="2070">
        <v>5.2999999999999999E-2</v>
      </c>
      <c r="Z139" s="1769">
        <v>1120717</v>
      </c>
      <c r="AA139" s="1769">
        <v>454473</v>
      </c>
      <c r="AB139" s="1315">
        <f>Z139-AA139</f>
        <v>666244</v>
      </c>
      <c r="AC139" s="2069">
        <v>532995</v>
      </c>
      <c r="AD139" s="2069">
        <v>4800000</v>
      </c>
      <c r="AE139" s="2071">
        <v>0.111</v>
      </c>
      <c r="AF139" s="2072">
        <v>3.9E-2</v>
      </c>
      <c r="AG139" s="1647">
        <v>716133</v>
      </c>
      <c r="AH139" s="1769">
        <v>379676</v>
      </c>
      <c r="AI139" s="1769">
        <v>834150</v>
      </c>
      <c r="AJ139" s="1769">
        <f>Z139-AI139</f>
        <v>286567</v>
      </c>
      <c r="AK139" s="2073">
        <v>344687</v>
      </c>
      <c r="AL139" s="1315">
        <v>799161</v>
      </c>
      <c r="AM139" s="1315">
        <f>Z139-AL139</f>
        <v>321556</v>
      </c>
    </row>
    <row r="140" spans="1:39" s="39" customFormat="1" ht="13.5" thickTop="1" x14ac:dyDescent="0.2">
      <c r="A140" s="611" t="s">
        <v>38</v>
      </c>
      <c r="B140" s="26"/>
      <c r="C140" s="26"/>
      <c r="D140" s="26"/>
      <c r="E140" s="952">
        <f>SUM(E139)</f>
        <v>453475</v>
      </c>
      <c r="F140" s="114">
        <f>SUM(F139)</f>
        <v>415686</v>
      </c>
      <c r="G140" s="52"/>
      <c r="H140" s="52"/>
      <c r="I140" s="52"/>
      <c r="J140" s="52"/>
      <c r="K140" s="52"/>
      <c r="L140" s="52"/>
      <c r="M140" s="52"/>
      <c r="N140" s="52"/>
      <c r="O140" s="432"/>
      <c r="P140" s="52"/>
      <c r="Q140" s="52"/>
      <c r="R140" s="52"/>
      <c r="S140" s="52"/>
      <c r="T140" s="52"/>
      <c r="U140" s="52"/>
      <c r="V140" s="52"/>
      <c r="W140" s="52"/>
      <c r="X140" s="432"/>
      <c r="Y140" s="293"/>
      <c r="Z140" s="52"/>
      <c r="AA140" s="52"/>
      <c r="AB140" s="119"/>
      <c r="AC140" s="432"/>
      <c r="AD140" s="432"/>
      <c r="AE140" s="434"/>
      <c r="AF140" s="435"/>
      <c r="AG140" s="292"/>
      <c r="AH140" s="52"/>
      <c r="AI140" s="52"/>
      <c r="AJ140" s="52"/>
      <c r="AK140" s="446"/>
      <c r="AL140" s="119"/>
      <c r="AM140" s="119"/>
    </row>
    <row r="141" spans="1:39" s="39" customFormat="1" ht="15.75" customHeight="1" thickBot="1" x14ac:dyDescent="0.25">
      <c r="A141" s="1032"/>
      <c r="B141" s="408"/>
      <c r="C141" s="408"/>
      <c r="D141" s="408"/>
      <c r="E141" s="417"/>
      <c r="F141" s="284"/>
      <c r="G141" s="52"/>
      <c r="H141" s="52"/>
      <c r="I141" s="52"/>
      <c r="J141" s="52"/>
      <c r="K141" s="52"/>
      <c r="L141" s="52"/>
      <c r="M141" s="52"/>
      <c r="N141" s="52"/>
      <c r="O141" s="432"/>
      <c r="P141" s="52"/>
      <c r="Q141" s="52"/>
      <c r="R141" s="52"/>
      <c r="S141" s="52"/>
      <c r="T141" s="52"/>
      <c r="U141" s="52"/>
      <c r="V141" s="52"/>
      <c r="W141" s="52"/>
      <c r="X141" s="432"/>
      <c r="Y141" s="293"/>
      <c r="Z141" s="52"/>
      <c r="AA141" s="52"/>
      <c r="AB141" s="119"/>
      <c r="AC141" s="432"/>
      <c r="AD141" s="432"/>
      <c r="AE141" s="434"/>
      <c r="AF141" s="435"/>
      <c r="AG141" s="292"/>
      <c r="AH141" s="52"/>
      <c r="AI141" s="52"/>
      <c r="AJ141" s="52"/>
      <c r="AK141" s="446"/>
      <c r="AL141" s="119"/>
      <c r="AM141" s="119"/>
    </row>
    <row r="142" spans="1:39" s="39" customFormat="1" ht="14.25" thickTop="1" thickBot="1" x14ac:dyDescent="0.25">
      <c r="A142" s="1910" t="s">
        <v>1004</v>
      </c>
      <c r="B142" s="1911"/>
      <c r="C142" s="1911"/>
      <c r="D142" s="756"/>
      <c r="E142" s="952"/>
      <c r="F142" s="953"/>
      <c r="G142" s="52"/>
      <c r="H142" s="52"/>
      <c r="I142" s="52"/>
      <c r="J142" s="52"/>
      <c r="K142" s="52"/>
      <c r="L142" s="52"/>
      <c r="M142" s="52"/>
      <c r="N142" s="52"/>
      <c r="O142" s="432"/>
      <c r="P142" s="52"/>
      <c r="Q142" s="52"/>
      <c r="R142" s="52"/>
      <c r="S142" s="52"/>
      <c r="T142" s="52"/>
      <c r="U142" s="52"/>
      <c r="V142" s="52"/>
      <c r="W142" s="52"/>
      <c r="X142" s="432"/>
      <c r="Y142" s="293"/>
      <c r="Z142" s="52"/>
      <c r="AA142" s="52"/>
      <c r="AB142" s="119"/>
      <c r="AC142" s="432"/>
      <c r="AD142" s="432"/>
      <c r="AE142" s="434"/>
      <c r="AF142" s="435"/>
      <c r="AG142" s="292"/>
      <c r="AH142" s="52"/>
      <c r="AI142" s="52"/>
      <c r="AJ142" s="52"/>
      <c r="AK142" s="446"/>
      <c r="AL142" s="119"/>
      <c r="AM142" s="119"/>
    </row>
    <row r="143" spans="1:39" s="1271" customFormat="1" ht="13.5" thickTop="1" x14ac:dyDescent="0.2">
      <c r="A143" s="2012" t="s">
        <v>912</v>
      </c>
      <c r="B143" s="1293" t="s">
        <v>7</v>
      </c>
      <c r="C143" s="1293" t="s">
        <v>44</v>
      </c>
      <c r="D143" s="1826" t="s">
        <v>8</v>
      </c>
      <c r="E143" s="1994">
        <v>808104</v>
      </c>
      <c r="F143" s="1995">
        <v>724592</v>
      </c>
      <c r="G143" s="1270"/>
      <c r="H143" s="1270"/>
      <c r="I143" s="1270">
        <v>22581</v>
      </c>
      <c r="J143" s="1270">
        <v>185292</v>
      </c>
      <c r="K143" s="1270">
        <v>313284</v>
      </c>
      <c r="L143" s="1270">
        <v>438515</v>
      </c>
      <c r="M143" s="1270">
        <v>573975</v>
      </c>
      <c r="N143" s="1270"/>
      <c r="O143" s="1912">
        <f>SUM(G143:M143)</f>
        <v>1533647</v>
      </c>
      <c r="P143" s="1270"/>
      <c r="Q143" s="1270"/>
      <c r="R143" s="1270">
        <v>5434</v>
      </c>
      <c r="S143" s="1270">
        <v>40493</v>
      </c>
      <c r="T143" s="1270">
        <v>86540</v>
      </c>
      <c r="U143" s="1270">
        <v>145998</v>
      </c>
      <c r="V143" s="1270">
        <v>220284</v>
      </c>
      <c r="W143" s="1270"/>
      <c r="X143" s="1912">
        <f>SUM(Q143:V143)</f>
        <v>498749</v>
      </c>
      <c r="Y143" s="1913">
        <v>4.2999999999999997E-2</v>
      </c>
      <c r="Z143" s="1270">
        <v>1359718</v>
      </c>
      <c r="AA143" s="1270">
        <v>438626</v>
      </c>
      <c r="AB143" s="1318">
        <f t="shared" ref="AB143:AB149" si="0">Z143-AA143</f>
        <v>921092</v>
      </c>
      <c r="AC143" s="1912">
        <v>828983</v>
      </c>
      <c r="AD143" s="1912">
        <v>3600000</v>
      </c>
      <c r="AE143" s="1914">
        <v>0.23</v>
      </c>
      <c r="AF143" s="1915">
        <v>9.9000000000000008E-3</v>
      </c>
      <c r="AG143" s="1636">
        <v>90673</v>
      </c>
      <c r="AH143" s="1270">
        <v>685296</v>
      </c>
      <c r="AI143" s="1270">
        <v>1123922</v>
      </c>
      <c r="AJ143" s="1270">
        <f t="shared" ref="AJ143:AJ149" si="1">Z143-AI143</f>
        <v>235796</v>
      </c>
      <c r="AK143" s="1916">
        <v>607111</v>
      </c>
      <c r="AL143" s="1318">
        <v>1045737</v>
      </c>
      <c r="AM143" s="1318">
        <f t="shared" ref="AM143:AM149" si="2">Z143-AL143</f>
        <v>313981</v>
      </c>
    </row>
    <row r="144" spans="1:39" s="1271" customFormat="1" x14ac:dyDescent="0.2">
      <c r="A144" s="1263" t="s">
        <v>756</v>
      </c>
      <c r="B144" s="1264" t="s">
        <v>7</v>
      </c>
      <c r="C144" s="1264" t="s">
        <v>44</v>
      </c>
      <c r="D144" s="1479" t="s">
        <v>8</v>
      </c>
      <c r="E144" s="1635">
        <v>143436</v>
      </c>
      <c r="F144" s="1636">
        <v>137022</v>
      </c>
      <c r="G144" s="1270"/>
      <c r="H144" s="1270"/>
      <c r="I144" s="1270">
        <v>7514</v>
      </c>
      <c r="J144" s="1270">
        <v>62254</v>
      </c>
      <c r="K144" s="1270">
        <v>86423</v>
      </c>
      <c r="L144" s="1270">
        <v>106788</v>
      </c>
      <c r="M144" s="1270">
        <v>122685</v>
      </c>
      <c r="N144" s="1270"/>
      <c r="O144" s="1912">
        <f>SUM(G144:M144)</f>
        <v>385664</v>
      </c>
      <c r="P144" s="1270"/>
      <c r="Q144" s="1270"/>
      <c r="R144" s="1270">
        <v>1860</v>
      </c>
      <c r="S144" s="1270">
        <v>15553</v>
      </c>
      <c r="T144" s="1270">
        <v>34081</v>
      </c>
      <c r="U144" s="1270">
        <v>54792</v>
      </c>
      <c r="V144" s="1270">
        <v>75161</v>
      </c>
      <c r="W144" s="1270"/>
      <c r="X144" s="1912">
        <f>SUM(Q144:V144)</f>
        <v>181447</v>
      </c>
      <c r="Y144" s="1913">
        <v>3.3000000000000002E-2</v>
      </c>
      <c r="Z144" s="1270">
        <v>353389</v>
      </c>
      <c r="AA144" s="1270">
        <v>164570</v>
      </c>
      <c r="AB144" s="1318">
        <f t="shared" si="0"/>
        <v>188819</v>
      </c>
      <c r="AC144" s="1912">
        <v>151055</v>
      </c>
      <c r="AD144" s="1912">
        <v>540800</v>
      </c>
      <c r="AE144" s="1914">
        <v>0.27900000000000003</v>
      </c>
      <c r="AF144" s="1915">
        <v>2.23E-2</v>
      </c>
      <c r="AG144" s="1636">
        <v>27275</v>
      </c>
      <c r="AH144" s="1270">
        <v>128962</v>
      </c>
      <c r="AI144" s="1270">
        <v>293532</v>
      </c>
      <c r="AJ144" s="1270">
        <f t="shared" si="1"/>
        <v>59857</v>
      </c>
      <c r="AK144" s="1916">
        <v>122868</v>
      </c>
      <c r="AL144" s="1318">
        <v>287438</v>
      </c>
      <c r="AM144" s="1318">
        <f t="shared" si="2"/>
        <v>65951</v>
      </c>
    </row>
    <row r="145" spans="1:39" s="1271" customFormat="1" x14ac:dyDescent="0.2">
      <c r="A145" s="1263" t="s">
        <v>911</v>
      </c>
      <c r="B145" s="1264" t="s">
        <v>7</v>
      </c>
      <c r="C145" s="1264" t="s">
        <v>44</v>
      </c>
      <c r="D145" s="1426" t="s">
        <v>8</v>
      </c>
      <c r="E145" s="1635">
        <v>126296</v>
      </c>
      <c r="F145" s="1636">
        <v>119173</v>
      </c>
      <c r="G145" s="1270"/>
      <c r="H145" s="1270"/>
      <c r="I145" s="1270">
        <v>970</v>
      </c>
      <c r="J145" s="1270">
        <v>44613</v>
      </c>
      <c r="K145" s="1270">
        <v>79682</v>
      </c>
      <c r="L145" s="1270">
        <v>96776</v>
      </c>
      <c r="M145" s="1270">
        <v>109960</v>
      </c>
      <c r="N145" s="1270"/>
      <c r="O145" s="1912">
        <f>SUM(G145:M145)</f>
        <v>332001</v>
      </c>
      <c r="P145" s="1270"/>
      <c r="Q145" s="1270"/>
      <c r="R145" s="1270">
        <v>225</v>
      </c>
      <c r="S145" s="1270">
        <v>10399</v>
      </c>
      <c r="T145" s="1270">
        <v>27763</v>
      </c>
      <c r="U145" s="1270">
        <v>46150</v>
      </c>
      <c r="V145" s="1270">
        <v>63625</v>
      </c>
      <c r="W145" s="1270"/>
      <c r="X145" s="1912">
        <f>SUM(Q145:V145)</f>
        <v>148162</v>
      </c>
      <c r="Y145" s="1913">
        <v>5.2999999999999999E-2</v>
      </c>
      <c r="Z145" s="1270">
        <v>287525</v>
      </c>
      <c r="AA145" s="1270">
        <v>126416</v>
      </c>
      <c r="AB145" s="1318">
        <f t="shared" si="0"/>
        <v>161109</v>
      </c>
      <c r="AC145" s="1912">
        <v>128888</v>
      </c>
      <c r="AD145" s="1912">
        <v>674000</v>
      </c>
      <c r="AE145" s="1914">
        <v>0.19120000000000001</v>
      </c>
      <c r="AF145" s="1915">
        <v>4.2000000000000003E-2</v>
      </c>
      <c r="AG145" s="1636">
        <v>13554</v>
      </c>
      <c r="AH145" s="1270">
        <v>107669</v>
      </c>
      <c r="AI145" s="1270">
        <v>234085</v>
      </c>
      <c r="AJ145" s="1270">
        <f t="shared" si="1"/>
        <v>53440</v>
      </c>
      <c r="AK145" s="1916">
        <v>100787</v>
      </c>
      <c r="AL145" s="1318">
        <v>227203</v>
      </c>
      <c r="AM145" s="1318">
        <f t="shared" si="2"/>
        <v>60322</v>
      </c>
    </row>
    <row r="146" spans="1:39" s="1271" customFormat="1" x14ac:dyDescent="0.2">
      <c r="A146" s="1263" t="s">
        <v>129</v>
      </c>
      <c r="B146" s="1264" t="s">
        <v>7</v>
      </c>
      <c r="C146" s="1264" t="s">
        <v>44</v>
      </c>
      <c r="D146" s="1426" t="s">
        <v>8</v>
      </c>
      <c r="E146" s="1635">
        <v>292307</v>
      </c>
      <c r="F146" s="1636">
        <v>271704</v>
      </c>
      <c r="G146" s="1270"/>
      <c r="H146" s="1270"/>
      <c r="I146" s="1270">
        <v>14641</v>
      </c>
      <c r="J146" s="1270">
        <v>434021</v>
      </c>
      <c r="K146" s="1270">
        <v>671572</v>
      </c>
      <c r="L146" s="1270">
        <v>1022808</v>
      </c>
      <c r="M146" s="1270">
        <v>1286974</v>
      </c>
      <c r="N146" s="1270"/>
      <c r="O146" s="1912">
        <f>SUM(G146:M146)</f>
        <v>3430016</v>
      </c>
      <c r="P146" s="1270"/>
      <c r="Q146" s="1270"/>
      <c r="R146" s="1270">
        <v>2861</v>
      </c>
      <c r="S146" s="1270">
        <v>89157</v>
      </c>
      <c r="T146" s="1270">
        <v>198229</v>
      </c>
      <c r="U146" s="1270">
        <v>341544</v>
      </c>
      <c r="V146" s="1270">
        <v>504901</v>
      </c>
      <c r="W146" s="1270"/>
      <c r="X146" s="1912">
        <f>SUM(Q146:V146)</f>
        <v>1136692</v>
      </c>
      <c r="Y146" s="1913">
        <v>5.2999999999999999E-2</v>
      </c>
      <c r="Z146" s="1270">
        <v>2955279</v>
      </c>
      <c r="AA146" s="1270">
        <v>969501</v>
      </c>
      <c r="AB146" s="1318">
        <f t="shared" si="0"/>
        <v>1985778</v>
      </c>
      <c r="AC146" s="1912">
        <v>1588622</v>
      </c>
      <c r="AD146" s="1912">
        <v>9225000</v>
      </c>
      <c r="AE146" s="1914">
        <v>0.17219999999999999</v>
      </c>
      <c r="AF146" s="1915">
        <v>3.6700000000000003E-2</v>
      </c>
      <c r="AG146" s="1636">
        <v>4902597</v>
      </c>
      <c r="AH146" s="1270">
        <v>249167</v>
      </c>
      <c r="AI146" s="1270">
        <v>1218668</v>
      </c>
      <c r="AJ146" s="1270">
        <f t="shared" si="1"/>
        <v>1736611</v>
      </c>
      <c r="AK146" s="1916">
        <v>229810</v>
      </c>
      <c r="AL146" s="1318">
        <v>1199311</v>
      </c>
      <c r="AM146" s="1318">
        <f t="shared" si="2"/>
        <v>1755968</v>
      </c>
    </row>
    <row r="147" spans="1:39" s="1932" customFormat="1" x14ac:dyDescent="0.2">
      <c r="A147" s="1934" t="s">
        <v>957</v>
      </c>
      <c r="B147" s="1926" t="s">
        <v>7</v>
      </c>
      <c r="C147" s="1926" t="s">
        <v>44</v>
      </c>
      <c r="D147" s="1974" t="s">
        <v>8</v>
      </c>
      <c r="E147" s="1646">
        <v>478396</v>
      </c>
      <c r="F147" s="1647">
        <v>443501</v>
      </c>
      <c r="G147" s="1769"/>
      <c r="H147" s="1769"/>
      <c r="I147" s="1769"/>
      <c r="J147" s="1769">
        <v>17803</v>
      </c>
      <c r="K147" s="1769">
        <v>124552</v>
      </c>
      <c r="L147" s="1769">
        <v>303312</v>
      </c>
      <c r="M147" s="1769">
        <v>395355</v>
      </c>
      <c r="N147" s="1769">
        <v>526035</v>
      </c>
      <c r="O147" s="2069">
        <f>SUM(G147:N147)</f>
        <v>1367057</v>
      </c>
      <c r="P147" s="1769"/>
      <c r="Q147" s="1769"/>
      <c r="R147" s="1769"/>
      <c r="S147" s="1769">
        <v>5396</v>
      </c>
      <c r="T147" s="1769">
        <v>40378</v>
      </c>
      <c r="U147" s="1769">
        <v>130099</v>
      </c>
      <c r="V147" s="1769">
        <v>235239</v>
      </c>
      <c r="W147" s="1769">
        <v>351504</v>
      </c>
      <c r="X147" s="2069">
        <f>SUM(Q147:W147)</f>
        <v>762616</v>
      </c>
      <c r="Y147" s="2070">
        <v>4.2999999999999997E-2</v>
      </c>
      <c r="Z147" s="1769">
        <v>1208989</v>
      </c>
      <c r="AA147" s="1769">
        <v>668054</v>
      </c>
      <c r="AB147" s="1315">
        <f t="shared" si="0"/>
        <v>540935</v>
      </c>
      <c r="AC147" s="2069">
        <v>486841</v>
      </c>
      <c r="AD147" s="2069">
        <v>4283618</v>
      </c>
      <c r="AE147" s="2071">
        <v>0.114</v>
      </c>
      <c r="AF147" s="2072">
        <v>4.6300000000000001E-2</v>
      </c>
      <c r="AG147" s="1647">
        <v>74306</v>
      </c>
      <c r="AH147" s="1769">
        <v>403963</v>
      </c>
      <c r="AI147" s="1769">
        <v>1072017</v>
      </c>
      <c r="AJ147" s="1769">
        <f t="shared" si="1"/>
        <v>136972</v>
      </c>
      <c r="AK147" s="2073">
        <v>372756</v>
      </c>
      <c r="AL147" s="1315">
        <v>1040810</v>
      </c>
      <c r="AM147" s="1315">
        <f t="shared" si="2"/>
        <v>168179</v>
      </c>
    </row>
    <row r="148" spans="1:39" s="1932" customFormat="1" x14ac:dyDescent="0.2">
      <c r="A148" s="1969" t="s">
        <v>910</v>
      </c>
      <c r="B148" s="1926" t="s">
        <v>7</v>
      </c>
      <c r="C148" s="1926" t="s">
        <v>44</v>
      </c>
      <c r="D148" s="1970" t="s">
        <v>8</v>
      </c>
      <c r="E148" s="1646">
        <v>3048671</v>
      </c>
      <c r="F148" s="1647">
        <v>2729152</v>
      </c>
      <c r="G148" s="1769"/>
      <c r="H148" s="1769"/>
      <c r="I148" s="1769"/>
      <c r="J148" s="1769">
        <v>386678</v>
      </c>
      <c r="K148" s="1769">
        <v>620868</v>
      </c>
      <c r="L148" s="1769">
        <v>1117091</v>
      </c>
      <c r="M148" s="1769">
        <v>1736096</v>
      </c>
      <c r="N148" s="1769">
        <v>2439460</v>
      </c>
      <c r="O148" s="2069">
        <f>SUM(G148:N148)</f>
        <v>6300193</v>
      </c>
      <c r="P148" s="1769"/>
      <c r="Q148" s="1769"/>
      <c r="R148" s="1769"/>
      <c r="S148" s="1769">
        <v>90911</v>
      </c>
      <c r="T148" s="1769">
        <v>196090</v>
      </c>
      <c r="U148" s="1769">
        <v>386111</v>
      </c>
      <c r="V148" s="1769">
        <v>696271</v>
      </c>
      <c r="W148" s="1769">
        <v>1120871</v>
      </c>
      <c r="X148" s="2069">
        <f>SUM(Q148:W148)</f>
        <v>2490254</v>
      </c>
      <c r="Y148" s="2070">
        <v>4.2999999999999997E-2</v>
      </c>
      <c r="Z148" s="1769">
        <v>5600307</v>
      </c>
      <c r="AA148" s="1769">
        <v>2194654</v>
      </c>
      <c r="AB148" s="1315">
        <f t="shared" si="0"/>
        <v>3405653</v>
      </c>
      <c r="AC148" s="2069">
        <v>3065088</v>
      </c>
      <c r="AD148" s="2069">
        <v>4621819</v>
      </c>
      <c r="AE148" s="2071">
        <v>0.66320000000000001</v>
      </c>
      <c r="AF148" s="2072">
        <v>1.66E-2</v>
      </c>
      <c r="AG148" s="1647">
        <v>24754</v>
      </c>
      <c r="AH148" s="1769">
        <v>2587980</v>
      </c>
      <c r="AI148" s="1769">
        <v>4782634</v>
      </c>
      <c r="AJ148" s="1769">
        <f t="shared" si="1"/>
        <v>817673</v>
      </c>
      <c r="AK148" s="2073">
        <v>2292276</v>
      </c>
      <c r="AL148" s="1315">
        <v>4486931</v>
      </c>
      <c r="AM148" s="1315">
        <f t="shared" si="2"/>
        <v>1113376</v>
      </c>
    </row>
    <row r="149" spans="1:39" s="1251" customFormat="1" ht="13.5" thickBot="1" x14ac:dyDescent="0.25">
      <c r="A149" s="2134" t="s">
        <v>1034</v>
      </c>
      <c r="B149" s="2114" t="s">
        <v>14</v>
      </c>
      <c r="C149" s="2114" t="s">
        <v>44</v>
      </c>
      <c r="D149" s="2115" t="s">
        <v>8</v>
      </c>
      <c r="E149" s="2141">
        <v>933206</v>
      </c>
      <c r="F149" s="2142">
        <v>855438</v>
      </c>
      <c r="G149" s="1250"/>
      <c r="H149" s="1250"/>
      <c r="I149" s="1250"/>
      <c r="J149" s="1250">
        <v>152264</v>
      </c>
      <c r="K149" s="1250">
        <v>410065</v>
      </c>
      <c r="L149" s="1250">
        <v>633265</v>
      </c>
      <c r="M149" s="1250">
        <v>826779</v>
      </c>
      <c r="N149" s="1250">
        <v>908335</v>
      </c>
      <c r="O149" s="2143">
        <f>SUM(G149:N149)</f>
        <v>2930708</v>
      </c>
      <c r="P149" s="1250"/>
      <c r="Q149" s="1250"/>
      <c r="R149" s="1250"/>
      <c r="S149" s="1250">
        <v>39170</v>
      </c>
      <c r="T149" s="1250">
        <v>118128</v>
      </c>
      <c r="U149" s="1250">
        <v>224252</v>
      </c>
      <c r="V149" s="1250">
        <v>347913</v>
      </c>
      <c r="W149" s="1250">
        <v>467550</v>
      </c>
      <c r="X149" s="2143">
        <f>SUM(Q149:W149)</f>
        <v>1197013</v>
      </c>
      <c r="Y149" s="2144">
        <v>5.2999999999999999E-2</v>
      </c>
      <c r="Z149" s="1250">
        <v>2559738</v>
      </c>
      <c r="AA149" s="1250">
        <v>1031867</v>
      </c>
      <c r="AB149" s="2137">
        <f t="shared" si="0"/>
        <v>1527871</v>
      </c>
      <c r="AC149" s="2143">
        <v>1222297</v>
      </c>
      <c r="AD149" s="2143">
        <v>3461917</v>
      </c>
      <c r="AE149" s="2145">
        <v>0.35299999999999998</v>
      </c>
      <c r="AF149" s="2146">
        <v>4.5900000000000003E-2</v>
      </c>
      <c r="AG149" s="2140">
        <v>818794</v>
      </c>
      <c r="AH149" s="1250">
        <v>803356</v>
      </c>
      <c r="AI149" s="1250">
        <v>1835223</v>
      </c>
      <c r="AJ149" s="1250">
        <f t="shared" si="1"/>
        <v>724515</v>
      </c>
      <c r="AK149" s="2147">
        <v>729323</v>
      </c>
      <c r="AL149" s="2137">
        <v>1761190</v>
      </c>
      <c r="AM149" s="2137">
        <f t="shared" si="2"/>
        <v>798548</v>
      </c>
    </row>
    <row r="150" spans="1:39" ht="13.5" thickTop="1" x14ac:dyDescent="0.2">
      <c r="E150" s="417">
        <f>SUM(E143:E149)</f>
        <v>5830416</v>
      </c>
      <c r="F150" s="284">
        <f>SUM(F143:F149)</f>
        <v>5280582</v>
      </c>
      <c r="AB150" s="6"/>
      <c r="AM150" s="6"/>
    </row>
    <row r="151" spans="1:39" x14ac:dyDescent="0.2">
      <c r="E151" s="417"/>
      <c r="F151" s="284"/>
      <c r="AB151" s="6"/>
      <c r="AD151" s="6"/>
      <c r="AM151" s="6"/>
    </row>
    <row r="152" spans="1:39" x14ac:dyDescent="0.2">
      <c r="E152" s="417"/>
      <c r="F152" s="284"/>
      <c r="AB152" s="6"/>
      <c r="AD152" s="6"/>
      <c r="AM152" s="6"/>
    </row>
    <row r="153" spans="1:39" x14ac:dyDescent="0.2">
      <c r="E153" s="417"/>
      <c r="F153" s="284"/>
      <c r="AB153" s="6"/>
      <c r="AD153" s="6"/>
      <c r="AM153" s="6"/>
    </row>
    <row r="154" spans="1:39" x14ac:dyDescent="0.2">
      <c r="E154" s="417"/>
      <c r="F154" s="284"/>
      <c r="AB154" s="6"/>
      <c r="AD154" s="6"/>
      <c r="AM154" s="6"/>
    </row>
    <row r="155" spans="1:39" x14ac:dyDescent="0.2">
      <c r="A155" s="26"/>
      <c r="B155" s="26"/>
      <c r="C155" s="26"/>
      <c r="D155" s="26"/>
      <c r="E155" s="417"/>
      <c r="F155" s="284"/>
      <c r="AB155" s="6"/>
      <c r="AD155" s="6"/>
      <c r="AE155" s="821"/>
      <c r="AM155" s="6"/>
    </row>
    <row r="156" spans="1:39" x14ac:dyDescent="0.2">
      <c r="A156" t="s">
        <v>106</v>
      </c>
      <c r="D156" s="26" t="s">
        <v>69</v>
      </c>
      <c r="E156" s="287">
        <f>SUM(E12,E20,E23,E30,E33,E39,E42,E48,E53,E56,E61,E66,E72,E75,E80,E85,E93,E99,E103,E109,E113,E118,E124,E132,E136,E140,E150)</f>
        <v>16037505</v>
      </c>
      <c r="F156" s="283">
        <f>SUM(F12,F20,F23,F30,F39,F42,F48,F53,F61,F66,F72,F80,F85,F93,F99,F103,F109,F113,F118,F124,F132,F136,F140,F150)</f>
        <v>14360766</v>
      </c>
      <c r="G156" s="1">
        <f t="shared" ref="G156:X156" si="3">SUM(G7:G154)</f>
        <v>464296</v>
      </c>
      <c r="H156" s="1">
        <f t="shared" si="3"/>
        <v>1995836</v>
      </c>
      <c r="I156" s="1">
        <f t="shared" si="3"/>
        <v>4591356</v>
      </c>
      <c r="J156" s="1">
        <f t="shared" si="3"/>
        <v>8716645</v>
      </c>
      <c r="K156" s="1">
        <f>SUM(K7:K154)</f>
        <v>12508882</v>
      </c>
      <c r="L156" s="1">
        <f t="shared" si="3"/>
        <v>7959757</v>
      </c>
      <c r="M156" s="1">
        <f t="shared" si="3"/>
        <v>9094927</v>
      </c>
      <c r="N156" s="1">
        <f t="shared" si="3"/>
        <v>4334798</v>
      </c>
      <c r="O156" s="266">
        <f t="shared" si="3"/>
        <v>49666497</v>
      </c>
      <c r="P156" s="1">
        <f t="shared" si="3"/>
        <v>106485</v>
      </c>
      <c r="Q156" s="1">
        <f t="shared" si="3"/>
        <v>574162</v>
      </c>
      <c r="R156" s="1">
        <f t="shared" si="3"/>
        <v>1597317</v>
      </c>
      <c r="S156" s="1">
        <f t="shared" si="3"/>
        <v>3306784</v>
      </c>
      <c r="T156" s="1">
        <f t="shared" si="3"/>
        <v>5441645</v>
      </c>
      <c r="U156" s="1">
        <f t="shared" si="3"/>
        <v>2965733</v>
      </c>
      <c r="V156" s="1">
        <f t="shared" si="3"/>
        <v>3914482</v>
      </c>
      <c r="W156" s="1">
        <f t="shared" si="3"/>
        <v>2169014</v>
      </c>
      <c r="X156" s="266">
        <f t="shared" si="3"/>
        <v>20075622</v>
      </c>
      <c r="Y156" s="444">
        <f>AVERAGE(Y7:Y154)</f>
        <v>4.7629629629629626E-2</v>
      </c>
      <c r="Z156" s="1">
        <f>SUM(Z7:Z154)</f>
        <v>43395322</v>
      </c>
      <c r="AA156" s="1">
        <f>SUM(AA7:AA154)</f>
        <v>17339827</v>
      </c>
      <c r="AB156" s="1">
        <f>SUM(AB7:AB154)</f>
        <v>26055495</v>
      </c>
      <c r="AC156" s="266">
        <f>SUM(AC7:AC154)</f>
        <v>21361212.199999999</v>
      </c>
      <c r="AD156" s="1">
        <f>SUM(AD7:AD154)</f>
        <v>84024096</v>
      </c>
      <c r="AE156" s="445">
        <f>AVERAGE(AE7:AE154)</f>
        <v>0.28167061854122621</v>
      </c>
      <c r="AF156" s="273">
        <f>AVERAGE(AF7:AF154)</f>
        <v>3.8318518518518516E-2</v>
      </c>
      <c r="AG156" s="283">
        <f>SUM(AG11:AG154)</f>
        <v>23891192.181093894</v>
      </c>
      <c r="AH156" s="278">
        <f t="shared" ref="AH156:AM156" si="4">SUM(AH7:AH154)</f>
        <v>13636013</v>
      </c>
      <c r="AI156" s="6">
        <f t="shared" si="4"/>
        <v>30975838</v>
      </c>
      <c r="AJ156" s="6">
        <f t="shared" si="4"/>
        <v>12419484</v>
      </c>
      <c r="AK156" s="278">
        <f t="shared" si="4"/>
        <v>12068841</v>
      </c>
      <c r="AL156" s="6">
        <f t="shared" si="4"/>
        <v>29408672</v>
      </c>
      <c r="AM156" s="6">
        <f t="shared" si="4"/>
        <v>13986650</v>
      </c>
    </row>
    <row r="157" spans="1:39" x14ac:dyDescent="0.2">
      <c r="D157" s="473">
        <v>2007</v>
      </c>
      <c r="E157" s="776">
        <f>SUM(E15,E18,E27,E28,E37,E45,E46,)</f>
        <v>4457259</v>
      </c>
      <c r="F157" s="816">
        <f>SUM(F15,F27,F28,F37,F42,F45,F46)</f>
        <v>3901193</v>
      </c>
      <c r="N157" s="587" t="s">
        <v>105</v>
      </c>
      <c r="O157" s="266">
        <f>SUM(G156:N156)</f>
        <v>49666497</v>
      </c>
      <c r="W157" s="587" t="s">
        <v>105</v>
      </c>
      <c r="X157" s="266">
        <f>SUM(P156:W156)</f>
        <v>20075622</v>
      </c>
      <c r="AA157" s="1" t="s">
        <v>105</v>
      </c>
      <c r="AB157" s="263">
        <f>(Z156-AA156)</f>
        <v>26055495</v>
      </c>
      <c r="AD157" s="272" t="s">
        <v>107</v>
      </c>
      <c r="AE157" s="43">
        <v>1.0900000000000001</v>
      </c>
    </row>
    <row r="158" spans="1:39" x14ac:dyDescent="0.2">
      <c r="D158" s="1196">
        <v>2008</v>
      </c>
      <c r="E158" s="1601">
        <f>SUM(E59,E65,E79,E83,E89)</f>
        <v>1127408</v>
      </c>
      <c r="F158" s="1381">
        <f>SUM(F59,F65,F79,F83,F89)</f>
        <v>1012535</v>
      </c>
      <c r="G158" s="43">
        <f>G156/O156</f>
        <v>9.348273545444527E-3</v>
      </c>
      <c r="H158" s="43">
        <f>H156/O156</f>
        <v>4.0184754725101711E-2</v>
      </c>
      <c r="I158" s="43">
        <f>I156/O156</f>
        <v>9.2443725193665255E-2</v>
      </c>
      <c r="J158" s="43">
        <f>J156/O156</f>
        <v>0.17550351900195418</v>
      </c>
      <c r="K158" s="43">
        <f>K156/O156</f>
        <v>0.25185754493617701</v>
      </c>
      <c r="L158" s="43">
        <f>L156/O156</f>
        <v>0.16026411123780282</v>
      </c>
      <c r="M158" s="43">
        <f>M156/O156</f>
        <v>0.18311996112792089</v>
      </c>
      <c r="N158" s="43">
        <f>N156/O156</f>
        <v>8.7278110231933617E-2</v>
      </c>
      <c r="P158" s="43">
        <f>P156/X156</f>
        <v>5.3041943108910897E-3</v>
      </c>
      <c r="Q158" s="43">
        <f>Q156/X156</f>
        <v>2.8599960688640184E-2</v>
      </c>
      <c r="R158" s="43">
        <f>R156/X156</f>
        <v>7.9565006752966363E-2</v>
      </c>
      <c r="S158" s="43">
        <f>S156/X156</f>
        <v>0.1647163908545399</v>
      </c>
      <c r="T158" s="43">
        <f>T156/X156</f>
        <v>0.2710573550348776</v>
      </c>
      <c r="U158" s="43">
        <f>U156/X156</f>
        <v>0.1477280753742026</v>
      </c>
      <c r="V158" s="586">
        <f>V156/X156</f>
        <v>0.19498683527713362</v>
      </c>
      <c r="W158" s="586">
        <f>W156/X156</f>
        <v>0.10804218170674862</v>
      </c>
      <c r="AD158" s="272" t="s">
        <v>108</v>
      </c>
      <c r="AE158" s="43">
        <v>0.111</v>
      </c>
      <c r="AJ158" s="1">
        <f>Z156-AI156</f>
        <v>12419484</v>
      </c>
      <c r="AM158" s="263">
        <f>Z156-AL156</f>
        <v>13986650</v>
      </c>
    </row>
    <row r="159" spans="1:39" x14ac:dyDescent="0.2">
      <c r="D159" s="1276">
        <v>2009</v>
      </c>
      <c r="E159" s="1607">
        <f>SUM(E92,E96,E97,E144,E106,E107,E112,E116,E135,E121,E145,E143,E146)</f>
        <v>5539090</v>
      </c>
      <c r="F159" s="1368">
        <f>SUM(F92,F96,F97,F144,F106,F107,F112,F116,F135,F121,F146,F143,F145)</f>
        <v>5003261</v>
      </c>
      <c r="G159" s="43"/>
      <c r="H159" s="43"/>
      <c r="I159" s="43"/>
      <c r="J159" s="43"/>
      <c r="K159" s="43"/>
      <c r="L159" s="43"/>
      <c r="M159" s="43"/>
      <c r="N159" s="43"/>
      <c r="P159" s="43"/>
      <c r="Q159" s="43"/>
      <c r="R159" s="43"/>
      <c r="S159" s="43"/>
      <c r="T159" s="43"/>
      <c r="U159" s="43"/>
      <c r="V159" s="43"/>
      <c r="W159" s="43"/>
      <c r="AC159" s="449" t="s">
        <v>70</v>
      </c>
      <c r="AD159" s="272">
        <f>'5. Payroll'!$E$130</f>
        <v>84024096</v>
      </c>
    </row>
    <row r="160" spans="1:39" x14ac:dyDescent="0.2">
      <c r="D160" s="1505">
        <v>2010</v>
      </c>
      <c r="E160" s="1648">
        <f>SUM(E148,E147,E139,E149)</f>
        <v>4913748</v>
      </c>
      <c r="F160" s="1649">
        <f>SUM(F148,F147,F139,F149)</f>
        <v>4443777</v>
      </c>
      <c r="G160" s="43"/>
      <c r="H160" s="43"/>
      <c r="I160" s="43"/>
      <c r="J160" s="43"/>
      <c r="K160" s="43"/>
      <c r="L160" s="43"/>
      <c r="M160" s="43"/>
      <c r="N160" s="2">
        <f>SUM(G158:N158)</f>
        <v>1</v>
      </c>
      <c r="P160" s="43"/>
      <c r="Q160" s="43"/>
      <c r="R160" s="43"/>
      <c r="S160" s="43"/>
      <c r="T160" s="43"/>
      <c r="U160" s="43"/>
      <c r="V160" s="43"/>
      <c r="W160" s="2">
        <f>SUM(P158:W158)</f>
        <v>1</v>
      </c>
      <c r="AD160" s="272"/>
    </row>
    <row r="161" spans="4:36" x14ac:dyDescent="0.2">
      <c r="E161" s="287">
        <f>SUM(E157:E160)</f>
        <v>16037505</v>
      </c>
      <c r="F161" s="283">
        <f>SUM(F157:F160)</f>
        <v>14360766</v>
      </c>
      <c r="N161" s="2"/>
      <c r="W161" s="2"/>
    </row>
    <row r="162" spans="4:36" x14ac:dyDescent="0.2">
      <c r="D162" s="413" t="s">
        <v>105</v>
      </c>
      <c r="E162" s="1878">
        <f>'1. Summary'!$C$54</f>
        <v>16037505</v>
      </c>
      <c r="F162" s="1879">
        <f>'2. Detailed Summary'!$K$202</f>
        <v>14360766</v>
      </c>
      <c r="G162" s="422" t="s">
        <v>105</v>
      </c>
    </row>
    <row r="164" spans="4:36" x14ac:dyDescent="0.2">
      <c r="AJ164" s="437"/>
    </row>
    <row r="165" spans="4:36" x14ac:dyDescent="0.2">
      <c r="AJ165" s="437"/>
    </row>
    <row r="166" spans="4:36" x14ac:dyDescent="0.2">
      <c r="AJ166" s="437"/>
    </row>
    <row r="167" spans="4:36" x14ac:dyDescent="0.2">
      <c r="AJ167" s="437"/>
    </row>
    <row r="168" spans="4:36" x14ac:dyDescent="0.2">
      <c r="AJ168" s="433"/>
    </row>
    <row r="169" spans="4:36" x14ac:dyDescent="0.2">
      <c r="AJ169" s="438"/>
    </row>
    <row r="170" spans="4:36" x14ac:dyDescent="0.2">
      <c r="AJ170" s="439"/>
    </row>
    <row r="171" spans="4:36" x14ac:dyDescent="0.2">
      <c r="AJ171" s="440"/>
    </row>
    <row r="172" spans="4:36" x14ac:dyDescent="0.2">
      <c r="AJ172" s="438"/>
    </row>
    <row r="173" spans="4:36" x14ac:dyDescent="0.2">
      <c r="AJ173" s="437"/>
    </row>
    <row r="174" spans="4:36" x14ac:dyDescent="0.2">
      <c r="AJ174" s="437"/>
    </row>
    <row r="175" spans="4:36" x14ac:dyDescent="0.2">
      <c r="AJ175" s="437"/>
    </row>
    <row r="176" spans="4:36" x14ac:dyDescent="0.2">
      <c r="AJ176" s="433"/>
    </row>
    <row r="177" spans="36:36" x14ac:dyDescent="0.2">
      <c r="AJ177" s="438"/>
    </row>
    <row r="178" spans="36:36" x14ac:dyDescent="0.2">
      <c r="AJ178" s="439"/>
    </row>
    <row r="179" spans="36:36" x14ac:dyDescent="0.2">
      <c r="AJ179" s="440"/>
    </row>
    <row r="180" spans="36:36" x14ac:dyDescent="0.2">
      <c r="AJ180" s="437"/>
    </row>
    <row r="181" spans="36:36" x14ac:dyDescent="0.2">
      <c r="AJ181" s="438"/>
    </row>
    <row r="182" spans="36:36" x14ac:dyDescent="0.2">
      <c r="AJ182" s="441"/>
    </row>
    <row r="183" spans="36:36" x14ac:dyDescent="0.2">
      <c r="AJ183" s="437"/>
    </row>
    <row r="184" spans="36:36" x14ac:dyDescent="0.2">
      <c r="AJ184" s="438"/>
    </row>
    <row r="185" spans="36:36" x14ac:dyDescent="0.2">
      <c r="AJ185" s="438"/>
    </row>
    <row r="186" spans="36:36" x14ac:dyDescent="0.2">
      <c r="AJ186" s="438"/>
    </row>
    <row r="187" spans="36:36" x14ac:dyDescent="0.2">
      <c r="AJ187" s="438"/>
    </row>
    <row r="188" spans="36:36" x14ac:dyDescent="0.2">
      <c r="AJ188" s="438"/>
    </row>
    <row r="189" spans="36:36" x14ac:dyDescent="0.2">
      <c r="AJ189" s="440"/>
    </row>
    <row r="190" spans="36:36" x14ac:dyDescent="0.2">
      <c r="AJ190" s="437"/>
    </row>
    <row r="191" spans="36:36" x14ac:dyDescent="0.2">
      <c r="AJ191" s="438"/>
    </row>
    <row r="192" spans="36:36" x14ac:dyDescent="0.2">
      <c r="AJ192" s="441"/>
    </row>
    <row r="193" spans="36:36" x14ac:dyDescent="0.2">
      <c r="AJ193" s="437"/>
    </row>
    <row r="194" spans="36:36" x14ac:dyDescent="0.2">
      <c r="AJ194" s="438"/>
    </row>
    <row r="195" spans="36:36" x14ac:dyDescent="0.2">
      <c r="AJ195" s="438"/>
    </row>
    <row r="196" spans="36:36" x14ac:dyDescent="0.2">
      <c r="AJ196" s="438"/>
    </row>
    <row r="197" spans="36:36" x14ac:dyDescent="0.2">
      <c r="AJ197" s="438"/>
    </row>
    <row r="198" spans="36:36" x14ac:dyDescent="0.2">
      <c r="AJ198" s="441"/>
    </row>
    <row r="199" spans="36:36" x14ac:dyDescent="0.2">
      <c r="AJ199" s="438"/>
    </row>
    <row r="200" spans="36:36" x14ac:dyDescent="0.2">
      <c r="AJ200" s="438"/>
    </row>
    <row r="201" spans="36:36" x14ac:dyDescent="0.2">
      <c r="AJ201" s="441"/>
    </row>
    <row r="202" spans="36:36" x14ac:dyDescent="0.2">
      <c r="AJ202" s="438"/>
    </row>
    <row r="203" spans="36:36" x14ac:dyDescent="0.2">
      <c r="AJ203" s="438"/>
    </row>
    <row r="204" spans="36:36" x14ac:dyDescent="0.2">
      <c r="AJ204" s="437"/>
    </row>
    <row r="205" spans="36:36" x14ac:dyDescent="0.2">
      <c r="AJ205" s="438"/>
    </row>
    <row r="206" spans="36:36" x14ac:dyDescent="0.2">
      <c r="AJ206" s="438"/>
    </row>
    <row r="207" spans="36:36" x14ac:dyDescent="0.2">
      <c r="AJ207" s="438"/>
    </row>
    <row r="208" spans="36:36" x14ac:dyDescent="0.2">
      <c r="AJ208" s="441"/>
    </row>
    <row r="209" spans="36:36" x14ac:dyDescent="0.2">
      <c r="AJ209" s="442"/>
    </row>
    <row r="210" spans="36:36" x14ac:dyDescent="0.2">
      <c r="AJ210" s="437"/>
    </row>
    <row r="211" spans="36:36" x14ac:dyDescent="0.2">
      <c r="AJ211" s="442"/>
    </row>
    <row r="212" spans="36:36" x14ac:dyDescent="0.2">
      <c r="AJ212" s="438"/>
    </row>
    <row r="213" spans="36:36" x14ac:dyDescent="0.2">
      <c r="AJ213" s="438"/>
    </row>
    <row r="214" spans="36:36" x14ac:dyDescent="0.2">
      <c r="AJ214" s="438"/>
    </row>
    <row r="215" spans="36:36" x14ac:dyDescent="0.2">
      <c r="AJ215" s="441"/>
    </row>
    <row r="216" spans="36:36" x14ac:dyDescent="0.2">
      <c r="AJ216" s="437"/>
    </row>
    <row r="217" spans="36:36" x14ac:dyDescent="0.2">
      <c r="AJ217" s="438"/>
    </row>
    <row r="218" spans="36:36" x14ac:dyDescent="0.2">
      <c r="AJ218" s="438"/>
    </row>
    <row r="219" spans="36:36" x14ac:dyDescent="0.2">
      <c r="AJ219" s="441"/>
    </row>
    <row r="220" spans="36:36" x14ac:dyDescent="0.2">
      <c r="AJ220" s="438"/>
    </row>
    <row r="221" spans="36:36" x14ac:dyDescent="0.2">
      <c r="AJ221" s="438"/>
    </row>
    <row r="222" spans="36:36" x14ac:dyDescent="0.2">
      <c r="AJ222" s="438"/>
    </row>
    <row r="223" spans="36:36" x14ac:dyDescent="0.2">
      <c r="AJ223" s="443"/>
    </row>
    <row r="224" spans="36:36" x14ac:dyDescent="0.2">
      <c r="AJ224" s="443"/>
    </row>
    <row r="225" spans="36:36" x14ac:dyDescent="0.2">
      <c r="AJ225" s="441"/>
    </row>
    <row r="226" spans="36:36" x14ac:dyDescent="0.2">
      <c r="AJ226" s="437"/>
    </row>
    <row r="227" spans="36:36" x14ac:dyDescent="0.2">
      <c r="AJ227" s="438"/>
    </row>
    <row r="228" spans="36:36" x14ac:dyDescent="0.2">
      <c r="AJ228" s="438"/>
    </row>
    <row r="229" spans="36:36" x14ac:dyDescent="0.2">
      <c r="AJ229" s="438"/>
    </row>
    <row r="230" spans="36:36" x14ac:dyDescent="0.2">
      <c r="AJ230" s="441"/>
    </row>
    <row r="231" spans="36:36" x14ac:dyDescent="0.2">
      <c r="AJ231" s="438"/>
    </row>
    <row r="232" spans="36:36" x14ac:dyDescent="0.2">
      <c r="AJ232" s="442"/>
    </row>
    <row r="233" spans="36:36" x14ac:dyDescent="0.2">
      <c r="AJ233" s="442"/>
    </row>
    <row r="234" spans="36:36" x14ac:dyDescent="0.2">
      <c r="AJ234" s="442"/>
    </row>
    <row r="235" spans="36:36" x14ac:dyDescent="0.2">
      <c r="AJ235" s="438"/>
    </row>
  </sheetData>
  <mergeCells count="3">
    <mergeCell ref="A1:S2"/>
    <mergeCell ref="AH2:AJ2"/>
    <mergeCell ref="AK2:AM2"/>
  </mergeCells>
  <phoneticPr fontId="9" type="noConversion"/>
  <printOptions gridLines="1"/>
  <pageMargins left="0.75" right="0.75" top="1" bottom="1" header="0.5" footer="0.5"/>
  <pageSetup paperSize="17" scale="30"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dimension ref="A1:CB363"/>
  <sheetViews>
    <sheetView workbookViewId="0">
      <selection sqref="A1:O2"/>
    </sheetView>
  </sheetViews>
  <sheetFormatPr defaultRowHeight="12.75" x14ac:dyDescent="0.2"/>
  <cols>
    <col min="1" max="1" width="38.85546875" customWidth="1"/>
    <col min="4" max="4" width="9.28515625" bestFit="1" customWidth="1"/>
    <col min="5" max="5" width="27.42578125" style="230" bestFit="1" customWidth="1"/>
    <col min="6" max="6" width="15.140625" bestFit="1" customWidth="1"/>
    <col min="7" max="10" width="12.5703125" bestFit="1" customWidth="1"/>
    <col min="11" max="11" width="12.42578125" bestFit="1" customWidth="1"/>
    <col min="12" max="12" width="11.5703125" bestFit="1" customWidth="1"/>
    <col min="13" max="13" width="11.140625" bestFit="1" customWidth="1"/>
    <col min="14" max="14" width="10.42578125" bestFit="1" customWidth="1"/>
    <col min="15" max="15" width="10.140625" bestFit="1" customWidth="1"/>
    <col min="16" max="16" width="11.28515625" style="5" bestFit="1" customWidth="1"/>
    <col min="17" max="17" width="9.7109375" style="3" bestFit="1" customWidth="1"/>
    <col min="18" max="18" width="11.140625" bestFit="1" customWidth="1"/>
  </cols>
  <sheetData>
    <row r="1" spans="1:17" x14ac:dyDescent="0.2">
      <c r="A1" s="4339" t="s">
        <v>356</v>
      </c>
      <c r="B1" s="4340"/>
      <c r="C1" s="4340"/>
      <c r="D1" s="4340"/>
      <c r="E1" s="4340"/>
      <c r="F1" s="4340"/>
      <c r="G1" s="4340"/>
      <c r="H1" s="4340"/>
      <c r="I1" s="4340"/>
      <c r="J1" s="4340"/>
      <c r="K1" s="4340"/>
      <c r="L1" s="4340"/>
      <c r="M1" s="4340"/>
      <c r="N1" s="4340"/>
      <c r="O1" s="4341"/>
    </row>
    <row r="2" spans="1:17" ht="13.5" thickBot="1" x14ac:dyDescent="0.25">
      <c r="A2" s="4342"/>
      <c r="B2" s="4343"/>
      <c r="C2" s="4343"/>
      <c r="D2" s="4343"/>
      <c r="E2" s="4343"/>
      <c r="F2" s="4343"/>
      <c r="G2" s="4343"/>
      <c r="H2" s="4343"/>
      <c r="I2" s="4343"/>
      <c r="J2" s="4343"/>
      <c r="K2" s="4343"/>
      <c r="L2" s="4343"/>
      <c r="M2" s="4343"/>
      <c r="N2" s="4343"/>
      <c r="O2" s="4344"/>
    </row>
    <row r="3" spans="1:17" ht="14.25" thickTop="1" thickBot="1" x14ac:dyDescent="0.25">
      <c r="A3" s="8" t="s">
        <v>2</v>
      </c>
      <c r="B3" s="12" t="s">
        <v>42</v>
      </c>
      <c r="C3" s="12"/>
      <c r="D3" s="53" t="s">
        <v>43</v>
      </c>
      <c r="E3" s="4345" t="s">
        <v>330</v>
      </c>
      <c r="F3" s="4345"/>
      <c r="G3" s="4345"/>
      <c r="H3" s="4345"/>
      <c r="I3" s="4345"/>
      <c r="J3" s="4345"/>
      <c r="K3" s="4345"/>
      <c r="L3" s="4345"/>
      <c r="M3" s="4345"/>
      <c r="N3" s="4345"/>
      <c r="O3" s="39"/>
    </row>
    <row r="4" spans="1:17" ht="14.25" thickTop="1" thickBot="1" x14ac:dyDescent="0.25">
      <c r="A4" s="9" t="s">
        <v>3</v>
      </c>
      <c r="B4" s="13" t="s">
        <v>4</v>
      </c>
      <c r="C4" s="13" t="s">
        <v>5</v>
      </c>
      <c r="D4" s="54" t="s">
        <v>4</v>
      </c>
      <c r="E4" s="1688" t="s">
        <v>69</v>
      </c>
      <c r="F4" s="1689">
        <v>2008</v>
      </c>
      <c r="G4" s="1690">
        <v>2009</v>
      </c>
      <c r="H4" s="1690">
        <v>2010</v>
      </c>
      <c r="I4" s="1690">
        <v>2011</v>
      </c>
      <c r="J4" s="1691">
        <v>2012</v>
      </c>
      <c r="K4" s="1691">
        <v>2013</v>
      </c>
      <c r="L4" s="1691">
        <v>2014</v>
      </c>
      <c r="M4" s="1692">
        <v>2015</v>
      </c>
      <c r="N4" s="1692">
        <v>2016</v>
      </c>
      <c r="O4" s="1692">
        <v>2017</v>
      </c>
      <c r="P4" s="1691">
        <v>2018</v>
      </c>
      <c r="Q4" s="1703">
        <v>2019</v>
      </c>
    </row>
    <row r="5" spans="1:17" ht="14.25" thickTop="1" thickBot="1" x14ac:dyDescent="0.25">
      <c r="A5" s="20" t="s">
        <v>89</v>
      </c>
      <c r="B5" s="21"/>
      <c r="C5" s="21"/>
      <c r="D5" s="21"/>
      <c r="E5" s="1693"/>
      <c r="F5" s="1694"/>
      <c r="G5" s="1695"/>
      <c r="H5" s="1695"/>
      <c r="I5" s="1695"/>
      <c r="J5" s="1695"/>
      <c r="K5" s="1696"/>
      <c r="L5" s="1696"/>
      <c r="M5" s="1696"/>
      <c r="N5" s="1697"/>
      <c r="O5" s="1697"/>
      <c r="P5" s="1716"/>
      <c r="Q5" s="1704"/>
    </row>
    <row r="6" spans="1:17" ht="14.25" thickTop="1" thickBot="1" x14ac:dyDescent="0.25">
      <c r="A6" s="670" t="s">
        <v>49</v>
      </c>
      <c r="B6" s="671"/>
      <c r="C6" s="671"/>
      <c r="D6" s="671"/>
      <c r="E6" s="822"/>
      <c r="F6" s="355"/>
      <c r="G6" s="103"/>
      <c r="H6" s="103"/>
      <c r="I6" s="103"/>
      <c r="J6" s="103"/>
      <c r="K6" s="103"/>
      <c r="L6" s="103"/>
      <c r="M6" s="103"/>
      <c r="N6" s="104"/>
      <c r="O6" s="212"/>
      <c r="P6" s="103"/>
    </row>
    <row r="7" spans="1:17" x14ac:dyDescent="0.2">
      <c r="A7" s="475" t="s">
        <v>39</v>
      </c>
      <c r="B7" s="476" t="s">
        <v>7</v>
      </c>
      <c r="C7" s="476" t="s">
        <v>132</v>
      </c>
      <c r="D7" s="672" t="s">
        <v>8</v>
      </c>
      <c r="E7" s="363"/>
      <c r="F7" s="353"/>
      <c r="G7" s="353"/>
      <c r="H7" s="353"/>
      <c r="I7" s="353"/>
      <c r="J7" s="353"/>
      <c r="K7" s="353"/>
      <c r="L7" s="353"/>
      <c r="M7" s="353"/>
      <c r="N7" s="353"/>
      <c r="O7" s="588"/>
      <c r="P7" s="103"/>
    </row>
    <row r="8" spans="1:17" x14ac:dyDescent="0.2">
      <c r="A8" s="475" t="s">
        <v>13</v>
      </c>
      <c r="B8" s="476" t="s">
        <v>14</v>
      </c>
      <c r="C8" s="476" t="s">
        <v>132</v>
      </c>
      <c r="D8" s="672" t="s">
        <v>8</v>
      </c>
      <c r="E8" s="363"/>
      <c r="F8" s="353"/>
      <c r="G8" s="247"/>
      <c r="H8" s="247"/>
      <c r="I8" s="247"/>
      <c r="J8" s="247"/>
      <c r="K8" s="247"/>
      <c r="L8" s="247"/>
      <c r="M8" s="247"/>
      <c r="N8" s="354"/>
      <c r="O8" s="588"/>
      <c r="P8" s="103"/>
    </row>
    <row r="9" spans="1:17" x14ac:dyDescent="0.2">
      <c r="A9" s="475" t="s">
        <v>15</v>
      </c>
      <c r="B9" s="476" t="s">
        <v>7</v>
      </c>
      <c r="C9" s="476" t="s">
        <v>132</v>
      </c>
      <c r="D9" s="672" t="s">
        <v>8</v>
      </c>
      <c r="E9" s="363"/>
      <c r="F9" s="353"/>
      <c r="G9" s="247"/>
      <c r="H9" s="247"/>
      <c r="I9" s="247"/>
      <c r="J9" s="247"/>
      <c r="K9" s="247"/>
      <c r="L9" s="247"/>
      <c r="M9" s="247"/>
      <c r="N9" s="354"/>
      <c r="O9" s="588"/>
      <c r="P9" s="103"/>
    </row>
    <row r="10" spans="1:17" ht="13.5" thickBot="1" x14ac:dyDescent="0.25">
      <c r="A10" s="516" t="s">
        <v>15</v>
      </c>
      <c r="B10" s="476" t="s">
        <v>7</v>
      </c>
      <c r="C10" s="476" t="s">
        <v>132</v>
      </c>
      <c r="D10" s="672" t="s">
        <v>16</v>
      </c>
      <c r="E10" s="363"/>
      <c r="F10" s="353"/>
      <c r="G10" s="247"/>
      <c r="H10" s="247"/>
      <c r="I10" s="247"/>
      <c r="J10" s="247"/>
      <c r="K10" s="247"/>
      <c r="L10" s="247"/>
      <c r="M10" s="354"/>
      <c r="N10" s="354"/>
      <c r="O10" s="212"/>
      <c r="P10" s="103"/>
    </row>
    <row r="11" spans="1:17" s="39" customFormat="1" ht="14.25" thickTop="1" thickBot="1" x14ac:dyDescent="0.25">
      <c r="A11" s="102"/>
      <c r="B11" s="104"/>
      <c r="C11" s="105"/>
      <c r="D11" s="105"/>
      <c r="E11" s="254"/>
      <c r="F11" s="353"/>
      <c r="G11" s="247"/>
      <c r="H11" s="247"/>
      <c r="I11" s="247"/>
      <c r="J11" s="247"/>
      <c r="K11" s="247"/>
      <c r="L11" s="247"/>
      <c r="M11" s="247"/>
      <c r="N11" s="354"/>
      <c r="O11" s="588"/>
      <c r="P11" s="103"/>
      <c r="Q11" s="120"/>
    </row>
    <row r="12" spans="1:17" ht="14.25" thickTop="1" thickBot="1" x14ac:dyDescent="0.25">
      <c r="A12" s="670" t="s">
        <v>48</v>
      </c>
      <c r="B12" s="675"/>
      <c r="C12" s="675"/>
      <c r="D12" s="675"/>
      <c r="E12" s="254"/>
      <c r="F12" s="353"/>
      <c r="G12" s="247"/>
      <c r="H12" s="247"/>
      <c r="I12" s="247"/>
      <c r="J12" s="247"/>
      <c r="K12" s="247"/>
      <c r="L12" s="247"/>
      <c r="M12" s="247"/>
      <c r="N12" s="354"/>
      <c r="O12" s="588"/>
      <c r="P12" s="103"/>
    </row>
    <row r="13" spans="1:17" s="491" customFormat="1" x14ac:dyDescent="0.2">
      <c r="A13" s="475" t="s">
        <v>13</v>
      </c>
      <c r="B13" s="476" t="s">
        <v>7</v>
      </c>
      <c r="C13" s="476" t="s">
        <v>132</v>
      </c>
      <c r="D13" s="672" t="s">
        <v>8</v>
      </c>
      <c r="E13" s="823"/>
      <c r="F13" s="2151"/>
      <c r="G13" s="2151"/>
      <c r="H13" s="2151"/>
      <c r="I13" s="2151"/>
      <c r="J13" s="2151"/>
      <c r="K13" s="2151"/>
      <c r="L13" s="2151"/>
      <c r="M13" s="2151"/>
      <c r="N13" s="2151"/>
      <c r="O13" s="2152"/>
      <c r="P13" s="100"/>
      <c r="Q13" s="1138"/>
    </row>
    <row r="14" spans="1:17" x14ac:dyDescent="0.2">
      <c r="A14" s="475" t="s">
        <v>50</v>
      </c>
      <c r="B14" s="476" t="s">
        <v>14</v>
      </c>
      <c r="C14" s="476" t="s">
        <v>132</v>
      </c>
      <c r="D14" s="672" t="s">
        <v>8</v>
      </c>
      <c r="E14" s="254"/>
      <c r="F14" s="353"/>
      <c r="G14" s="247"/>
      <c r="H14" s="247"/>
      <c r="I14" s="247"/>
      <c r="J14" s="247"/>
      <c r="K14" s="247"/>
      <c r="L14" s="247"/>
      <c r="M14" s="247"/>
      <c r="N14" s="354"/>
      <c r="O14" s="588"/>
      <c r="P14" s="103"/>
    </row>
    <row r="15" spans="1:17" x14ac:dyDescent="0.2">
      <c r="A15" s="475" t="s">
        <v>51</v>
      </c>
      <c r="B15" s="476" t="s">
        <v>14</v>
      </c>
      <c r="C15" s="476" t="s">
        <v>132</v>
      </c>
      <c r="D15" s="672" t="s">
        <v>8</v>
      </c>
      <c r="E15" s="823"/>
      <c r="F15" s="353"/>
      <c r="G15" s="247"/>
      <c r="H15" s="247"/>
      <c r="I15" s="247"/>
      <c r="J15" s="247"/>
      <c r="K15" s="247"/>
      <c r="L15" s="247"/>
      <c r="M15" s="247"/>
      <c r="N15" s="354"/>
      <c r="O15" s="588"/>
      <c r="P15" s="103"/>
    </row>
    <row r="16" spans="1:17" ht="13.5" thickBot="1" x14ac:dyDescent="0.25">
      <c r="A16" s="516" t="s">
        <v>52</v>
      </c>
      <c r="B16" s="517" t="s">
        <v>7</v>
      </c>
      <c r="C16" s="517" t="s">
        <v>132</v>
      </c>
      <c r="D16" s="681" t="s">
        <v>8</v>
      </c>
      <c r="E16" s="363"/>
      <c r="F16" s="353"/>
      <c r="G16" s="353"/>
      <c r="H16" s="353"/>
      <c r="I16" s="353"/>
      <c r="J16" s="353"/>
      <c r="K16" s="353"/>
      <c r="L16" s="353"/>
      <c r="M16" s="353"/>
      <c r="N16" s="353"/>
      <c r="O16" s="588"/>
      <c r="P16" s="103"/>
    </row>
    <row r="17" spans="1:17" ht="14.25" thickTop="1" thickBot="1" x14ac:dyDescent="0.25">
      <c r="A17" s="841"/>
      <c r="B17" s="103"/>
      <c r="C17" s="103"/>
      <c r="D17" s="212"/>
      <c r="E17" s="254"/>
      <c r="F17" s="353"/>
      <c r="G17" s="247"/>
      <c r="H17" s="247"/>
      <c r="I17" s="247"/>
      <c r="J17" s="247"/>
      <c r="K17" s="247"/>
      <c r="L17" s="247"/>
      <c r="M17" s="247"/>
      <c r="N17" s="354"/>
      <c r="O17" s="588"/>
      <c r="P17" s="103"/>
    </row>
    <row r="18" spans="1:17" ht="14.25" thickTop="1" thickBot="1" x14ac:dyDescent="0.25">
      <c r="A18" s="670" t="s">
        <v>47</v>
      </c>
      <c r="B18" s="675"/>
      <c r="C18" s="675"/>
      <c r="D18" s="675"/>
      <c r="E18" s="254"/>
      <c r="F18" s="353"/>
      <c r="G18" s="247"/>
      <c r="H18" s="247"/>
      <c r="I18" s="247"/>
      <c r="J18" s="247"/>
      <c r="K18" s="247"/>
      <c r="L18" s="247"/>
      <c r="M18" s="247"/>
      <c r="N18" s="354"/>
      <c r="O18" s="588"/>
      <c r="P18" s="103"/>
    </row>
    <row r="19" spans="1:17" ht="13.5" thickBot="1" x14ac:dyDescent="0.25">
      <c r="A19" s="516" t="s">
        <v>40</v>
      </c>
      <c r="B19" s="517" t="s">
        <v>7</v>
      </c>
      <c r="C19" s="517" t="s">
        <v>46</v>
      </c>
      <c r="D19" s="681" t="s">
        <v>8</v>
      </c>
      <c r="E19" s="254"/>
      <c r="F19" s="353"/>
      <c r="G19" s="247"/>
      <c r="H19" s="247"/>
      <c r="I19" s="247"/>
      <c r="J19" s="247"/>
      <c r="K19" s="247"/>
      <c r="L19" s="247"/>
      <c r="M19" s="247"/>
      <c r="N19" s="354"/>
      <c r="O19" s="588"/>
      <c r="P19" s="103"/>
    </row>
    <row r="20" spans="1:17" s="39" customFormat="1" ht="14.25" thickTop="1" thickBot="1" x14ac:dyDescent="0.25">
      <c r="A20" s="25"/>
      <c r="B20" s="26"/>
      <c r="C20" s="26"/>
      <c r="D20" s="26"/>
      <c r="E20" s="254"/>
      <c r="F20" s="353"/>
      <c r="G20" s="247"/>
      <c r="H20" s="247"/>
      <c r="I20" s="247"/>
      <c r="J20" s="247"/>
      <c r="K20" s="247"/>
      <c r="L20" s="247"/>
      <c r="M20" s="247"/>
      <c r="N20" s="354"/>
      <c r="O20" s="588"/>
      <c r="P20" s="103"/>
      <c r="Q20" s="120"/>
    </row>
    <row r="21" spans="1:17" ht="14.25" thickTop="1" thickBot="1" x14ac:dyDescent="0.25">
      <c r="A21" s="670" t="s">
        <v>90</v>
      </c>
      <c r="B21" s="671"/>
      <c r="C21" s="671"/>
      <c r="D21" s="671"/>
      <c r="E21" s="254"/>
      <c r="F21" s="353"/>
      <c r="G21" s="247"/>
      <c r="H21" s="247"/>
      <c r="I21" s="247"/>
      <c r="J21" s="247"/>
      <c r="K21" s="247"/>
      <c r="L21" s="247"/>
      <c r="M21" s="247"/>
      <c r="N21" s="354"/>
      <c r="O21" s="588"/>
      <c r="P21" s="103"/>
    </row>
    <row r="22" spans="1:17" x14ac:dyDescent="0.2">
      <c r="A22" s="527" t="s">
        <v>61</v>
      </c>
      <c r="B22" s="528" t="s">
        <v>7</v>
      </c>
      <c r="C22" s="528" t="s">
        <v>132</v>
      </c>
      <c r="D22" s="682" t="s">
        <v>8</v>
      </c>
      <c r="E22" s="363"/>
      <c r="F22" s="353"/>
      <c r="G22" s="247"/>
      <c r="H22" s="247"/>
      <c r="I22" s="247"/>
      <c r="J22" s="247"/>
      <c r="K22" s="247"/>
      <c r="L22" s="247"/>
      <c r="M22" s="247"/>
      <c r="N22" s="354"/>
      <c r="O22" s="588"/>
      <c r="P22" s="103"/>
    </row>
    <row r="23" spans="1:17" s="473" customFormat="1" x14ac:dyDescent="0.2">
      <c r="A23" s="507" t="s">
        <v>62</v>
      </c>
      <c r="B23" s="508" t="s">
        <v>7</v>
      </c>
      <c r="C23" s="508" t="s">
        <v>44</v>
      </c>
      <c r="D23" s="674" t="s">
        <v>8</v>
      </c>
      <c r="E23" s="838">
        <f>SUM(F23:N23)</f>
        <v>677944</v>
      </c>
      <c r="F23" s="839">
        <f t="shared" ref="F23:N23" si="0">SUM(F144:F148)</f>
        <v>34646.400000000001</v>
      </c>
      <c r="G23" s="839">
        <f t="shared" si="0"/>
        <v>84632</v>
      </c>
      <c r="H23" s="839">
        <f t="shared" si="0"/>
        <v>109670.6</v>
      </c>
      <c r="I23" s="839">
        <f t="shared" si="0"/>
        <v>126311.20000000001</v>
      </c>
      <c r="J23" s="839">
        <f t="shared" si="0"/>
        <v>135588.80000000002</v>
      </c>
      <c r="K23" s="839">
        <f t="shared" si="0"/>
        <v>100942.39999999999</v>
      </c>
      <c r="L23" s="839">
        <f t="shared" si="0"/>
        <v>50956.799999999996</v>
      </c>
      <c r="M23" s="839">
        <f t="shared" si="0"/>
        <v>25918.199999999997</v>
      </c>
      <c r="N23" s="839">
        <f t="shared" si="0"/>
        <v>9277.6</v>
      </c>
      <c r="O23" s="840"/>
      <c r="P23" s="496"/>
      <c r="Q23" s="1371"/>
    </row>
    <row r="24" spans="1:17" s="473" customFormat="1" ht="13.5" thickBot="1" x14ac:dyDescent="0.25">
      <c r="A24" s="550" t="s">
        <v>63</v>
      </c>
      <c r="B24" s="551" t="s">
        <v>7</v>
      </c>
      <c r="C24" s="551" t="s">
        <v>44</v>
      </c>
      <c r="D24" s="686" t="s">
        <v>8</v>
      </c>
      <c r="E24" s="838">
        <f>SUM(F24:N24)</f>
        <v>156127</v>
      </c>
      <c r="F24" s="839">
        <f t="shared" ref="F24:N24" si="1">SUM(F151:F155)</f>
        <v>15508</v>
      </c>
      <c r="G24" s="839">
        <f t="shared" si="1"/>
        <v>20330.400000000001</v>
      </c>
      <c r="H24" s="839">
        <f t="shared" si="1"/>
        <v>24777.800000000003</v>
      </c>
      <c r="I24" s="839">
        <f t="shared" si="1"/>
        <v>28006.400000000001</v>
      </c>
      <c r="J24" s="839">
        <f t="shared" si="1"/>
        <v>31225.4</v>
      </c>
      <c r="K24" s="839">
        <f t="shared" si="1"/>
        <v>15717.4</v>
      </c>
      <c r="L24" s="839">
        <f t="shared" si="1"/>
        <v>10895</v>
      </c>
      <c r="M24" s="839">
        <f t="shared" si="1"/>
        <v>6447.6</v>
      </c>
      <c r="N24" s="839">
        <f t="shared" si="1"/>
        <v>3219</v>
      </c>
      <c r="O24" s="840"/>
      <c r="P24" s="496"/>
      <c r="Q24" s="1371"/>
    </row>
    <row r="25" spans="1:17" s="39" customFormat="1" ht="14.25" thickTop="1" thickBot="1" x14ac:dyDescent="0.25">
      <c r="E25" s="194"/>
      <c r="F25" s="355"/>
      <c r="G25" s="103"/>
      <c r="H25" s="103"/>
      <c r="I25" s="103"/>
      <c r="J25" s="103"/>
      <c r="K25" s="103"/>
      <c r="L25" s="103"/>
      <c r="M25" s="103"/>
      <c r="N25" s="212"/>
      <c r="O25" s="212"/>
      <c r="P25" s="103"/>
      <c r="Q25" s="120"/>
    </row>
    <row r="26" spans="1:17" ht="14.25" thickTop="1" thickBot="1" x14ac:dyDescent="0.25">
      <c r="A26" s="670" t="s">
        <v>120</v>
      </c>
      <c r="B26" s="675"/>
      <c r="C26" s="675"/>
      <c r="D26" s="675"/>
      <c r="E26" s="397"/>
      <c r="F26" s="355"/>
      <c r="G26" s="103"/>
      <c r="H26" s="103"/>
      <c r="I26" s="103"/>
      <c r="J26" s="103"/>
      <c r="K26" s="103"/>
      <c r="L26" s="103"/>
      <c r="M26" s="103"/>
      <c r="N26" s="212"/>
      <c r="O26" s="212"/>
      <c r="P26" s="103"/>
    </row>
    <row r="27" spans="1:17" ht="13.5" thickBot="1" x14ac:dyDescent="0.25">
      <c r="A27" s="516" t="s">
        <v>121</v>
      </c>
      <c r="B27" s="517" t="s">
        <v>14</v>
      </c>
      <c r="C27" s="517" t="s">
        <v>132</v>
      </c>
      <c r="D27" s="681" t="s">
        <v>8</v>
      </c>
      <c r="E27" s="823"/>
      <c r="F27" s="357"/>
      <c r="G27" s="358"/>
      <c r="H27" s="358"/>
      <c r="I27" s="358"/>
      <c r="J27" s="358"/>
      <c r="K27" s="358"/>
      <c r="L27" s="358"/>
      <c r="M27" s="358"/>
      <c r="N27" s="359"/>
      <c r="O27" s="212"/>
      <c r="P27" s="103"/>
    </row>
    <row r="28" spans="1:17" s="39" customFormat="1" ht="14.25" thickTop="1" thickBot="1" x14ac:dyDescent="0.25">
      <c r="A28" s="73"/>
      <c r="B28" s="73"/>
      <c r="C28" s="73"/>
      <c r="D28" s="73"/>
      <c r="E28" s="356"/>
      <c r="F28" s="357"/>
      <c r="G28" s="358"/>
      <c r="H28" s="358"/>
      <c r="I28" s="358"/>
      <c r="J28" s="358"/>
      <c r="K28" s="358"/>
      <c r="L28" s="358"/>
      <c r="M28" s="358"/>
      <c r="N28" s="359"/>
      <c r="O28" s="212"/>
      <c r="P28" s="103"/>
      <c r="Q28" s="120"/>
    </row>
    <row r="29" spans="1:17" s="39" customFormat="1" ht="14.25" thickTop="1" thickBot="1" x14ac:dyDescent="0.25">
      <c r="A29" s="676" t="s">
        <v>133</v>
      </c>
      <c r="B29" s="419"/>
      <c r="C29" s="419"/>
      <c r="D29" s="419"/>
      <c r="E29" s="356"/>
      <c r="F29" s="357"/>
      <c r="G29" s="358"/>
      <c r="H29" s="358"/>
      <c r="I29" s="358"/>
      <c r="J29" s="358"/>
      <c r="K29" s="358"/>
      <c r="L29" s="358"/>
      <c r="M29" s="358"/>
      <c r="N29" s="359"/>
      <c r="O29" s="212"/>
      <c r="P29" s="103"/>
      <c r="Q29" s="120"/>
    </row>
    <row r="30" spans="1:17" s="39" customFormat="1" ht="13.5" thickTop="1" x14ac:dyDescent="0.2">
      <c r="A30" s="475" t="s">
        <v>134</v>
      </c>
      <c r="B30" s="476" t="s">
        <v>7</v>
      </c>
      <c r="C30" s="476" t="s">
        <v>132</v>
      </c>
      <c r="D30" s="672" t="s">
        <v>8</v>
      </c>
      <c r="E30" s="363"/>
      <c r="F30" s="357"/>
      <c r="G30" s="357"/>
      <c r="H30" s="357"/>
      <c r="I30" s="357"/>
      <c r="J30" s="357"/>
      <c r="K30" s="357"/>
      <c r="L30" s="357"/>
      <c r="M30" s="357"/>
      <c r="N30" s="357"/>
      <c r="O30" s="212"/>
      <c r="P30" s="103"/>
      <c r="Q30" s="120"/>
    </row>
    <row r="31" spans="1:17" s="473" customFormat="1" ht="13.5" thickBot="1" x14ac:dyDescent="0.25">
      <c r="A31" s="550" t="s">
        <v>50</v>
      </c>
      <c r="B31" s="551" t="s">
        <v>7</v>
      </c>
      <c r="C31" s="551" t="s">
        <v>44</v>
      </c>
      <c r="D31" s="686" t="s">
        <v>8</v>
      </c>
      <c r="E31" s="838">
        <f>SUM(F31:N31)</f>
        <v>1653965</v>
      </c>
      <c r="F31" s="842">
        <f t="shared" ref="F31:N31" si="2">SUM(F158:F162)</f>
        <v>0</v>
      </c>
      <c r="G31" s="842">
        <f t="shared" si="2"/>
        <v>76302.8</v>
      </c>
      <c r="H31" s="842">
        <f t="shared" si="2"/>
        <v>156721.40000000002</v>
      </c>
      <c r="I31" s="842">
        <f t="shared" si="2"/>
        <v>241474.60000000003</v>
      </c>
      <c r="J31" s="842">
        <f t="shared" si="2"/>
        <v>330793</v>
      </c>
      <c r="K31" s="842">
        <f t="shared" si="2"/>
        <v>330793</v>
      </c>
      <c r="L31" s="842">
        <f t="shared" si="2"/>
        <v>254490.19999999998</v>
      </c>
      <c r="M31" s="842">
        <f t="shared" si="2"/>
        <v>174071.59999999998</v>
      </c>
      <c r="N31" s="842">
        <f t="shared" si="2"/>
        <v>89318.399999999994</v>
      </c>
      <c r="O31" s="699"/>
      <c r="P31" s="496"/>
      <c r="Q31" s="1371"/>
    </row>
    <row r="32" spans="1:17" s="39" customFormat="1" ht="14.25" thickTop="1" thickBot="1" x14ac:dyDescent="0.25">
      <c r="A32" s="73"/>
      <c r="B32" s="73"/>
      <c r="C32" s="73"/>
      <c r="D32" s="73"/>
      <c r="E32" s="356"/>
      <c r="F32" s="845"/>
      <c r="G32" s="361"/>
      <c r="H32" s="361"/>
      <c r="I32" s="361"/>
      <c r="J32" s="361"/>
      <c r="K32" s="361"/>
      <c r="L32" s="361"/>
      <c r="M32" s="361"/>
      <c r="N32" s="362"/>
      <c r="O32" s="212"/>
      <c r="P32" s="103"/>
      <c r="Q32" s="120"/>
    </row>
    <row r="33" spans="1:17" s="39" customFormat="1" ht="14.25" thickTop="1" thickBot="1" x14ac:dyDescent="0.25">
      <c r="A33" s="407" t="s">
        <v>186</v>
      </c>
      <c r="B33" s="824"/>
      <c r="C33" s="825"/>
      <c r="D33" s="677"/>
      <c r="E33" s="356"/>
      <c r="F33" s="845"/>
      <c r="G33" s="361"/>
      <c r="H33" s="361"/>
      <c r="I33" s="361"/>
      <c r="J33" s="361"/>
      <c r="K33" s="361"/>
      <c r="L33" s="361"/>
      <c r="M33" s="361"/>
      <c r="N33" s="362"/>
      <c r="O33" s="212"/>
      <c r="P33" s="103"/>
      <c r="Q33" s="120"/>
    </row>
    <row r="34" spans="1:17" s="473" customFormat="1" ht="14.25" thickTop="1" thickBot="1" x14ac:dyDescent="0.25">
      <c r="A34" s="516" t="s">
        <v>188</v>
      </c>
      <c r="B34" s="1113" t="s">
        <v>7</v>
      </c>
      <c r="C34" s="1114" t="s">
        <v>132</v>
      </c>
      <c r="D34" s="681" t="s">
        <v>8</v>
      </c>
      <c r="E34" s="363"/>
      <c r="F34" s="360"/>
      <c r="G34" s="361"/>
      <c r="H34" s="361"/>
      <c r="I34" s="361"/>
      <c r="J34" s="361"/>
      <c r="K34" s="361"/>
      <c r="L34" s="361"/>
      <c r="M34" s="361"/>
      <c r="N34" s="361"/>
      <c r="O34" s="212"/>
      <c r="P34" s="103"/>
      <c r="Q34" s="120"/>
    </row>
    <row r="35" spans="1:17" s="39" customFormat="1" ht="14.25" thickTop="1" thickBot="1" x14ac:dyDescent="0.25">
      <c r="A35" s="26"/>
      <c r="B35" s="73"/>
      <c r="C35" s="73"/>
      <c r="D35" s="26"/>
      <c r="E35" s="363"/>
      <c r="F35" s="845"/>
      <c r="G35" s="361"/>
      <c r="H35" s="361"/>
      <c r="I35" s="361"/>
      <c r="J35" s="361"/>
      <c r="K35" s="361"/>
      <c r="L35" s="361"/>
      <c r="M35" s="361"/>
      <c r="N35" s="364"/>
      <c r="O35" s="212"/>
      <c r="P35" s="103"/>
      <c r="Q35" s="120"/>
    </row>
    <row r="36" spans="1:17" s="39" customFormat="1" ht="14.25" thickTop="1" thickBot="1" x14ac:dyDescent="0.25">
      <c r="A36" s="407" t="s">
        <v>316</v>
      </c>
      <c r="B36" s="109"/>
      <c r="C36" s="109"/>
      <c r="D36" s="677"/>
      <c r="E36" s="363"/>
      <c r="F36" s="845"/>
      <c r="G36" s="361"/>
      <c r="H36" s="361"/>
      <c r="I36" s="361"/>
      <c r="J36" s="361"/>
      <c r="K36" s="361"/>
      <c r="L36" s="361"/>
      <c r="M36" s="361"/>
      <c r="N36" s="364"/>
      <c r="O36" s="212"/>
      <c r="P36" s="103"/>
      <c r="Q36" s="120"/>
    </row>
    <row r="37" spans="1:17" s="473" customFormat="1" ht="13.5" thickTop="1" x14ac:dyDescent="0.2">
      <c r="A37" s="687" t="s">
        <v>125</v>
      </c>
      <c r="B37" s="468" t="s">
        <v>7</v>
      </c>
      <c r="C37" s="468" t="s">
        <v>44</v>
      </c>
      <c r="D37" s="688" t="s">
        <v>8</v>
      </c>
      <c r="E37" s="838">
        <f>SUM(F37:O37)</f>
        <v>182397</v>
      </c>
      <c r="F37" s="1662">
        <f t="shared" ref="F37:N37" si="3">SUM(F166:F170)</f>
        <v>3490.4</v>
      </c>
      <c r="G37" s="843">
        <f t="shared" si="3"/>
        <v>11247.4</v>
      </c>
      <c r="H37" s="843">
        <f t="shared" si="3"/>
        <v>21440.199999999997</v>
      </c>
      <c r="I37" s="843">
        <f t="shared" si="3"/>
        <v>29989.399999999998</v>
      </c>
      <c r="J37" s="843">
        <f t="shared" si="3"/>
        <v>36479.399999999994</v>
      </c>
      <c r="K37" s="843">
        <f t="shared" si="3"/>
        <v>32989</v>
      </c>
      <c r="L37" s="843">
        <f t="shared" si="3"/>
        <v>25232</v>
      </c>
      <c r="M37" s="843">
        <f t="shared" si="3"/>
        <v>15039.2</v>
      </c>
      <c r="N37" s="844">
        <f t="shared" si="3"/>
        <v>6490</v>
      </c>
      <c r="O37" s="699"/>
      <c r="P37" s="496"/>
      <c r="Q37" s="1371"/>
    </row>
    <row r="38" spans="1:17" s="473" customFormat="1" x14ac:dyDescent="0.2">
      <c r="A38" s="687" t="s">
        <v>121</v>
      </c>
      <c r="B38" s="468" t="s">
        <v>7</v>
      </c>
      <c r="C38" s="468" t="s">
        <v>44</v>
      </c>
      <c r="D38" s="674" t="s">
        <v>8</v>
      </c>
      <c r="E38" s="838">
        <f>SUM(F38:O38)</f>
        <v>1786827</v>
      </c>
      <c r="F38" s="1662">
        <f>SUM(F173:F174)</f>
        <v>123711.4</v>
      </c>
      <c r="G38" s="843">
        <f t="shared" ref="G38:N38" si="4">SUM(G173:G174)</f>
        <v>357365.4</v>
      </c>
      <c r="H38" s="843">
        <f t="shared" si="4"/>
        <v>357365.4</v>
      </c>
      <c r="I38" s="843">
        <f t="shared" si="4"/>
        <v>357365.4</v>
      </c>
      <c r="J38" s="843">
        <f t="shared" si="4"/>
        <v>357365.4</v>
      </c>
      <c r="K38" s="843">
        <f t="shared" si="4"/>
        <v>233654</v>
      </c>
      <c r="L38" s="843">
        <f t="shared" si="4"/>
        <v>0</v>
      </c>
      <c r="M38" s="843">
        <f t="shared" si="4"/>
        <v>0</v>
      </c>
      <c r="N38" s="844">
        <f t="shared" si="4"/>
        <v>0</v>
      </c>
      <c r="O38" s="699"/>
      <c r="P38" s="496"/>
      <c r="Q38" s="1371"/>
    </row>
    <row r="39" spans="1:17" s="39" customFormat="1" ht="13.5" thickBot="1" x14ac:dyDescent="0.25">
      <c r="A39" s="1184" t="s">
        <v>300</v>
      </c>
      <c r="B39" s="1185" t="s">
        <v>14</v>
      </c>
      <c r="C39" s="1185" t="s">
        <v>132</v>
      </c>
      <c r="D39" s="1393" t="s">
        <v>8</v>
      </c>
      <c r="E39" s="363"/>
      <c r="F39" s="845"/>
      <c r="G39" s="361"/>
      <c r="H39" s="361"/>
      <c r="I39" s="361"/>
      <c r="J39" s="361"/>
      <c r="K39" s="361"/>
      <c r="L39" s="361"/>
      <c r="M39" s="361"/>
      <c r="N39" s="361"/>
      <c r="O39" s="212"/>
      <c r="P39" s="103"/>
      <c r="Q39" s="120"/>
    </row>
    <row r="40" spans="1:17" s="39" customFormat="1" ht="14.25" thickTop="1" thickBot="1" x14ac:dyDescent="0.25">
      <c r="A40" s="26"/>
      <c r="B40" s="73"/>
      <c r="C40" s="73"/>
      <c r="D40" s="26"/>
      <c r="E40" s="363"/>
      <c r="F40" s="845"/>
      <c r="G40" s="361"/>
      <c r="H40" s="361"/>
      <c r="I40" s="361"/>
      <c r="J40" s="361"/>
      <c r="K40" s="361"/>
      <c r="L40" s="361"/>
      <c r="M40" s="361"/>
      <c r="N40" s="361"/>
      <c r="O40" s="212"/>
      <c r="P40" s="103"/>
      <c r="Q40" s="120"/>
    </row>
    <row r="41" spans="1:17" s="39" customFormat="1" ht="14.25" thickTop="1" thickBot="1" x14ac:dyDescent="0.25">
      <c r="A41" s="826" t="s">
        <v>400</v>
      </c>
      <c r="B41" s="696"/>
      <c r="C41" s="696"/>
      <c r="D41" s="419"/>
      <c r="E41" s="363"/>
      <c r="F41" s="845"/>
      <c r="G41" s="361"/>
      <c r="H41" s="361"/>
      <c r="I41" s="361"/>
      <c r="J41" s="361"/>
      <c r="K41" s="361"/>
      <c r="L41" s="361"/>
      <c r="M41" s="361"/>
      <c r="N41" s="361"/>
      <c r="O41" s="212"/>
      <c r="P41" s="103"/>
      <c r="Q41" s="120"/>
    </row>
    <row r="42" spans="1:17" s="777" customFormat="1" ht="13.5" thickTop="1" x14ac:dyDescent="0.2">
      <c r="A42" s="1436" t="s">
        <v>383</v>
      </c>
      <c r="B42" s="1436" t="s">
        <v>14</v>
      </c>
      <c r="C42" s="1436" t="s">
        <v>132</v>
      </c>
      <c r="D42" s="1436" t="s">
        <v>8</v>
      </c>
      <c r="E42" s="363"/>
      <c r="F42" s="845"/>
      <c r="G42" s="39"/>
      <c r="H42" s="361"/>
      <c r="I42" s="361"/>
      <c r="J42" s="361"/>
      <c r="K42" s="361"/>
      <c r="L42" s="361"/>
      <c r="M42" s="361"/>
      <c r="N42" s="361"/>
      <c r="O42" s="364"/>
      <c r="P42" s="101"/>
      <c r="Q42" s="120"/>
    </row>
    <row r="43" spans="1:17" s="39" customFormat="1" ht="13.5" thickBot="1" x14ac:dyDescent="0.25">
      <c r="A43" s="1185" t="s">
        <v>385</v>
      </c>
      <c r="B43" s="1185" t="s">
        <v>14</v>
      </c>
      <c r="C43" s="1185" t="s">
        <v>132</v>
      </c>
      <c r="D43" s="1185" t="s">
        <v>8</v>
      </c>
      <c r="E43" s="363"/>
      <c r="F43" s="845"/>
      <c r="G43" s="361"/>
      <c r="H43" s="361"/>
      <c r="I43" s="361"/>
      <c r="J43" s="361"/>
      <c r="K43" s="361"/>
      <c r="L43" s="361"/>
      <c r="M43" s="361"/>
      <c r="N43" s="361"/>
      <c r="O43" s="827"/>
      <c r="P43" s="103"/>
      <c r="Q43" s="120"/>
    </row>
    <row r="44" spans="1:17" s="39" customFormat="1" ht="14.25" thickTop="1" thickBot="1" x14ac:dyDescent="0.25">
      <c r="A44" s="26"/>
      <c r="B44" s="73"/>
      <c r="C44" s="73"/>
      <c r="D44" s="26"/>
      <c r="E44" s="363"/>
      <c r="F44" s="845"/>
      <c r="G44" s="361"/>
      <c r="H44" s="361"/>
      <c r="I44" s="361"/>
      <c r="J44" s="361"/>
      <c r="K44" s="361"/>
      <c r="L44" s="361"/>
      <c r="M44" s="361"/>
      <c r="N44" s="361"/>
      <c r="O44" s="827"/>
      <c r="P44" s="103"/>
      <c r="Q44" s="120"/>
    </row>
    <row r="45" spans="1:17" s="39" customFormat="1" ht="14.25" thickTop="1" thickBot="1" x14ac:dyDescent="0.25">
      <c r="A45" s="676" t="s">
        <v>476</v>
      </c>
      <c r="B45" s="419"/>
      <c r="C45" s="419"/>
      <c r="D45" s="419"/>
      <c r="E45" s="363"/>
      <c r="F45" s="845"/>
      <c r="G45" s="361"/>
      <c r="H45" s="361"/>
      <c r="I45" s="361"/>
      <c r="J45" s="361"/>
      <c r="K45" s="361"/>
      <c r="L45" s="361"/>
      <c r="M45" s="361"/>
      <c r="N45" s="361"/>
      <c r="O45" s="827"/>
      <c r="P45" s="103"/>
      <c r="Q45" s="120"/>
    </row>
    <row r="46" spans="1:17" s="39" customFormat="1" ht="14.25" thickTop="1" thickBot="1" x14ac:dyDescent="0.25">
      <c r="A46" s="1236" t="s">
        <v>466</v>
      </c>
      <c r="B46" s="1440" t="s">
        <v>14</v>
      </c>
      <c r="C46" s="1596" t="s">
        <v>132</v>
      </c>
      <c r="D46" s="1596" t="s">
        <v>8</v>
      </c>
      <c r="E46" s="363"/>
      <c r="F46" s="845"/>
      <c r="G46" s="361"/>
      <c r="H46" s="361"/>
      <c r="I46" s="361"/>
      <c r="J46" s="361"/>
      <c r="K46" s="361"/>
      <c r="L46" s="361"/>
      <c r="M46" s="361"/>
      <c r="N46" s="361"/>
      <c r="O46" s="827"/>
      <c r="P46" s="103"/>
      <c r="Q46" s="120"/>
    </row>
    <row r="47" spans="1:17" s="39" customFormat="1" ht="14.25" thickTop="1" thickBot="1" x14ac:dyDescent="0.25">
      <c r="A47" s="73"/>
      <c r="B47" s="73"/>
      <c r="C47" s="73"/>
      <c r="D47" s="73"/>
      <c r="E47" s="363"/>
      <c r="F47" s="845"/>
      <c r="G47" s="361"/>
      <c r="H47" s="361"/>
      <c r="I47" s="361"/>
      <c r="J47" s="361"/>
      <c r="K47" s="361"/>
      <c r="L47" s="361"/>
      <c r="M47" s="361"/>
      <c r="N47" s="361"/>
      <c r="O47" s="827"/>
      <c r="P47" s="103"/>
      <c r="Q47" s="120"/>
    </row>
    <row r="48" spans="1:17" s="39" customFormat="1" ht="14.25" thickTop="1" thickBot="1" x14ac:dyDescent="0.25">
      <c r="A48" s="419" t="s">
        <v>539</v>
      </c>
      <c r="B48" s="419"/>
      <c r="C48" s="419"/>
      <c r="D48" s="419"/>
      <c r="E48" s="363"/>
      <c r="F48" s="845"/>
      <c r="G48" s="361"/>
      <c r="H48" s="361"/>
      <c r="I48" s="361"/>
      <c r="J48" s="361"/>
      <c r="K48" s="361"/>
      <c r="L48" s="361"/>
      <c r="M48" s="361"/>
      <c r="N48" s="361"/>
      <c r="O48" s="827"/>
      <c r="P48" s="103"/>
      <c r="Q48" s="120"/>
    </row>
    <row r="49" spans="1:17" s="39" customFormat="1" ht="13.5" hidden="1" thickTop="1" x14ac:dyDescent="0.2">
      <c r="A49" s="112" t="s">
        <v>478</v>
      </c>
      <c r="B49" s="803" t="s">
        <v>7</v>
      </c>
      <c r="C49" s="803" t="s">
        <v>44</v>
      </c>
      <c r="D49" s="803" t="s">
        <v>8</v>
      </c>
      <c r="E49" s="363"/>
      <c r="F49" s="845"/>
      <c r="G49" s="361"/>
      <c r="H49" s="361"/>
      <c r="I49" s="361"/>
      <c r="J49" s="361"/>
      <c r="K49" s="361"/>
      <c r="L49" s="361"/>
      <c r="M49" s="361"/>
      <c r="N49" s="361"/>
      <c r="O49" s="827"/>
      <c r="P49" s="103"/>
      <c r="Q49" s="120"/>
    </row>
    <row r="50" spans="1:17" s="1196" customFormat="1" ht="13.5" thickTop="1" x14ac:dyDescent="0.2">
      <c r="A50" s="1412" t="s">
        <v>478</v>
      </c>
      <c r="B50" s="1235" t="s">
        <v>7</v>
      </c>
      <c r="C50" s="1235" t="s">
        <v>44</v>
      </c>
      <c r="D50" s="1235" t="s">
        <v>8</v>
      </c>
      <c r="E50" s="1650">
        <f>SUM(F50:O50)</f>
        <v>70531.999999999985</v>
      </c>
      <c r="F50" s="1663"/>
      <c r="G50" s="1651">
        <f t="shared" ref="G50:O50" si="5">SUM(G181:G185)</f>
        <v>2199.1999999999998</v>
      </c>
      <c r="H50" s="1651">
        <f t="shared" si="5"/>
        <v>5139.2</v>
      </c>
      <c r="I50" s="1651">
        <f t="shared" si="5"/>
        <v>7338</v>
      </c>
      <c r="J50" s="1651">
        <f t="shared" si="5"/>
        <v>11167</v>
      </c>
      <c r="K50" s="1651">
        <f t="shared" si="5"/>
        <v>14106.4</v>
      </c>
      <c r="L50" s="1651">
        <f t="shared" si="5"/>
        <v>11907.199999999999</v>
      </c>
      <c r="M50" s="1651">
        <f t="shared" si="5"/>
        <v>8967.2000000000007</v>
      </c>
      <c r="N50" s="1651">
        <f t="shared" si="5"/>
        <v>6768.4</v>
      </c>
      <c r="O50" s="1652">
        <f t="shared" si="5"/>
        <v>2939.4</v>
      </c>
      <c r="P50" s="1605"/>
      <c r="Q50" s="1377"/>
    </row>
    <row r="51" spans="1:17" s="39" customFormat="1" ht="13.5" thickBot="1" x14ac:dyDescent="0.25">
      <c r="A51" s="1438" t="s">
        <v>540</v>
      </c>
      <c r="B51" s="1185" t="s">
        <v>14</v>
      </c>
      <c r="C51" s="1185" t="s">
        <v>132</v>
      </c>
      <c r="D51" s="1185" t="s">
        <v>8</v>
      </c>
      <c r="E51" s="363"/>
      <c r="F51" s="845"/>
      <c r="G51" s="361"/>
      <c r="H51" s="361"/>
      <c r="I51" s="361"/>
      <c r="J51" s="361"/>
      <c r="K51" s="361"/>
      <c r="L51" s="361"/>
      <c r="M51" s="361"/>
      <c r="N51" s="361"/>
      <c r="O51" s="364"/>
      <c r="P51" s="103"/>
      <c r="Q51" s="120"/>
    </row>
    <row r="52" spans="1:17" s="39" customFormat="1" ht="14.25" thickTop="1" thickBot="1" x14ac:dyDescent="0.25">
      <c r="A52" s="26"/>
      <c r="B52" s="73"/>
      <c r="C52" s="73"/>
      <c r="D52" s="73"/>
      <c r="E52" s="363"/>
      <c r="F52" s="845"/>
      <c r="G52" s="361"/>
      <c r="H52" s="361"/>
      <c r="I52" s="361"/>
      <c r="J52" s="361"/>
      <c r="K52" s="361"/>
      <c r="L52" s="361"/>
      <c r="M52" s="361"/>
      <c r="N52" s="361"/>
      <c r="O52" s="827"/>
      <c r="P52" s="103"/>
      <c r="Q52" s="120"/>
    </row>
    <row r="53" spans="1:17" s="39" customFormat="1" ht="14.25" thickTop="1" thickBot="1" x14ac:dyDescent="0.25">
      <c r="A53" s="698" t="s">
        <v>524</v>
      </c>
      <c r="B53" s="696"/>
      <c r="C53" s="696"/>
      <c r="D53" s="696"/>
      <c r="E53" s="363"/>
      <c r="F53" s="845"/>
      <c r="G53" s="361"/>
      <c r="H53" s="361"/>
      <c r="I53" s="361"/>
      <c r="J53" s="361"/>
      <c r="K53" s="361"/>
      <c r="L53" s="361"/>
      <c r="M53" s="361"/>
      <c r="N53" s="361"/>
      <c r="O53" s="827"/>
      <c r="P53" s="103"/>
      <c r="Q53" s="120"/>
    </row>
    <row r="54" spans="1:17" s="39" customFormat="1" ht="13.5" thickTop="1" x14ac:dyDescent="0.2">
      <c r="A54" s="1174" t="s">
        <v>538</v>
      </c>
      <c r="B54" s="1222" t="s">
        <v>14</v>
      </c>
      <c r="C54" s="1222" t="s">
        <v>132</v>
      </c>
      <c r="D54" s="1451" t="s">
        <v>8</v>
      </c>
      <c r="E54" s="363"/>
      <c r="F54" s="845"/>
      <c r="G54" s="361"/>
      <c r="H54" s="361"/>
      <c r="I54" s="361"/>
      <c r="J54" s="361"/>
      <c r="K54" s="361"/>
      <c r="L54" s="361"/>
      <c r="M54" s="361"/>
      <c r="N54" s="361"/>
      <c r="O54" s="364"/>
      <c r="P54" s="103"/>
      <c r="Q54" s="120"/>
    </row>
    <row r="55" spans="1:17" s="1196" customFormat="1" ht="13.5" thickBot="1" x14ac:dyDescent="0.25">
      <c r="A55" s="1404" t="s">
        <v>526</v>
      </c>
      <c r="B55" s="1405" t="s">
        <v>7</v>
      </c>
      <c r="C55" s="1405" t="s">
        <v>44</v>
      </c>
      <c r="D55" s="1416" t="s">
        <v>8</v>
      </c>
      <c r="E55" s="1650">
        <f>SUM(F55:O55)</f>
        <v>206737</v>
      </c>
      <c r="F55" s="1663"/>
      <c r="G55" s="1651">
        <f t="shared" ref="G55:O55" si="6">SUM(G188:G192)</f>
        <v>41347.4</v>
      </c>
      <c r="H55" s="1651">
        <f t="shared" si="6"/>
        <v>41347.4</v>
      </c>
      <c r="I55" s="1651">
        <f t="shared" si="6"/>
        <v>41347.4</v>
      </c>
      <c r="J55" s="1651">
        <f t="shared" si="6"/>
        <v>41347.4</v>
      </c>
      <c r="K55" s="1651">
        <f t="shared" si="6"/>
        <v>41347.4</v>
      </c>
      <c r="L55" s="1651">
        <f t="shared" si="6"/>
        <v>0</v>
      </c>
      <c r="M55" s="1651">
        <f t="shared" si="6"/>
        <v>0</v>
      </c>
      <c r="N55" s="1651">
        <f t="shared" si="6"/>
        <v>0</v>
      </c>
      <c r="O55" s="1652">
        <f t="shared" si="6"/>
        <v>0</v>
      </c>
      <c r="P55" s="1605"/>
      <c r="Q55" s="1377"/>
    </row>
    <row r="56" spans="1:17" s="39" customFormat="1" ht="14.25" thickTop="1" thickBot="1" x14ac:dyDescent="0.25">
      <c r="A56" s="73"/>
      <c r="B56" s="73"/>
      <c r="C56" s="73"/>
      <c r="D56" s="1137"/>
      <c r="E56" s="363"/>
      <c r="F56" s="845"/>
      <c r="G56" s="361"/>
      <c r="H56" s="361"/>
      <c r="I56" s="361"/>
      <c r="J56" s="361"/>
      <c r="K56" s="361"/>
      <c r="L56" s="361"/>
      <c r="M56" s="361"/>
      <c r="N56" s="361"/>
      <c r="O56" s="827"/>
      <c r="P56" s="103"/>
      <c r="Q56" s="120"/>
    </row>
    <row r="57" spans="1:17" s="39" customFormat="1" ht="14.25" thickTop="1" thickBot="1" x14ac:dyDescent="0.25">
      <c r="A57" s="698" t="s">
        <v>559</v>
      </c>
      <c r="B57" s="696"/>
      <c r="C57" s="696"/>
      <c r="D57" s="696"/>
      <c r="E57" s="363"/>
      <c r="F57" s="845"/>
      <c r="G57" s="361"/>
      <c r="H57" s="361"/>
      <c r="I57" s="361"/>
      <c r="J57" s="361"/>
      <c r="K57" s="361"/>
      <c r="L57" s="361"/>
      <c r="M57" s="361"/>
      <c r="N57" s="361"/>
      <c r="O57" s="827"/>
      <c r="P57" s="103"/>
      <c r="Q57" s="120"/>
    </row>
    <row r="58" spans="1:17" s="564" customFormat="1" ht="13.5" thickTop="1" x14ac:dyDescent="0.2">
      <c r="A58" s="1174" t="s">
        <v>538</v>
      </c>
      <c r="B58" s="1222" t="s">
        <v>7</v>
      </c>
      <c r="C58" s="1222" t="s">
        <v>132</v>
      </c>
      <c r="D58" s="1451" t="s">
        <v>8</v>
      </c>
      <c r="E58" s="363"/>
      <c r="F58" s="845"/>
      <c r="G58" s="361"/>
      <c r="H58" s="361"/>
      <c r="I58" s="361"/>
      <c r="J58" s="361"/>
      <c r="K58" s="361"/>
      <c r="L58" s="361"/>
      <c r="M58" s="361"/>
      <c r="N58" s="361"/>
      <c r="O58" s="827"/>
      <c r="P58" s="103"/>
      <c r="Q58" s="120"/>
    </row>
    <row r="59" spans="1:17" s="409" customFormat="1" x14ac:dyDescent="0.2">
      <c r="A59" s="1243" t="s">
        <v>563</v>
      </c>
      <c r="B59" s="1254" t="s">
        <v>14</v>
      </c>
      <c r="C59" s="1254" t="s">
        <v>132</v>
      </c>
      <c r="D59" s="1455" t="s">
        <v>8</v>
      </c>
      <c r="E59" s="829"/>
      <c r="F59" s="861"/>
      <c r="G59" s="830"/>
      <c r="H59" s="830"/>
      <c r="I59" s="830"/>
      <c r="J59" s="830"/>
      <c r="K59" s="830"/>
      <c r="L59" s="830"/>
      <c r="M59" s="830"/>
      <c r="N59" s="831"/>
      <c r="O59" s="831"/>
      <c r="P59" s="1717"/>
      <c r="Q59" s="1138"/>
    </row>
    <row r="60" spans="1:17" s="409" customFormat="1" ht="13.5" thickBot="1" x14ac:dyDescent="0.25">
      <c r="A60" s="1653" t="s">
        <v>566</v>
      </c>
      <c r="B60" s="1165" t="s">
        <v>14</v>
      </c>
      <c r="C60" s="1165" t="s">
        <v>132</v>
      </c>
      <c r="D60" s="1393" t="s">
        <v>8</v>
      </c>
      <c r="E60" s="829"/>
      <c r="F60" s="861"/>
      <c r="G60" s="830"/>
      <c r="H60" s="830"/>
      <c r="I60" s="830"/>
      <c r="J60" s="830"/>
      <c r="K60" s="830"/>
      <c r="L60" s="830"/>
      <c r="M60" s="830"/>
      <c r="N60" s="831"/>
      <c r="O60" s="831"/>
      <c r="P60" s="100"/>
      <c r="Q60" s="1138"/>
    </row>
    <row r="61" spans="1:17" s="39" customFormat="1" ht="14.25" thickTop="1" thickBot="1" x14ac:dyDescent="0.25">
      <c r="A61" s="768"/>
      <c r="B61" s="758"/>
      <c r="C61" s="758"/>
      <c r="D61" s="576"/>
      <c r="E61" s="363"/>
      <c r="F61" s="845"/>
      <c r="G61" s="361"/>
      <c r="H61" s="361"/>
      <c r="I61" s="361"/>
      <c r="J61" s="361"/>
      <c r="K61" s="361"/>
      <c r="L61" s="361"/>
      <c r="M61" s="361"/>
      <c r="N61" s="364"/>
      <c r="O61" s="364"/>
      <c r="P61" s="103"/>
      <c r="Q61" s="120"/>
    </row>
    <row r="62" spans="1:17" s="39" customFormat="1" ht="14.25" thickTop="1" thickBot="1" x14ac:dyDescent="0.25">
      <c r="A62" s="676" t="s">
        <v>595</v>
      </c>
      <c r="B62" s="419"/>
      <c r="C62" s="419"/>
      <c r="D62" s="419"/>
      <c r="E62" s="363"/>
      <c r="F62" s="845"/>
      <c r="G62" s="361"/>
      <c r="H62" s="361"/>
      <c r="I62" s="361"/>
      <c r="J62" s="361"/>
      <c r="K62" s="361"/>
      <c r="L62" s="361"/>
      <c r="M62" s="361"/>
      <c r="N62" s="364"/>
      <c r="O62" s="827"/>
      <c r="P62" s="103"/>
      <c r="Q62" s="120"/>
    </row>
    <row r="63" spans="1:17" s="431" customFormat="1" ht="14.25" thickTop="1" thickBot="1" x14ac:dyDescent="0.25">
      <c r="A63" s="1236" t="s">
        <v>599</v>
      </c>
      <c r="B63" s="1440" t="s">
        <v>14</v>
      </c>
      <c r="C63" s="1596" t="s">
        <v>132</v>
      </c>
      <c r="D63" s="1596" t="s">
        <v>8</v>
      </c>
      <c r="E63" s="363"/>
      <c r="F63" s="1045"/>
      <c r="G63" s="833"/>
      <c r="H63" s="833"/>
      <c r="I63" s="833"/>
      <c r="J63" s="833"/>
      <c r="K63" s="833"/>
      <c r="L63" s="833"/>
      <c r="M63" s="833"/>
      <c r="N63" s="834"/>
      <c r="O63" s="835"/>
      <c r="P63" s="758"/>
      <c r="Q63" s="769"/>
    </row>
    <row r="64" spans="1:17" s="431" customFormat="1" ht="14.25" thickTop="1" thickBot="1" x14ac:dyDescent="0.25">
      <c r="A64" s="408"/>
      <c r="B64" s="408"/>
      <c r="C64" s="408"/>
      <c r="D64" s="408"/>
      <c r="E64" s="363"/>
      <c r="F64" s="836"/>
      <c r="G64" s="833"/>
      <c r="H64" s="833"/>
      <c r="I64" s="833"/>
      <c r="J64" s="833"/>
      <c r="K64" s="833"/>
      <c r="L64" s="833"/>
      <c r="M64" s="833"/>
      <c r="N64" s="833"/>
      <c r="O64" s="835"/>
      <c r="P64" s="758"/>
      <c r="Q64" s="769"/>
    </row>
    <row r="65" spans="1:17" s="39" customFormat="1" ht="14.25" thickTop="1" thickBot="1" x14ac:dyDescent="0.25">
      <c r="A65" s="698" t="s">
        <v>610</v>
      </c>
      <c r="B65" s="696"/>
      <c r="C65" s="696"/>
      <c r="D65" s="696"/>
      <c r="E65" s="363"/>
      <c r="F65" s="362"/>
      <c r="G65" s="361"/>
      <c r="H65" s="361"/>
      <c r="I65" s="361"/>
      <c r="J65" s="361"/>
      <c r="K65" s="361"/>
      <c r="L65" s="361"/>
      <c r="M65" s="361"/>
      <c r="N65" s="361"/>
      <c r="O65" s="827"/>
      <c r="P65" s="103"/>
      <c r="Q65" s="120"/>
    </row>
    <row r="66" spans="1:17" s="564" customFormat="1" ht="13.5" thickTop="1" x14ac:dyDescent="0.2">
      <c r="A66" s="1174" t="s">
        <v>612</v>
      </c>
      <c r="B66" s="1222" t="s">
        <v>7</v>
      </c>
      <c r="C66" s="1222" t="s">
        <v>132</v>
      </c>
      <c r="D66" s="1451" t="s">
        <v>8</v>
      </c>
      <c r="E66" s="363"/>
      <c r="F66" s="362"/>
      <c r="G66" s="361"/>
      <c r="H66" s="361"/>
      <c r="I66" s="361"/>
      <c r="J66" s="361"/>
      <c r="K66" s="361"/>
      <c r="L66" s="361"/>
      <c r="M66" s="361"/>
      <c r="N66" s="361"/>
      <c r="O66" s="364"/>
      <c r="P66" s="103"/>
      <c r="Q66" s="120"/>
    </row>
    <row r="67" spans="1:17" s="1196" customFormat="1" ht="13.5" thickBot="1" x14ac:dyDescent="0.25">
      <c r="A67" s="1404" t="s">
        <v>607</v>
      </c>
      <c r="B67" s="1405" t="s">
        <v>7</v>
      </c>
      <c r="C67" s="1405" t="s">
        <v>44</v>
      </c>
      <c r="D67" s="1416" t="s">
        <v>8</v>
      </c>
      <c r="E67" s="1650">
        <f>SUM(F67:O67)</f>
        <v>241235.59982360248</v>
      </c>
      <c r="F67" s="1654"/>
      <c r="G67" s="1651">
        <f t="shared" ref="G67:O67" si="7">SUM(G196:G200)</f>
        <v>0</v>
      </c>
      <c r="H67" s="1651">
        <f t="shared" si="7"/>
        <v>11014.884831988153</v>
      </c>
      <c r="I67" s="1651">
        <f t="shared" si="7"/>
        <v>24663.515597818892</v>
      </c>
      <c r="J67" s="1651">
        <f t="shared" si="7"/>
        <v>35147.160949020057</v>
      </c>
      <c r="K67" s="1651">
        <f t="shared" si="7"/>
        <v>48247.119964720499</v>
      </c>
      <c r="L67" s="1651">
        <f t="shared" si="7"/>
        <v>48247.119964720499</v>
      </c>
      <c r="M67" s="1651">
        <f t="shared" si="7"/>
        <v>37232.235132732341</v>
      </c>
      <c r="N67" s="1651">
        <f t="shared" si="7"/>
        <v>23583.604366901603</v>
      </c>
      <c r="O67" s="1652">
        <f t="shared" si="7"/>
        <v>13099.95901570044</v>
      </c>
      <c r="P67" s="1605"/>
      <c r="Q67" s="1377"/>
    </row>
    <row r="68" spans="1:17" s="39" customFormat="1" ht="14.25" thickTop="1" thickBot="1" x14ac:dyDescent="0.25">
      <c r="A68" s="26"/>
      <c r="B68" s="26"/>
      <c r="C68" s="26"/>
      <c r="D68" s="26"/>
      <c r="E68" s="363"/>
      <c r="F68" s="362"/>
      <c r="G68" s="361"/>
      <c r="H68" s="361"/>
      <c r="I68" s="361"/>
      <c r="J68" s="361"/>
      <c r="K68" s="361"/>
      <c r="L68" s="361"/>
      <c r="M68" s="361"/>
      <c r="N68" s="361"/>
      <c r="O68" s="364"/>
      <c r="P68" s="103"/>
      <c r="Q68" s="120"/>
    </row>
    <row r="69" spans="1:17" s="39" customFormat="1" ht="14.25" thickTop="1" thickBot="1" x14ac:dyDescent="0.25">
      <c r="A69" s="698" t="s">
        <v>631</v>
      </c>
      <c r="B69" s="696"/>
      <c r="C69" s="696"/>
      <c r="D69" s="696"/>
      <c r="E69" s="363"/>
      <c r="F69" s="362"/>
      <c r="G69" s="361"/>
      <c r="H69" s="361"/>
      <c r="I69" s="361"/>
      <c r="J69" s="361"/>
      <c r="K69" s="361"/>
      <c r="L69" s="361"/>
      <c r="M69" s="361"/>
      <c r="N69" s="361"/>
      <c r="O69" s="827"/>
      <c r="P69" s="103"/>
      <c r="Q69" s="120"/>
    </row>
    <row r="70" spans="1:17" s="1196" customFormat="1" ht="13.5" thickTop="1" x14ac:dyDescent="0.2">
      <c r="A70" s="1235" t="s">
        <v>566</v>
      </c>
      <c r="B70" s="1209" t="s">
        <v>7</v>
      </c>
      <c r="C70" s="1209" t="s">
        <v>44</v>
      </c>
      <c r="D70" s="1441" t="s">
        <v>8</v>
      </c>
      <c r="E70" s="1650">
        <f>SUM(F70:O70)</f>
        <v>377370</v>
      </c>
      <c r="F70" s="1654"/>
      <c r="G70" s="1651">
        <f t="shared" ref="G70:O70" si="8">SUM(G203:G207)</f>
        <v>37515.800000000003</v>
      </c>
      <c r="H70" s="1651">
        <f t="shared" si="8"/>
        <v>71098</v>
      </c>
      <c r="I70" s="1651">
        <f t="shared" si="8"/>
        <v>75474</v>
      </c>
      <c r="J70" s="1651">
        <f t="shared" si="8"/>
        <v>75474</v>
      </c>
      <c r="K70" s="1651">
        <f t="shared" si="8"/>
        <v>75474</v>
      </c>
      <c r="L70" s="1651">
        <f t="shared" si="8"/>
        <v>37958.199999999997</v>
      </c>
      <c r="M70" s="1651">
        <f t="shared" si="8"/>
        <v>4376</v>
      </c>
      <c r="N70" s="1651">
        <f t="shared" si="8"/>
        <v>0</v>
      </c>
      <c r="O70" s="1652">
        <f t="shared" si="8"/>
        <v>0</v>
      </c>
      <c r="P70" s="1605"/>
      <c r="Q70" s="1377"/>
    </row>
    <row r="71" spans="1:17" s="566" customFormat="1" ht="13.5" thickBot="1" x14ac:dyDescent="0.25">
      <c r="A71" s="1410" t="s">
        <v>635</v>
      </c>
      <c r="B71" s="1391" t="s">
        <v>14</v>
      </c>
      <c r="C71" s="1391" t="s">
        <v>132</v>
      </c>
      <c r="D71" s="1392" t="s">
        <v>8</v>
      </c>
      <c r="E71" s="837"/>
      <c r="F71" s="836"/>
      <c r="G71" s="833"/>
      <c r="H71" s="833"/>
      <c r="I71" s="833"/>
      <c r="J71" s="833"/>
      <c r="K71" s="833"/>
      <c r="L71" s="833"/>
      <c r="M71" s="833"/>
      <c r="N71" s="833"/>
      <c r="O71" s="834"/>
      <c r="P71" s="1718"/>
      <c r="Q71" s="769"/>
    </row>
    <row r="72" spans="1:17" s="39" customFormat="1" ht="14.25" thickTop="1" thickBot="1" x14ac:dyDescent="0.25">
      <c r="A72" s="73"/>
      <c r="B72" s="73"/>
      <c r="C72" s="73"/>
      <c r="D72" s="73"/>
      <c r="E72" s="356"/>
      <c r="F72" s="75"/>
      <c r="G72" s="358"/>
      <c r="H72" s="358"/>
      <c r="I72" s="358"/>
      <c r="J72" s="358"/>
      <c r="K72" s="358"/>
      <c r="L72" s="358"/>
      <c r="M72" s="358"/>
      <c r="N72" s="358"/>
      <c r="O72" s="212"/>
      <c r="P72" s="103"/>
      <c r="Q72" s="120"/>
    </row>
    <row r="73" spans="1:17" s="39" customFormat="1" ht="14.25" thickTop="1" thickBot="1" x14ac:dyDescent="0.25">
      <c r="A73" s="698" t="s">
        <v>677</v>
      </c>
      <c r="B73" s="696"/>
      <c r="C73" s="696"/>
      <c r="D73" s="696"/>
      <c r="E73" s="356"/>
      <c r="F73" s="75"/>
      <c r="G73" s="358"/>
      <c r="H73" s="358"/>
      <c r="I73" s="358"/>
      <c r="J73" s="358"/>
      <c r="K73" s="358"/>
      <c r="L73" s="358"/>
      <c r="M73" s="358"/>
      <c r="N73" s="358"/>
      <c r="O73" s="212"/>
      <c r="P73" s="103"/>
      <c r="Q73" s="120"/>
    </row>
    <row r="74" spans="1:17" s="39" customFormat="1" ht="13.5" thickTop="1" x14ac:dyDescent="0.2">
      <c r="A74" s="1221" t="s">
        <v>683</v>
      </c>
      <c r="B74" s="1222" t="s">
        <v>7</v>
      </c>
      <c r="C74" s="1222" t="s">
        <v>46</v>
      </c>
      <c r="D74" s="1451" t="s">
        <v>8</v>
      </c>
      <c r="E74" s="356"/>
      <c r="F74" s="75"/>
      <c r="G74" s="358"/>
      <c r="H74" s="358"/>
      <c r="I74" s="358"/>
      <c r="J74" s="358"/>
      <c r="K74" s="358"/>
      <c r="L74" s="358"/>
      <c r="M74" s="358"/>
      <c r="N74" s="358"/>
      <c r="O74" s="212"/>
      <c r="P74" s="103"/>
      <c r="Q74" s="120"/>
    </row>
    <row r="75" spans="1:17" s="1234" customFormat="1" x14ac:dyDescent="0.2">
      <c r="A75" s="1412" t="s">
        <v>412</v>
      </c>
      <c r="B75" s="1201" t="s">
        <v>7</v>
      </c>
      <c r="C75" s="1201" t="s">
        <v>44</v>
      </c>
      <c r="D75" s="1465" t="s">
        <v>8</v>
      </c>
      <c r="E75" s="1650">
        <f>SUM(F75:P75)</f>
        <v>231529.99999999997</v>
      </c>
      <c r="F75" s="1380"/>
      <c r="G75" s="1655">
        <f>SUM(G210:G214)</f>
        <v>9648.7999999999993</v>
      </c>
      <c r="H75" s="1655">
        <f t="shared" ref="H75:O75" si="9">SUM(H210:H214)</f>
        <v>23442.199999999997</v>
      </c>
      <c r="I75" s="1655">
        <f t="shared" si="9"/>
        <v>32089.999999999996</v>
      </c>
      <c r="J75" s="1655">
        <f t="shared" si="9"/>
        <v>39583.399999999994</v>
      </c>
      <c r="K75" s="1655">
        <f t="shared" si="9"/>
        <v>46305.999999999993</v>
      </c>
      <c r="L75" s="1655">
        <f t="shared" si="9"/>
        <v>36657.199999999997</v>
      </c>
      <c r="M75" s="1655">
        <f t="shared" si="9"/>
        <v>22863.8</v>
      </c>
      <c r="N75" s="1655">
        <f t="shared" si="9"/>
        <v>14216</v>
      </c>
      <c r="O75" s="1465">
        <f t="shared" si="9"/>
        <v>6722.6</v>
      </c>
      <c r="P75" s="1201"/>
      <c r="Q75" s="1681"/>
    </row>
    <row r="76" spans="1:17" s="409" customFormat="1" x14ac:dyDescent="0.2">
      <c r="A76" s="1253" t="s">
        <v>679</v>
      </c>
      <c r="B76" s="1254" t="s">
        <v>14</v>
      </c>
      <c r="C76" s="1254" t="s">
        <v>132</v>
      </c>
      <c r="D76" s="1455" t="s">
        <v>8</v>
      </c>
      <c r="E76" s="823"/>
      <c r="F76" s="951"/>
      <c r="G76" s="830"/>
      <c r="H76" s="830"/>
      <c r="I76" s="830"/>
      <c r="J76" s="830"/>
      <c r="K76" s="830"/>
      <c r="L76" s="830"/>
      <c r="M76" s="830"/>
      <c r="N76" s="830"/>
      <c r="O76" s="831"/>
      <c r="P76" s="830"/>
      <c r="Q76" s="1138"/>
    </row>
    <row r="77" spans="1:17" s="409" customFormat="1" x14ac:dyDescent="0.2">
      <c r="A77" s="1253" t="s">
        <v>685</v>
      </c>
      <c r="B77" s="1254" t="s">
        <v>14</v>
      </c>
      <c r="C77" s="1254" t="s">
        <v>132</v>
      </c>
      <c r="D77" s="1455" t="s">
        <v>8</v>
      </c>
      <c r="E77" s="823"/>
      <c r="F77" s="951"/>
      <c r="G77" s="830"/>
      <c r="H77" s="830"/>
      <c r="I77" s="830"/>
      <c r="J77" s="830"/>
      <c r="K77" s="830"/>
      <c r="L77" s="830"/>
      <c r="M77" s="830"/>
      <c r="N77" s="830"/>
      <c r="O77" s="211"/>
      <c r="P77" s="100"/>
      <c r="Q77" s="1138"/>
    </row>
    <row r="78" spans="1:17" s="1271" customFormat="1" ht="13.5" thickBot="1" x14ac:dyDescent="0.25">
      <c r="A78" s="1364" t="s">
        <v>671</v>
      </c>
      <c r="B78" s="1417" t="s">
        <v>7</v>
      </c>
      <c r="C78" s="1418" t="s">
        <v>44</v>
      </c>
      <c r="D78" s="1417" t="s">
        <v>8</v>
      </c>
      <c r="E78" s="1656">
        <f>SUM(F78:P78)</f>
        <v>692855.00000000012</v>
      </c>
      <c r="F78" s="1657"/>
      <c r="G78" s="1658"/>
      <c r="H78" s="1658">
        <f>SUM(H253:H257)</f>
        <v>59129.8</v>
      </c>
      <c r="I78" s="1658">
        <f t="shared" ref="I78:P78" si="10">SUM(I253:I257)</f>
        <v>95576.6</v>
      </c>
      <c r="J78" s="1658">
        <f t="shared" si="10"/>
        <v>138428</v>
      </c>
      <c r="K78" s="1658">
        <f t="shared" si="10"/>
        <v>138571</v>
      </c>
      <c r="L78" s="1658">
        <f t="shared" si="10"/>
        <v>138571</v>
      </c>
      <c r="M78" s="1658">
        <f t="shared" si="10"/>
        <v>79441.200000000012</v>
      </c>
      <c r="N78" s="1658">
        <f t="shared" si="10"/>
        <v>42994.400000000001</v>
      </c>
      <c r="O78" s="1479">
        <f t="shared" si="10"/>
        <v>143</v>
      </c>
      <c r="P78" s="1264">
        <f t="shared" si="10"/>
        <v>0</v>
      </c>
      <c r="Q78" s="1682"/>
    </row>
    <row r="79" spans="1:17" s="39" customFormat="1" ht="14.25" thickTop="1" thickBot="1" x14ac:dyDescent="0.25">
      <c r="A79" s="73"/>
      <c r="B79" s="73"/>
      <c r="C79" s="73"/>
      <c r="D79" s="73"/>
      <c r="E79" s="356"/>
      <c r="F79" s="357"/>
      <c r="G79" s="358"/>
      <c r="H79" s="358"/>
      <c r="I79" s="358"/>
      <c r="J79" s="358"/>
      <c r="K79" s="358"/>
      <c r="L79" s="358"/>
      <c r="M79" s="358"/>
      <c r="N79" s="358"/>
      <c r="O79" s="212"/>
      <c r="P79" s="103"/>
      <c r="Q79" s="120"/>
    </row>
    <row r="80" spans="1:17" s="39" customFormat="1" ht="14.25" thickTop="1" thickBot="1" x14ac:dyDescent="0.25">
      <c r="A80" s="933" t="s">
        <v>744</v>
      </c>
      <c r="B80" s="934"/>
      <c r="C80" s="934"/>
      <c r="D80" s="941"/>
      <c r="E80" s="1666"/>
      <c r="F80" s="1664"/>
      <c r="G80" s="358"/>
      <c r="H80" s="358"/>
      <c r="I80" s="358"/>
      <c r="J80" s="358"/>
      <c r="K80" s="358"/>
      <c r="L80" s="358"/>
      <c r="M80" s="358"/>
      <c r="N80" s="358"/>
      <c r="O80" s="212"/>
      <c r="P80" s="103"/>
      <c r="Q80" s="120"/>
    </row>
    <row r="81" spans="1:17" s="1276" customFormat="1" x14ac:dyDescent="0.2">
      <c r="A81" s="1263" t="s">
        <v>383</v>
      </c>
      <c r="B81" s="1264" t="s">
        <v>7</v>
      </c>
      <c r="C81" s="1264" t="s">
        <v>44</v>
      </c>
      <c r="D81" s="1476" t="s">
        <v>8</v>
      </c>
      <c r="E81" s="1667">
        <f>SUM(F81:P81)</f>
        <v>630859</v>
      </c>
      <c r="F81" s="1665"/>
      <c r="G81" s="1660"/>
      <c r="H81" s="1660">
        <f>SUM(H218:H223)</f>
        <v>93178.6</v>
      </c>
      <c r="I81" s="1660">
        <f t="shared" ref="I81:P81" si="11">SUM(I218:I223)</f>
        <v>126171.8</v>
      </c>
      <c r="J81" s="1660">
        <f t="shared" si="11"/>
        <v>126171.8</v>
      </c>
      <c r="K81" s="1660">
        <f t="shared" si="11"/>
        <v>126171.8</v>
      </c>
      <c r="L81" s="1660">
        <f t="shared" si="11"/>
        <v>126171.8</v>
      </c>
      <c r="M81" s="1660">
        <f t="shared" si="11"/>
        <v>32993.199999999997</v>
      </c>
      <c r="N81" s="1660">
        <f t="shared" si="11"/>
        <v>0</v>
      </c>
      <c r="O81" s="1661">
        <f t="shared" si="11"/>
        <v>0</v>
      </c>
      <c r="P81" s="1558">
        <f t="shared" si="11"/>
        <v>0</v>
      </c>
      <c r="Q81" s="1683"/>
    </row>
    <row r="82" spans="1:17" s="1276" customFormat="1" x14ac:dyDescent="0.2">
      <c r="A82" s="1263" t="s">
        <v>748</v>
      </c>
      <c r="B82" s="1264" t="s">
        <v>7</v>
      </c>
      <c r="C82" s="1264" t="s">
        <v>44</v>
      </c>
      <c r="D82" s="1478" t="s">
        <v>8</v>
      </c>
      <c r="E82" s="1667">
        <f>SUM(F82:P82)</f>
        <v>103300.99999999999</v>
      </c>
      <c r="F82" s="1665"/>
      <c r="G82" s="1660"/>
      <c r="H82" s="1660">
        <f>SUM(H232:H237)</f>
        <v>16958.599999999999</v>
      </c>
      <c r="I82" s="1660">
        <f t="shared" ref="I82:P82" si="12">SUM(I232:I237)</f>
        <v>20660.199999999997</v>
      </c>
      <c r="J82" s="1660">
        <f t="shared" si="12"/>
        <v>20660.199999999997</v>
      </c>
      <c r="K82" s="1660">
        <f t="shared" si="12"/>
        <v>20660.199999999997</v>
      </c>
      <c r="L82" s="1660">
        <f t="shared" si="12"/>
        <v>20660.199999999997</v>
      </c>
      <c r="M82" s="1660">
        <f t="shared" si="12"/>
        <v>3701.6</v>
      </c>
      <c r="N82" s="1660">
        <f t="shared" si="12"/>
        <v>0</v>
      </c>
      <c r="O82" s="1680">
        <f t="shared" si="12"/>
        <v>0</v>
      </c>
      <c r="P82" s="1660">
        <f t="shared" si="12"/>
        <v>0</v>
      </c>
      <c r="Q82" s="1683"/>
    </row>
    <row r="83" spans="1:17" s="777" customFormat="1" ht="13.5" thickBot="1" x14ac:dyDescent="0.25">
      <c r="A83" s="1253" t="s">
        <v>751</v>
      </c>
      <c r="B83" s="1254" t="s">
        <v>14</v>
      </c>
      <c r="C83" s="1254" t="s">
        <v>132</v>
      </c>
      <c r="D83" s="1392" t="s">
        <v>8</v>
      </c>
      <c r="E83" s="363"/>
      <c r="F83" s="1664"/>
      <c r="G83" s="358"/>
      <c r="H83" s="358"/>
      <c r="I83" s="358"/>
      <c r="J83" s="358"/>
      <c r="K83" s="358"/>
      <c r="L83" s="358"/>
      <c r="M83" s="358"/>
      <c r="N83" s="358"/>
      <c r="O83" s="359"/>
      <c r="P83" s="358"/>
      <c r="Q83" s="120"/>
    </row>
    <row r="84" spans="1:17" s="39" customFormat="1" ht="14.25" thickTop="1" thickBot="1" x14ac:dyDescent="0.25">
      <c r="A84" s="419"/>
      <c r="B84" s="419"/>
      <c r="C84" s="419"/>
      <c r="D84" s="26"/>
      <c r="E84" s="363"/>
      <c r="F84" s="1664"/>
      <c r="G84" s="358"/>
      <c r="H84" s="358"/>
      <c r="I84" s="358"/>
      <c r="J84" s="358"/>
      <c r="K84" s="358"/>
      <c r="L84" s="358"/>
      <c r="M84" s="358"/>
      <c r="N84" s="358"/>
      <c r="O84" s="212"/>
      <c r="P84" s="103"/>
      <c r="Q84" s="120"/>
    </row>
    <row r="85" spans="1:17" s="39" customFormat="1" ht="14.25" thickTop="1" thickBot="1" x14ac:dyDescent="0.25">
      <c r="A85" s="933" t="s">
        <v>754</v>
      </c>
      <c r="B85" s="934"/>
      <c r="C85" s="934"/>
      <c r="D85" s="756"/>
      <c r="E85" s="363"/>
      <c r="F85" s="1664"/>
      <c r="G85" s="358"/>
      <c r="H85" s="358"/>
      <c r="I85" s="358"/>
      <c r="J85" s="358"/>
      <c r="K85" s="358"/>
      <c r="L85" s="358"/>
      <c r="M85" s="358"/>
      <c r="N85" s="358"/>
      <c r="O85" s="212"/>
      <c r="P85" s="103"/>
      <c r="Q85" s="120"/>
    </row>
    <row r="86" spans="1:17" s="1245" customFormat="1" ht="13.5" thickBot="1" x14ac:dyDescent="0.25">
      <c r="A86" s="2076" t="s">
        <v>756</v>
      </c>
      <c r="B86" s="2077" t="s">
        <v>14</v>
      </c>
      <c r="C86" s="2077" t="s">
        <v>132</v>
      </c>
      <c r="D86" s="2079" t="s">
        <v>8</v>
      </c>
      <c r="E86" s="823"/>
      <c r="F86" s="762"/>
      <c r="G86" s="830"/>
      <c r="H86" s="830"/>
      <c r="I86" s="830"/>
      <c r="J86" s="830"/>
      <c r="K86" s="830"/>
      <c r="L86" s="830"/>
      <c r="M86" s="830"/>
      <c r="N86" s="830"/>
      <c r="O86" s="831"/>
      <c r="P86" s="830"/>
      <c r="Q86" s="1138"/>
    </row>
    <row r="87" spans="1:17" s="39" customFormat="1" ht="14.25" thickTop="1" thickBot="1" x14ac:dyDescent="0.25">
      <c r="A87" s="1032"/>
      <c r="B87" s="408"/>
      <c r="C87" s="408"/>
      <c r="D87" s="408"/>
      <c r="E87" s="363"/>
      <c r="F87" s="1664"/>
      <c r="G87" s="358"/>
      <c r="H87" s="358"/>
      <c r="I87" s="358"/>
      <c r="J87" s="358"/>
      <c r="K87" s="358"/>
      <c r="L87" s="358"/>
      <c r="M87" s="358"/>
      <c r="N87" s="358"/>
      <c r="O87" s="359"/>
      <c r="P87" s="358"/>
      <c r="Q87" s="120"/>
    </row>
    <row r="88" spans="1:17" s="39" customFormat="1" ht="14.25" thickTop="1" thickBot="1" x14ac:dyDescent="0.25">
      <c r="A88" s="933" t="s">
        <v>814</v>
      </c>
      <c r="B88" s="934"/>
      <c r="C88" s="934"/>
      <c r="D88" s="941"/>
      <c r="E88" s="363"/>
      <c r="F88" s="1664"/>
      <c r="G88" s="358"/>
      <c r="H88" s="358"/>
      <c r="I88" s="358"/>
      <c r="J88" s="358"/>
      <c r="K88" s="358"/>
      <c r="L88" s="358"/>
      <c r="M88" s="358"/>
      <c r="N88" s="358"/>
      <c r="O88" s="359"/>
      <c r="P88" s="358"/>
      <c r="Q88" s="120"/>
    </row>
    <row r="89" spans="1:17" s="1276" customFormat="1" x14ac:dyDescent="0.2">
      <c r="A89" s="1263" t="s">
        <v>808</v>
      </c>
      <c r="B89" s="1264" t="s">
        <v>7</v>
      </c>
      <c r="C89" s="1264" t="s">
        <v>44</v>
      </c>
      <c r="D89" s="1479" t="s">
        <v>8</v>
      </c>
      <c r="E89" s="1667">
        <f>SUM(F89:P89)</f>
        <v>553722.49095346825</v>
      </c>
      <c r="F89" s="1665"/>
      <c r="G89" s="1660"/>
      <c r="H89" s="1660">
        <f>SUM(H239:H243)</f>
        <v>16405.777141675298</v>
      </c>
      <c r="I89" s="1660">
        <f t="shared" ref="I89:P89" si="13">SUM(I239:I243)</f>
        <v>39341.100274994431</v>
      </c>
      <c r="J89" s="1660">
        <f t="shared" si="13"/>
        <v>75299.802434265031</v>
      </c>
      <c r="K89" s="1660">
        <f t="shared" si="13"/>
        <v>110744.49819069366</v>
      </c>
      <c r="L89" s="1660">
        <f t="shared" si="13"/>
        <v>110744.49819069366</v>
      </c>
      <c r="M89" s="1660">
        <f t="shared" si="13"/>
        <v>94338.72104901835</v>
      </c>
      <c r="N89" s="1660">
        <f t="shared" si="13"/>
        <v>71403.397915699228</v>
      </c>
      <c r="O89" s="1680">
        <f t="shared" si="13"/>
        <v>35444.695756428628</v>
      </c>
      <c r="P89" s="1660">
        <f t="shared" si="13"/>
        <v>0</v>
      </c>
      <c r="Q89" s="1683"/>
    </row>
    <row r="90" spans="1:17" s="1276" customFormat="1" x14ac:dyDescent="0.2">
      <c r="A90" s="1263" t="s">
        <v>810</v>
      </c>
      <c r="B90" s="1264" t="s">
        <v>7</v>
      </c>
      <c r="C90" s="1264" t="s">
        <v>44</v>
      </c>
      <c r="D90" s="1479" t="s">
        <v>8</v>
      </c>
      <c r="E90" s="1667">
        <f>SUM(F90:P90)</f>
        <v>267569.04705352138</v>
      </c>
      <c r="F90" s="1665"/>
      <c r="G90" s="1660"/>
      <c r="H90" s="1660">
        <f>SUM(H246:H250)</f>
        <v>19934.554281108001</v>
      </c>
      <c r="I90" s="1660">
        <f t="shared" ref="I90:P90" si="14">SUM(I246:I250)</f>
        <v>43587.365232283635</v>
      </c>
      <c r="J90" s="1660">
        <f t="shared" si="14"/>
        <v>53513.809410704278</v>
      </c>
      <c r="K90" s="1660">
        <f t="shared" si="14"/>
        <v>53513.809410704278</v>
      </c>
      <c r="L90" s="1660">
        <f t="shared" si="14"/>
        <v>53513.809410704278</v>
      </c>
      <c r="M90" s="1660">
        <f t="shared" si="14"/>
        <v>33579.255129596277</v>
      </c>
      <c r="N90" s="1660">
        <f t="shared" si="14"/>
        <v>9926.4441784206429</v>
      </c>
      <c r="O90" s="1680">
        <f t="shared" si="14"/>
        <v>0</v>
      </c>
      <c r="P90" s="1660">
        <f t="shared" si="14"/>
        <v>0</v>
      </c>
      <c r="Q90" s="1683"/>
    </row>
    <row r="91" spans="1:17" s="777" customFormat="1" ht="13.5" thickBot="1" x14ac:dyDescent="0.25">
      <c r="A91" s="1427" t="s">
        <v>811</v>
      </c>
      <c r="B91" s="1391" t="s">
        <v>14</v>
      </c>
      <c r="C91" s="1391" t="s">
        <v>132</v>
      </c>
      <c r="D91" s="1392" t="s">
        <v>8</v>
      </c>
      <c r="E91" s="363"/>
      <c r="F91" s="1664"/>
      <c r="G91" s="358"/>
      <c r="H91" s="358"/>
      <c r="I91" s="358"/>
      <c r="J91" s="358"/>
      <c r="K91" s="358"/>
      <c r="L91" s="358"/>
      <c r="M91" s="358"/>
      <c r="N91" s="358"/>
      <c r="O91" s="359"/>
      <c r="P91" s="358"/>
      <c r="Q91" s="120"/>
    </row>
    <row r="92" spans="1:17" s="39" customFormat="1" ht="14.25" thickTop="1" thickBot="1" x14ac:dyDescent="0.25">
      <c r="A92" s="1032"/>
      <c r="B92" s="408"/>
      <c r="C92" s="408"/>
      <c r="D92" s="408"/>
      <c r="E92" s="363"/>
      <c r="F92" s="1664"/>
      <c r="G92" s="358"/>
      <c r="H92" s="358"/>
      <c r="I92" s="358"/>
      <c r="J92" s="358"/>
      <c r="K92" s="358"/>
      <c r="L92" s="358"/>
      <c r="M92" s="358"/>
      <c r="N92" s="358"/>
      <c r="O92" s="359"/>
      <c r="P92" s="358"/>
      <c r="Q92" s="120"/>
    </row>
    <row r="93" spans="1:17" s="39" customFormat="1" ht="14.25" thickTop="1" thickBot="1" x14ac:dyDescent="0.25">
      <c r="A93" s="933" t="s">
        <v>850</v>
      </c>
      <c r="B93" s="934"/>
      <c r="C93" s="934"/>
      <c r="D93" s="1480"/>
      <c r="E93" s="363"/>
      <c r="F93" s="1664"/>
      <c r="G93" s="358"/>
      <c r="H93" s="358"/>
      <c r="I93" s="358"/>
      <c r="J93" s="358"/>
      <c r="K93" s="358"/>
      <c r="L93" s="358"/>
      <c r="M93" s="358"/>
      <c r="N93" s="358"/>
      <c r="O93" s="359"/>
      <c r="P93" s="358"/>
      <c r="Q93" s="120"/>
    </row>
    <row r="94" spans="1:17" s="1276" customFormat="1" ht="13.5" thickBot="1" x14ac:dyDescent="0.25">
      <c r="A94" s="1285" t="s">
        <v>751</v>
      </c>
      <c r="B94" s="1286" t="s">
        <v>7</v>
      </c>
      <c r="C94" s="1286" t="s">
        <v>44</v>
      </c>
      <c r="D94" s="1481" t="s">
        <v>8</v>
      </c>
      <c r="E94" s="1667">
        <f>SUM(F94:P94)</f>
        <v>230413.00000000003</v>
      </c>
      <c r="F94" s="1665"/>
      <c r="G94" s="1660"/>
      <c r="H94" s="1660">
        <f>SUM(H260:H264)</f>
        <v>35812</v>
      </c>
      <c r="I94" s="1660">
        <f t="shared" ref="I94:P94" si="15">SUM(I260:I264)</f>
        <v>36543.4</v>
      </c>
      <c r="J94" s="1660">
        <f t="shared" si="15"/>
        <v>39680.200000000004</v>
      </c>
      <c r="K94" s="1660">
        <f t="shared" si="15"/>
        <v>42039.600000000006</v>
      </c>
      <c r="L94" s="1660">
        <f t="shared" si="15"/>
        <v>46082.600000000006</v>
      </c>
      <c r="M94" s="1660">
        <f t="shared" si="15"/>
        <v>10270.6</v>
      </c>
      <c r="N94" s="1660">
        <f t="shared" si="15"/>
        <v>9539.2000000000007</v>
      </c>
      <c r="O94" s="1680">
        <f t="shared" si="15"/>
        <v>6402.4</v>
      </c>
      <c r="P94" s="1660">
        <f t="shared" si="15"/>
        <v>4043</v>
      </c>
      <c r="Q94" s="1683"/>
    </row>
    <row r="95" spans="1:17" s="39" customFormat="1" ht="14.25" thickTop="1" thickBot="1" x14ac:dyDescent="0.25">
      <c r="A95" s="611"/>
      <c r="B95" s="408"/>
      <c r="C95" s="408"/>
      <c r="D95" s="408"/>
      <c r="E95" s="363"/>
      <c r="F95" s="1664"/>
      <c r="G95" s="358"/>
      <c r="H95" s="358"/>
      <c r="I95" s="358"/>
      <c r="J95" s="358"/>
      <c r="K95" s="358"/>
      <c r="L95" s="358"/>
      <c r="M95" s="358"/>
      <c r="N95" s="358"/>
      <c r="O95" s="359"/>
      <c r="P95" s="358"/>
      <c r="Q95" s="120"/>
    </row>
    <row r="96" spans="1:17" s="39" customFormat="1" ht="14.25" thickTop="1" thickBot="1" x14ac:dyDescent="0.25">
      <c r="A96" s="407" t="s">
        <v>854</v>
      </c>
      <c r="B96" s="109"/>
      <c r="C96" s="109"/>
      <c r="D96" s="1482"/>
      <c r="E96" s="363"/>
      <c r="F96" s="1664"/>
      <c r="G96" s="358"/>
      <c r="H96" s="358"/>
      <c r="I96" s="358"/>
      <c r="J96" s="358"/>
      <c r="K96" s="358"/>
      <c r="L96" s="358"/>
      <c r="M96" s="358"/>
      <c r="N96" s="358"/>
      <c r="O96" s="359"/>
      <c r="P96" s="358"/>
      <c r="Q96" s="120"/>
    </row>
    <row r="97" spans="1:17" s="1276" customFormat="1" ht="13.5" thickTop="1" x14ac:dyDescent="0.2">
      <c r="A97" s="1292" t="s">
        <v>811</v>
      </c>
      <c r="B97" s="1293" t="s">
        <v>7</v>
      </c>
      <c r="C97" s="1293" t="s">
        <v>44</v>
      </c>
      <c r="D97" s="1479" t="s">
        <v>8</v>
      </c>
      <c r="E97" s="1667">
        <f>SUM(F97:P97)</f>
        <v>245795.46480501437</v>
      </c>
      <c r="F97" s="1665"/>
      <c r="G97" s="1660"/>
      <c r="H97" s="1660">
        <f>SUM(H274:H278)</f>
        <v>0</v>
      </c>
      <c r="I97" s="1660">
        <f t="shared" ref="I97:P97" si="16">SUM(I274:I278)</f>
        <v>3229.072064702229</v>
      </c>
      <c r="J97" s="1660">
        <f t="shared" si="16"/>
        <v>8506.5142706479637</v>
      </c>
      <c r="K97" s="1660">
        <f t="shared" si="16"/>
        <v>47315.892961002872</v>
      </c>
      <c r="L97" s="1660">
        <f t="shared" si="16"/>
        <v>49159.092961002869</v>
      </c>
      <c r="M97" s="1660">
        <f t="shared" si="16"/>
        <v>49159.092961002869</v>
      </c>
      <c r="N97" s="1660">
        <f t="shared" si="16"/>
        <v>45930.020896300644</v>
      </c>
      <c r="O97" s="1680">
        <f t="shared" si="16"/>
        <v>40652.578690354909</v>
      </c>
      <c r="P97" s="1660">
        <f t="shared" si="16"/>
        <v>1843.2</v>
      </c>
      <c r="Q97" s="1683"/>
    </row>
    <row r="98" spans="1:17" s="1276" customFormat="1" ht="13.5" thickBot="1" x14ac:dyDescent="0.25">
      <c r="A98" s="1278" t="s">
        <v>859</v>
      </c>
      <c r="B98" s="1279" t="s">
        <v>14</v>
      </c>
      <c r="C98" s="1279" t="s">
        <v>44</v>
      </c>
      <c r="D98" s="1483" t="s">
        <v>8</v>
      </c>
      <c r="E98" s="363"/>
      <c r="F98" s="1664"/>
      <c r="G98" s="1917"/>
      <c r="H98" s="1917"/>
      <c r="I98" s="1917"/>
      <c r="J98" s="1917"/>
      <c r="K98" s="1917"/>
      <c r="L98" s="1917"/>
      <c r="M98" s="1917"/>
      <c r="N98" s="1917"/>
      <c r="O98" s="1918"/>
      <c r="P98" s="1917"/>
      <c r="Q98" s="120"/>
    </row>
    <row r="99" spans="1:17" s="39" customFormat="1" ht="14.25" thickTop="1" thickBot="1" x14ac:dyDescent="0.25">
      <c r="A99" s="1027"/>
      <c r="B99" s="961"/>
      <c r="C99" s="961"/>
      <c r="D99" s="408"/>
      <c r="E99" s="363"/>
      <c r="F99" s="784"/>
      <c r="G99" s="358"/>
      <c r="H99" s="358"/>
      <c r="I99" s="358"/>
      <c r="J99" s="358"/>
      <c r="K99" s="358"/>
      <c r="L99" s="358"/>
      <c r="M99" s="358"/>
      <c r="N99" s="358"/>
      <c r="O99" s="359"/>
      <c r="P99" s="358"/>
      <c r="Q99" s="120"/>
    </row>
    <row r="100" spans="1:17" s="39" customFormat="1" ht="14.25" thickTop="1" thickBot="1" x14ac:dyDescent="0.25">
      <c r="A100" s="407" t="s">
        <v>886</v>
      </c>
      <c r="B100" s="109"/>
      <c r="C100" s="109"/>
      <c r="D100" s="1482"/>
      <c r="E100" s="363"/>
      <c r="F100" s="784"/>
      <c r="G100" s="358"/>
      <c r="H100" s="358"/>
      <c r="I100" s="358"/>
      <c r="J100" s="358"/>
      <c r="K100" s="358"/>
      <c r="L100" s="358"/>
      <c r="M100" s="358"/>
      <c r="N100" s="358"/>
      <c r="O100" s="359"/>
      <c r="P100" s="358"/>
      <c r="Q100" s="120"/>
    </row>
    <row r="101" spans="1:17" s="1276" customFormat="1" ht="13.5" thickTop="1" x14ac:dyDescent="0.2">
      <c r="A101" s="1292" t="s">
        <v>563</v>
      </c>
      <c r="B101" s="1293" t="s">
        <v>7</v>
      </c>
      <c r="C101" s="1293" t="s">
        <v>44</v>
      </c>
      <c r="D101" s="1479" t="s">
        <v>8</v>
      </c>
      <c r="E101" s="1667">
        <f>SUM(F101:P101)</f>
        <v>1201154.3228206888</v>
      </c>
      <c r="F101" s="1659"/>
      <c r="G101" s="1698"/>
      <c r="H101" s="1698">
        <f>SUM(H225:H230)</f>
        <v>0</v>
      </c>
      <c r="I101" s="1698">
        <f t="shared" ref="I101:P101" si="17">SUM(I225:I230)</f>
        <v>129217.81253169249</v>
      </c>
      <c r="J101" s="1698">
        <f t="shared" si="17"/>
        <v>140499.88804622748</v>
      </c>
      <c r="K101" s="1698">
        <f t="shared" si="17"/>
        <v>184037.91218297038</v>
      </c>
      <c r="L101" s="1698">
        <f t="shared" si="17"/>
        <v>240230.8645641378</v>
      </c>
      <c r="M101" s="1698">
        <f t="shared" si="17"/>
        <v>240230.8645641378</v>
      </c>
      <c r="N101" s="1698">
        <f t="shared" si="17"/>
        <v>111013.05203244532</v>
      </c>
      <c r="O101" s="1699">
        <f t="shared" si="17"/>
        <v>99730.976517910312</v>
      </c>
      <c r="P101" s="1698">
        <f t="shared" si="17"/>
        <v>56192.952381167408</v>
      </c>
      <c r="Q101" s="1683"/>
    </row>
    <row r="102" spans="1:17" s="2034" customFormat="1" x14ac:dyDescent="0.2">
      <c r="A102" s="2054" t="s">
        <v>910</v>
      </c>
      <c r="B102" s="2018" t="s">
        <v>14</v>
      </c>
      <c r="C102" s="2018" t="s">
        <v>132</v>
      </c>
      <c r="D102" s="2062" t="s">
        <v>8</v>
      </c>
      <c r="E102" s="823"/>
      <c r="F102" s="761"/>
      <c r="G102" s="830"/>
      <c r="H102" s="830"/>
      <c r="I102" s="830"/>
      <c r="J102" s="830"/>
      <c r="K102" s="830"/>
      <c r="L102" s="830"/>
      <c r="M102" s="830"/>
      <c r="N102" s="830"/>
      <c r="O102" s="830"/>
      <c r="P102" s="830"/>
      <c r="Q102" s="830"/>
    </row>
    <row r="103" spans="1:17" s="1245" customFormat="1" ht="13.5" thickBot="1" x14ac:dyDescent="0.25">
      <c r="A103" s="1427" t="s">
        <v>911</v>
      </c>
      <c r="B103" s="1391" t="s">
        <v>14</v>
      </c>
      <c r="C103" s="1391" t="s">
        <v>132</v>
      </c>
      <c r="D103" s="1392" t="s">
        <v>8</v>
      </c>
      <c r="E103" s="823"/>
      <c r="F103" s="761"/>
      <c r="G103" s="830"/>
      <c r="H103" s="830"/>
      <c r="I103" s="830"/>
      <c r="J103" s="830"/>
      <c r="K103" s="830"/>
      <c r="L103" s="830"/>
      <c r="M103" s="830"/>
      <c r="N103" s="830"/>
      <c r="O103" s="831"/>
      <c r="P103" s="830"/>
      <c r="Q103" s="861"/>
    </row>
    <row r="104" spans="1:17" s="39" customFormat="1" ht="14.25" thickTop="1" thickBot="1" x14ac:dyDescent="0.25">
      <c r="A104" s="1032"/>
      <c r="B104" s="408"/>
      <c r="C104" s="408"/>
      <c r="D104" s="408"/>
      <c r="E104" s="363"/>
      <c r="F104" s="784"/>
      <c r="G104" s="358"/>
      <c r="H104" s="358"/>
      <c r="I104" s="358"/>
      <c r="J104" s="358"/>
      <c r="K104" s="358"/>
      <c r="L104" s="358"/>
      <c r="M104" s="358"/>
      <c r="N104" s="358"/>
      <c r="O104" s="359"/>
      <c r="P104" s="358"/>
      <c r="Q104" s="120"/>
    </row>
    <row r="105" spans="1:17" s="39" customFormat="1" ht="14.25" thickTop="1" thickBot="1" x14ac:dyDescent="0.25">
      <c r="A105" s="933" t="s">
        <v>895</v>
      </c>
      <c r="B105" s="934"/>
      <c r="C105" s="934"/>
      <c r="D105" s="941"/>
      <c r="E105" s="363"/>
      <c r="F105" s="784"/>
      <c r="G105" s="358"/>
      <c r="H105" s="358"/>
      <c r="I105" s="358"/>
      <c r="J105" s="358"/>
      <c r="K105" s="358"/>
      <c r="L105" s="358"/>
      <c r="M105" s="358"/>
      <c r="N105" s="358"/>
      <c r="O105" s="359"/>
      <c r="P105" s="358"/>
      <c r="Q105" s="120"/>
    </row>
    <row r="106" spans="1:17" s="1245" customFormat="1" x14ac:dyDescent="0.2">
      <c r="A106" s="1260" t="s">
        <v>912</v>
      </c>
      <c r="B106" s="1254" t="s">
        <v>14</v>
      </c>
      <c r="C106" s="1254" t="s">
        <v>132</v>
      </c>
      <c r="D106" s="1455" t="s">
        <v>8</v>
      </c>
      <c r="E106" s="823"/>
      <c r="F106" s="761"/>
      <c r="G106" s="830"/>
      <c r="H106" s="830"/>
      <c r="I106" s="830"/>
      <c r="J106" s="830"/>
      <c r="K106" s="830"/>
      <c r="L106" s="830"/>
      <c r="M106" s="830"/>
      <c r="N106" s="830"/>
      <c r="O106" s="831"/>
      <c r="P106" s="830"/>
      <c r="Q106" s="861"/>
    </row>
    <row r="107" spans="1:17" s="1245" customFormat="1" ht="13.5" thickBot="1" x14ac:dyDescent="0.25">
      <c r="A107" s="1427" t="s">
        <v>129</v>
      </c>
      <c r="B107" s="1391" t="s">
        <v>14</v>
      </c>
      <c r="C107" s="1391" t="s">
        <v>132</v>
      </c>
      <c r="D107" s="1392" t="s">
        <v>8</v>
      </c>
      <c r="E107" s="823"/>
      <c r="F107" s="761"/>
      <c r="G107" s="830"/>
      <c r="H107" s="830"/>
      <c r="I107" s="830"/>
      <c r="J107" s="830"/>
      <c r="K107" s="830"/>
      <c r="L107" s="830"/>
      <c r="M107" s="830"/>
      <c r="N107" s="830"/>
      <c r="O107" s="831"/>
      <c r="P107" s="830"/>
      <c r="Q107" s="861"/>
    </row>
    <row r="108" spans="1:17" s="39" customFormat="1" ht="14.25" thickTop="1" thickBot="1" x14ac:dyDescent="0.25">
      <c r="A108" s="1032"/>
      <c r="B108" s="408"/>
      <c r="C108" s="408"/>
      <c r="D108" s="408"/>
      <c r="E108" s="363"/>
      <c r="F108" s="27"/>
      <c r="G108" s="388"/>
      <c r="H108" s="388"/>
      <c r="I108" s="388"/>
      <c r="J108" s="388"/>
      <c r="K108" s="388"/>
      <c r="L108" s="388"/>
      <c r="M108" s="388"/>
      <c r="N108" s="388"/>
      <c r="O108" s="388"/>
      <c r="P108" s="388"/>
      <c r="Q108" s="120"/>
    </row>
    <row r="109" spans="1:17" s="39" customFormat="1" ht="14.25" thickTop="1" thickBot="1" x14ac:dyDescent="0.25">
      <c r="A109" s="933" t="s">
        <v>955</v>
      </c>
      <c r="B109" s="934"/>
      <c r="C109" s="1884"/>
      <c r="D109" s="1480"/>
      <c r="E109" s="363"/>
      <c r="F109" s="1664"/>
      <c r="G109" s="358"/>
      <c r="H109" s="358"/>
      <c r="I109" s="358"/>
      <c r="J109" s="358"/>
      <c r="K109" s="358"/>
      <c r="L109" s="358"/>
      <c r="M109" s="358"/>
      <c r="N109" s="358"/>
      <c r="O109" s="359"/>
      <c r="P109" s="358"/>
      <c r="Q109" s="120"/>
    </row>
    <row r="110" spans="1:17" s="2034" customFormat="1" ht="13.5" thickBot="1" x14ac:dyDescent="0.25">
      <c r="A110" s="2036" t="s">
        <v>957</v>
      </c>
      <c r="B110" s="2037" t="s">
        <v>14</v>
      </c>
      <c r="C110" s="2037" t="s">
        <v>132</v>
      </c>
      <c r="D110" s="2063" t="s">
        <v>8</v>
      </c>
      <c r="E110" s="823"/>
      <c r="F110" s="762"/>
      <c r="G110" s="830"/>
      <c r="H110" s="830"/>
      <c r="I110" s="830"/>
      <c r="J110" s="830"/>
      <c r="K110" s="830"/>
      <c r="L110" s="830"/>
      <c r="M110" s="830"/>
      <c r="N110" s="830"/>
      <c r="O110" s="830"/>
      <c r="P110" s="830"/>
      <c r="Q110" s="830"/>
    </row>
    <row r="111" spans="1:17" s="39" customFormat="1" ht="15" customHeight="1" thickTop="1" thickBot="1" x14ac:dyDescent="0.25">
      <c r="A111" s="1032"/>
      <c r="B111" s="408"/>
      <c r="C111" s="408"/>
      <c r="D111" s="408"/>
      <c r="E111" s="363"/>
      <c r="F111" s="27"/>
      <c r="G111" s="388"/>
      <c r="H111" s="388"/>
      <c r="I111" s="388"/>
      <c r="J111" s="388"/>
      <c r="K111" s="388"/>
      <c r="L111" s="388"/>
      <c r="M111" s="388"/>
      <c r="N111" s="388"/>
      <c r="O111" s="388"/>
      <c r="P111" s="388"/>
      <c r="Q111" s="120"/>
    </row>
    <row r="112" spans="1:17" s="39" customFormat="1" ht="14.25" thickTop="1" thickBot="1" x14ac:dyDescent="0.25">
      <c r="A112" s="933" t="s">
        <v>973</v>
      </c>
      <c r="B112" s="934"/>
      <c r="C112" s="1884"/>
      <c r="D112" s="1480"/>
      <c r="E112" s="363"/>
      <c r="F112" s="1664"/>
      <c r="G112" s="358"/>
      <c r="H112" s="358"/>
      <c r="I112" s="358"/>
      <c r="J112" s="358"/>
      <c r="K112" s="358"/>
      <c r="L112" s="358"/>
      <c r="M112" s="358"/>
      <c r="N112" s="358"/>
      <c r="O112" s="359"/>
      <c r="P112" s="358"/>
      <c r="Q112" s="120"/>
    </row>
    <row r="113" spans="1:17" s="1271" customFormat="1" ht="13.5" thickBot="1" x14ac:dyDescent="0.25">
      <c r="A113" s="1263" t="s">
        <v>859</v>
      </c>
      <c r="B113" s="1264" t="s">
        <v>7</v>
      </c>
      <c r="C113" s="1264" t="s">
        <v>44</v>
      </c>
      <c r="D113" s="1417" t="s">
        <v>8</v>
      </c>
      <c r="E113" s="1667">
        <f>SUM(F113:P113)</f>
        <v>243280</v>
      </c>
      <c r="F113" s="1665"/>
      <c r="G113" s="1658"/>
      <c r="H113" s="1658">
        <f>SUM(H281:H285)</f>
        <v>16714</v>
      </c>
      <c r="I113" s="1658">
        <f t="shared" ref="I113:P113" si="18">SUM(I281:I285)</f>
        <v>35437</v>
      </c>
      <c r="J113" s="1658">
        <f t="shared" si="18"/>
        <v>40493</v>
      </c>
      <c r="K113" s="1658">
        <f t="shared" si="18"/>
        <v>48656</v>
      </c>
      <c r="L113" s="1658">
        <f t="shared" si="18"/>
        <v>48656</v>
      </c>
      <c r="M113" s="1658">
        <f t="shared" si="18"/>
        <v>31942</v>
      </c>
      <c r="N113" s="1658">
        <f t="shared" si="18"/>
        <v>13219</v>
      </c>
      <c r="O113" s="1658">
        <f t="shared" si="18"/>
        <v>8163</v>
      </c>
      <c r="P113" s="1658">
        <f t="shared" si="18"/>
        <v>0</v>
      </c>
      <c r="Q113" s="1682"/>
    </row>
    <row r="114" spans="1:17" s="39" customFormat="1" ht="15" customHeight="1" thickTop="1" thickBot="1" x14ac:dyDescent="0.25">
      <c r="A114" s="1032"/>
      <c r="B114" s="408"/>
      <c r="C114" s="408"/>
      <c r="D114" s="408"/>
      <c r="E114" s="363"/>
      <c r="F114" s="27"/>
      <c r="G114" s="388"/>
      <c r="H114" s="388"/>
      <c r="I114" s="388"/>
      <c r="J114" s="388"/>
      <c r="K114" s="388"/>
      <c r="L114" s="388"/>
      <c r="M114" s="388"/>
      <c r="N114" s="388"/>
      <c r="O114" s="388"/>
      <c r="P114" s="388"/>
      <c r="Q114" s="120"/>
    </row>
    <row r="115" spans="1:17" s="39" customFormat="1" ht="14.25" thickTop="1" thickBot="1" x14ac:dyDescent="0.25">
      <c r="A115" s="933" t="s">
        <v>987</v>
      </c>
      <c r="B115" s="934"/>
      <c r="C115" s="1884"/>
      <c r="D115" s="1480"/>
      <c r="E115" s="363"/>
      <c r="F115" s="1664"/>
      <c r="G115" s="358"/>
      <c r="H115" s="358"/>
      <c r="I115" s="358"/>
      <c r="J115" s="358"/>
      <c r="K115" s="358"/>
      <c r="L115" s="358"/>
      <c r="M115" s="358"/>
      <c r="N115" s="358"/>
      <c r="O115" s="359"/>
      <c r="P115" s="358"/>
      <c r="Q115" s="120"/>
    </row>
    <row r="116" spans="1:17" s="1932" customFormat="1" ht="13.5" thickBot="1" x14ac:dyDescent="0.25">
      <c r="A116" s="1952" t="s">
        <v>988</v>
      </c>
      <c r="B116" s="1953" t="s">
        <v>7</v>
      </c>
      <c r="C116" s="1953" t="s">
        <v>44</v>
      </c>
      <c r="D116" s="1966" t="s">
        <v>8</v>
      </c>
      <c r="E116" s="1971">
        <f>SUM(F116:Q116)</f>
        <v>453475</v>
      </c>
      <c r="F116" s="1968"/>
      <c r="G116" s="1931"/>
      <c r="H116" s="1931"/>
      <c r="I116" s="1931">
        <f>SUM(I323:I327)</f>
        <v>26150.2</v>
      </c>
      <c r="J116" s="1931">
        <f t="shared" ref="J116:P116" si="19">SUM(J323:J327)</f>
        <v>47522</v>
      </c>
      <c r="K116" s="1931">
        <f t="shared" si="19"/>
        <v>65887.8</v>
      </c>
      <c r="L116" s="1931">
        <f t="shared" si="19"/>
        <v>84129.8</v>
      </c>
      <c r="M116" s="1931">
        <f t="shared" si="19"/>
        <v>90695</v>
      </c>
      <c r="N116" s="1931">
        <f t="shared" si="19"/>
        <v>64544.799999999996</v>
      </c>
      <c r="O116" s="1931">
        <f t="shared" si="19"/>
        <v>43173</v>
      </c>
      <c r="P116" s="1931">
        <f t="shared" si="19"/>
        <v>24807.200000000001</v>
      </c>
      <c r="Q116" s="1931">
        <f>SUM(Q323:Q327)</f>
        <v>6565.2</v>
      </c>
    </row>
    <row r="117" spans="1:17" s="39" customFormat="1" ht="15" customHeight="1" thickTop="1" x14ac:dyDescent="0.2">
      <c r="A117" s="1032"/>
      <c r="B117" s="408"/>
      <c r="C117" s="408"/>
      <c r="D117" s="408"/>
      <c r="E117" s="363"/>
      <c r="F117" s="27"/>
      <c r="G117" s="388"/>
      <c r="H117" s="388"/>
      <c r="I117" s="388"/>
      <c r="J117" s="388"/>
      <c r="K117" s="388"/>
      <c r="L117" s="388"/>
      <c r="M117" s="388"/>
      <c r="N117" s="388"/>
      <c r="O117" s="388"/>
      <c r="P117" s="388"/>
      <c r="Q117" s="120"/>
    </row>
    <row r="118" spans="1:17" s="39" customFormat="1" ht="13.5" thickBot="1" x14ac:dyDescent="0.25">
      <c r="A118" s="1032"/>
      <c r="B118" s="408"/>
      <c r="C118" s="408"/>
      <c r="D118" s="408"/>
      <c r="E118" s="363"/>
      <c r="F118" s="784"/>
      <c r="G118" s="358"/>
      <c r="H118" s="358"/>
      <c r="I118" s="358"/>
      <c r="J118" s="358"/>
      <c r="K118" s="358"/>
      <c r="L118" s="358"/>
      <c r="M118" s="358"/>
      <c r="N118" s="358"/>
      <c r="O118" s="359"/>
      <c r="P118" s="358"/>
      <c r="Q118" s="120"/>
    </row>
    <row r="119" spans="1:17" s="39" customFormat="1" ht="14.25" thickTop="1" thickBot="1" x14ac:dyDescent="0.25">
      <c r="A119" s="933" t="s">
        <v>1004</v>
      </c>
      <c r="B119" s="934"/>
      <c r="C119" s="934"/>
      <c r="D119" s="941"/>
      <c r="E119" s="363"/>
      <c r="F119" s="784"/>
      <c r="G119" s="358"/>
      <c r="H119" s="358"/>
      <c r="I119" s="358"/>
      <c r="J119" s="358"/>
      <c r="K119" s="358"/>
      <c r="L119" s="358"/>
      <c r="M119" s="358"/>
      <c r="N119" s="358"/>
      <c r="O119" s="359"/>
      <c r="P119" s="358"/>
      <c r="Q119" s="120"/>
    </row>
    <row r="120" spans="1:17" s="1271" customFormat="1" x14ac:dyDescent="0.2">
      <c r="A120" s="1996" t="s">
        <v>911</v>
      </c>
      <c r="B120" s="1997" t="s">
        <v>7</v>
      </c>
      <c r="C120" s="1997" t="s">
        <v>44</v>
      </c>
      <c r="D120" s="1998" t="s">
        <v>8</v>
      </c>
      <c r="E120" s="1667">
        <f>SUM(F120:P120)</f>
        <v>126296</v>
      </c>
      <c r="F120" s="1659"/>
      <c r="G120" s="1658"/>
      <c r="H120" s="1658">
        <f>SUM(H288:H293)</f>
        <v>3883.66</v>
      </c>
      <c r="I120" s="1658">
        <f t="shared" ref="I120:Q120" si="20">SUM(I288:I293)</f>
        <v>17519.919999999998</v>
      </c>
      <c r="J120" s="1658">
        <f t="shared" si="20"/>
        <v>25259.199999999997</v>
      </c>
      <c r="K120" s="1658">
        <f t="shared" si="20"/>
        <v>25259.199999999997</v>
      </c>
      <c r="L120" s="1658">
        <f t="shared" si="20"/>
        <v>25259.199999999997</v>
      </c>
      <c r="M120" s="1658">
        <f t="shared" si="20"/>
        <v>21375.54</v>
      </c>
      <c r="N120" s="1658">
        <f t="shared" si="20"/>
        <v>7739.2800000000007</v>
      </c>
      <c r="O120" s="1658">
        <f t="shared" si="20"/>
        <v>0</v>
      </c>
      <c r="P120" s="1658">
        <f t="shared" si="20"/>
        <v>0</v>
      </c>
      <c r="Q120" s="1658">
        <f t="shared" si="20"/>
        <v>0</v>
      </c>
    </row>
    <row r="121" spans="1:17" s="1271" customFormat="1" x14ac:dyDescent="0.2">
      <c r="A121" s="1263" t="s">
        <v>756</v>
      </c>
      <c r="B121" s="1264" t="s">
        <v>7</v>
      </c>
      <c r="C121" s="1264" t="s">
        <v>44</v>
      </c>
      <c r="D121" s="1426" t="s">
        <v>8</v>
      </c>
      <c r="E121" s="1667">
        <f>SUM(F121:P121)</f>
        <v>143436</v>
      </c>
      <c r="F121" s="1665"/>
      <c r="G121" s="1658"/>
      <c r="H121" s="1658">
        <f>SUM(H267:H271)</f>
        <v>0</v>
      </c>
      <c r="I121" s="1658">
        <f t="shared" ref="I121:P121" si="21">SUM(I267:I271)</f>
        <v>22154.2</v>
      </c>
      <c r="J121" s="1658">
        <f t="shared" si="21"/>
        <v>26181.5</v>
      </c>
      <c r="K121" s="1658">
        <f t="shared" si="21"/>
        <v>28687.200000000001</v>
      </c>
      <c r="L121" s="1658">
        <f t="shared" si="21"/>
        <v>28687.200000000001</v>
      </c>
      <c r="M121" s="1658">
        <f t="shared" si="21"/>
        <v>28687.200000000001</v>
      </c>
      <c r="N121" s="1658">
        <f t="shared" si="21"/>
        <v>6533</v>
      </c>
      <c r="O121" s="1658">
        <f t="shared" si="21"/>
        <v>2505.6999999999998</v>
      </c>
      <c r="P121" s="1658">
        <f t="shared" si="21"/>
        <v>0</v>
      </c>
      <c r="Q121" s="1682"/>
    </row>
    <row r="122" spans="1:17" s="1271" customFormat="1" x14ac:dyDescent="0.2">
      <c r="A122" s="1263" t="s">
        <v>912</v>
      </c>
      <c r="B122" s="1264" t="s">
        <v>7</v>
      </c>
      <c r="C122" s="1264" t="s">
        <v>44</v>
      </c>
      <c r="D122" s="1426" t="s">
        <v>8</v>
      </c>
      <c r="E122" s="1667">
        <f>SUM(F122:P122)</f>
        <v>808104.19999999984</v>
      </c>
      <c r="F122" s="1659"/>
      <c r="G122" s="1658"/>
      <c r="H122" s="1658">
        <f>SUM(H295:H299)</f>
        <v>32340.400000000001</v>
      </c>
      <c r="I122" s="1658">
        <f t="shared" ref="I122:Q122" si="22">SUM(I295:I299)</f>
        <v>64672.880000000005</v>
      </c>
      <c r="J122" s="1658">
        <f t="shared" si="22"/>
        <v>96997.16</v>
      </c>
      <c r="K122" s="1658">
        <f t="shared" si="22"/>
        <v>129313.24</v>
      </c>
      <c r="L122" s="1658">
        <f t="shared" si="22"/>
        <v>161620.84</v>
      </c>
      <c r="M122" s="1658">
        <f t="shared" si="22"/>
        <v>129280.44</v>
      </c>
      <c r="N122" s="1658">
        <f t="shared" si="22"/>
        <v>96947.959999999992</v>
      </c>
      <c r="O122" s="1658">
        <f t="shared" si="22"/>
        <v>64623.679999999993</v>
      </c>
      <c r="P122" s="1658">
        <f t="shared" si="22"/>
        <v>32307.599999999999</v>
      </c>
      <c r="Q122" s="1658">
        <f t="shared" si="22"/>
        <v>0</v>
      </c>
    </row>
    <row r="123" spans="1:17" s="1271" customFormat="1" x14ac:dyDescent="0.2">
      <c r="A123" s="1263" t="s">
        <v>129</v>
      </c>
      <c r="B123" s="1264" t="s">
        <v>7</v>
      </c>
      <c r="C123" s="1264" t="s">
        <v>44</v>
      </c>
      <c r="D123" s="1426" t="s">
        <v>8</v>
      </c>
      <c r="E123" s="1667">
        <f>SUM(F123:P123)</f>
        <v>292307</v>
      </c>
      <c r="F123" s="1659"/>
      <c r="G123" s="1658"/>
      <c r="H123" s="1658">
        <f>SUM(H302:H307)</f>
        <v>5144.26</v>
      </c>
      <c r="I123" s="1658">
        <f t="shared" ref="I123:Q123" si="23">SUM(I302:I307)</f>
        <v>44459.72</v>
      </c>
      <c r="J123" s="1658">
        <f t="shared" si="23"/>
        <v>58461.4</v>
      </c>
      <c r="K123" s="1658">
        <f t="shared" si="23"/>
        <v>58461.4</v>
      </c>
      <c r="L123" s="1658">
        <f t="shared" si="23"/>
        <v>58461.4</v>
      </c>
      <c r="M123" s="1658">
        <f t="shared" si="23"/>
        <v>53317.14</v>
      </c>
      <c r="N123" s="1658">
        <f t="shared" si="23"/>
        <v>14001.679999999998</v>
      </c>
      <c r="O123" s="1658">
        <f t="shared" si="23"/>
        <v>0</v>
      </c>
      <c r="P123" s="1658">
        <f t="shared" si="23"/>
        <v>0</v>
      </c>
      <c r="Q123" s="1658">
        <f t="shared" si="23"/>
        <v>0</v>
      </c>
    </row>
    <row r="124" spans="1:17" s="1932" customFormat="1" x14ac:dyDescent="0.2">
      <c r="A124" s="1969" t="s">
        <v>910</v>
      </c>
      <c r="B124" s="1926" t="s">
        <v>7</v>
      </c>
      <c r="C124" s="1926" t="s">
        <v>44</v>
      </c>
      <c r="D124" s="1974" t="s">
        <v>8</v>
      </c>
      <c r="E124" s="1971">
        <f>SUM(F124:Q124)</f>
        <v>3048671.0000000005</v>
      </c>
      <c r="F124" s="1967"/>
      <c r="G124" s="1931"/>
      <c r="H124" s="1931"/>
      <c r="I124" s="1931">
        <f t="shared" ref="I124:Q124" si="24">SUM(I309:I314)</f>
        <v>119197.8</v>
      </c>
      <c r="J124" s="1931">
        <f t="shared" si="24"/>
        <v>253832.40000000002</v>
      </c>
      <c r="K124" s="1931">
        <f t="shared" si="24"/>
        <v>381053</v>
      </c>
      <c r="L124" s="1931">
        <f t="shared" si="24"/>
        <v>480196.6</v>
      </c>
      <c r="M124" s="1931">
        <f t="shared" si="24"/>
        <v>609734.19999999995</v>
      </c>
      <c r="N124" s="1931">
        <f t="shared" si="24"/>
        <v>490536.4</v>
      </c>
      <c r="O124" s="1931">
        <f t="shared" si="24"/>
        <v>355901.80000000005</v>
      </c>
      <c r="P124" s="1931">
        <f t="shared" si="24"/>
        <v>228681.2</v>
      </c>
      <c r="Q124" s="1931">
        <f t="shared" si="24"/>
        <v>129537.60000000001</v>
      </c>
    </row>
    <row r="125" spans="1:17" s="1932" customFormat="1" x14ac:dyDescent="0.2">
      <c r="A125" s="1934" t="s">
        <v>957</v>
      </c>
      <c r="B125" s="1926" t="s">
        <v>7</v>
      </c>
      <c r="C125" s="1926" t="s">
        <v>44</v>
      </c>
      <c r="D125" s="1974" t="s">
        <v>8</v>
      </c>
      <c r="E125" s="1971">
        <f>SUM(F125:Q125)</f>
        <v>478396</v>
      </c>
      <c r="F125" s="1968"/>
      <c r="G125" s="1931"/>
      <c r="H125" s="1931"/>
      <c r="I125" s="1931">
        <f t="shared" ref="I125:Q125" si="25">SUM(I316:I321)</f>
        <v>7028.6</v>
      </c>
      <c r="J125" s="1931">
        <f t="shared" si="25"/>
        <v>31147.599999999999</v>
      </c>
      <c r="K125" s="1931">
        <f t="shared" si="25"/>
        <v>66833.600000000006</v>
      </c>
      <c r="L125" s="1931">
        <f t="shared" si="25"/>
        <v>77902.200000000012</v>
      </c>
      <c r="M125" s="1931">
        <f t="shared" si="25"/>
        <v>95679.200000000012</v>
      </c>
      <c r="N125" s="1931">
        <f t="shared" si="25"/>
        <v>88650.6</v>
      </c>
      <c r="O125" s="1931">
        <f t="shared" si="25"/>
        <v>64531.6</v>
      </c>
      <c r="P125" s="1931">
        <f t="shared" si="25"/>
        <v>28845.599999999999</v>
      </c>
      <c r="Q125" s="1931">
        <f t="shared" si="25"/>
        <v>17777</v>
      </c>
    </row>
    <row r="126" spans="1:17" s="1505" customFormat="1" ht="15" customHeight="1" thickBot="1" x14ac:dyDescent="0.25">
      <c r="A126" s="2113" t="s">
        <v>1034</v>
      </c>
      <c r="B126" s="2150" t="s">
        <v>14</v>
      </c>
      <c r="C126" s="2114" t="s">
        <v>44</v>
      </c>
      <c r="D126" s="2115" t="s">
        <v>8</v>
      </c>
      <c r="E126" s="1971">
        <f>SUM(F126:Q126)</f>
        <v>933205.46213968343</v>
      </c>
      <c r="F126" s="1967"/>
      <c r="G126" s="2153"/>
      <c r="H126" s="2153"/>
      <c r="I126" s="2153">
        <f>SUM(I330:I334)</f>
        <v>67389</v>
      </c>
      <c r="J126" s="2153">
        <f t="shared" ref="J126:Q126" si="26">SUM(J330:J334)</f>
        <v>124726.97149637251</v>
      </c>
      <c r="K126" s="2153">
        <f t="shared" si="26"/>
        <v>186640.64691651697</v>
      </c>
      <c r="L126" s="2153">
        <f t="shared" si="26"/>
        <v>186641.11553492089</v>
      </c>
      <c r="M126" s="2153">
        <f t="shared" si="26"/>
        <v>186641.11553492089</v>
      </c>
      <c r="N126" s="2153">
        <f t="shared" si="26"/>
        <v>119252.14403854837</v>
      </c>
      <c r="O126" s="2153">
        <f t="shared" si="26"/>
        <v>61914.468618403909</v>
      </c>
      <c r="P126" s="2153">
        <f t="shared" si="26"/>
        <v>0</v>
      </c>
      <c r="Q126" s="2153">
        <f t="shared" si="26"/>
        <v>0</v>
      </c>
    </row>
    <row r="127" spans="1:17" s="39" customFormat="1" ht="15" customHeight="1" thickTop="1" x14ac:dyDescent="0.2">
      <c r="A127" s="1032"/>
      <c r="B127" s="408"/>
      <c r="C127" s="408"/>
      <c r="D127" s="408"/>
      <c r="E127" s="363"/>
      <c r="F127" s="27"/>
      <c r="G127" s="388"/>
      <c r="H127" s="388"/>
      <c r="I127" s="388"/>
      <c r="J127" s="388"/>
      <c r="K127" s="388"/>
      <c r="L127" s="388"/>
      <c r="M127" s="388"/>
      <c r="N127" s="388"/>
      <c r="O127" s="388"/>
      <c r="P127" s="388"/>
      <c r="Q127" s="120"/>
    </row>
    <row r="128" spans="1:17" s="39" customFormat="1" x14ac:dyDescent="0.2">
      <c r="A128" s="73"/>
      <c r="B128" s="73"/>
      <c r="C128" s="73"/>
      <c r="D128" s="73"/>
      <c r="E128" s="356"/>
      <c r="F128" s="75"/>
      <c r="G128" s="75"/>
      <c r="H128" s="75"/>
      <c r="I128" s="75"/>
      <c r="J128" s="75"/>
      <c r="K128" s="75"/>
      <c r="L128" s="75"/>
      <c r="M128" s="75"/>
      <c r="N128" s="75"/>
      <c r="P128" s="82"/>
      <c r="Q128" s="120"/>
    </row>
    <row r="129" spans="1:80" x14ac:dyDescent="0.2">
      <c r="A129" s="26" t="s">
        <v>106</v>
      </c>
      <c r="E129" s="1668">
        <f>SUM(E7:E127)</f>
        <v>16037504.587595979</v>
      </c>
      <c r="F129" s="1719">
        <f>SUM(F7:F127)</f>
        <v>177356.2</v>
      </c>
      <c r="G129" s="1707">
        <f t="shared" ref="G129:M129" si="27">SUM(G7:G127)</f>
        <v>640589.20000000007</v>
      </c>
      <c r="H129" s="1707">
        <f>SUM(H7:H127)</f>
        <v>1121518.7362547712</v>
      </c>
      <c r="I129" s="1707">
        <f t="shared" si="27"/>
        <v>1862396.5857014917</v>
      </c>
      <c r="J129" s="1707">
        <f t="shared" si="27"/>
        <v>2401552.4066072372</v>
      </c>
      <c r="K129" s="1707">
        <f t="shared" si="27"/>
        <v>2653423.5196266086</v>
      </c>
      <c r="L129" s="1707">
        <f t="shared" si="27"/>
        <v>2413031.9406261798</v>
      </c>
      <c r="M129" s="1707">
        <f t="shared" si="27"/>
        <v>2085982.2043714083</v>
      </c>
      <c r="N129" s="1707">
        <f>SUM(N7:N127)</f>
        <v>1345104.3834283159</v>
      </c>
      <c r="O129" s="1707">
        <f>SUM(O7:O127)</f>
        <v>805948.85859879816</v>
      </c>
      <c r="P129" s="1707">
        <f>SUM(P7:P127)</f>
        <v>376720.75238116737</v>
      </c>
      <c r="Q129" s="1707">
        <f>SUM(Q7:Q127)</f>
        <v>153879.80000000002</v>
      </c>
    </row>
    <row r="130" spans="1:80" x14ac:dyDescent="0.2">
      <c r="F130" s="200">
        <f>SUM(F129:Q129)</f>
        <v>16037504.587595981</v>
      </c>
      <c r="G130" t="s">
        <v>105</v>
      </c>
    </row>
    <row r="131" spans="1:80" x14ac:dyDescent="0.2">
      <c r="D131">
        <v>2007</v>
      </c>
      <c r="E131" s="1669">
        <f>SUM(E13,E23,E24,E31,E37,E38)</f>
        <v>4457260</v>
      </c>
      <c r="F131" s="1"/>
    </row>
    <row r="132" spans="1:80" x14ac:dyDescent="0.2">
      <c r="D132">
        <v>2008</v>
      </c>
      <c r="E132" s="1669">
        <f>SUM(E50,E55,E67,E70,E75)</f>
        <v>1127404.5998236025</v>
      </c>
      <c r="F132" s="1"/>
    </row>
    <row r="133" spans="1:80" x14ac:dyDescent="0.2">
      <c r="D133">
        <v>2009</v>
      </c>
      <c r="E133" s="1669">
        <f>SUM(E78,E81,E82,E121,E89,E90,E94,E97,E113,E101,E120,E122,E123)</f>
        <v>5539092.5256326934</v>
      </c>
      <c r="F133" s="1"/>
    </row>
    <row r="134" spans="1:80" x14ac:dyDescent="0.2">
      <c r="D134">
        <v>2010</v>
      </c>
      <c r="E134" s="1669">
        <f>SUM(E124,E125,E116,E126)</f>
        <v>4913747.4621396838</v>
      </c>
      <c r="F134" s="1"/>
    </row>
    <row r="135" spans="1:80" x14ac:dyDescent="0.2">
      <c r="E135" s="1668">
        <f>SUM(E131:E134)</f>
        <v>16037504.587595981</v>
      </c>
      <c r="F135" s="2">
        <f>F129/E129</f>
        <v>1.1058840172502528E-2</v>
      </c>
      <c r="G135" s="2">
        <f>G129/E129</f>
        <v>3.9943196680078043E-2</v>
      </c>
      <c r="H135" s="2">
        <f>H129/E129</f>
        <v>6.993100018329515E-2</v>
      </c>
      <c r="I135" s="2">
        <f>I129/E129</f>
        <v>0.1161275792957179</v>
      </c>
      <c r="J135" s="2">
        <f>J129/E129</f>
        <v>0.14974601525381262</v>
      </c>
      <c r="K135" s="2">
        <f>K129/E129</f>
        <v>0.16545114641331846</v>
      </c>
      <c r="L135" s="2">
        <f>L129/E129</f>
        <v>0.15046180828484446</v>
      </c>
      <c r="M135" s="2">
        <f>M129/E129</f>
        <v>0.13006900125751403</v>
      </c>
      <c r="N135" s="2">
        <f>N129/E129</f>
        <v>8.3872423922401948E-2</v>
      </c>
      <c r="O135" s="2">
        <f>O129/E129</f>
        <v>5.0254006425797061E-2</v>
      </c>
      <c r="P135" s="1708">
        <f>P129/E129</f>
        <v>2.3489985634831099E-2</v>
      </c>
      <c r="Q135" s="1708">
        <f>Q129/E129</f>
        <v>9.5949964758866892E-3</v>
      </c>
    </row>
    <row r="136" spans="1:80" x14ac:dyDescent="0.2">
      <c r="E136" s="1669">
        <f>'1. Summary'!$C$54</f>
        <v>16037505</v>
      </c>
      <c r="F136" s="422" t="s">
        <v>105</v>
      </c>
      <c r="G136" s="1"/>
      <c r="H136" s="1"/>
      <c r="I136" s="1"/>
      <c r="J136" s="1"/>
      <c r="K136" s="1"/>
      <c r="L136" s="1"/>
      <c r="M136" s="1"/>
      <c r="N136" s="1"/>
      <c r="Q136" s="1709">
        <f>SUM(F135:Q135)</f>
        <v>0.99999999999999989</v>
      </c>
    </row>
    <row r="137" spans="1:80" x14ac:dyDescent="0.2">
      <c r="E137" s="196"/>
    </row>
    <row r="138" spans="1:80" x14ac:dyDescent="0.2">
      <c r="E138" s="196"/>
    </row>
    <row r="139" spans="1:80" x14ac:dyDescent="0.2">
      <c r="A139" s="413" t="s">
        <v>654</v>
      </c>
      <c r="E139" s="1669">
        <v>40000000</v>
      </c>
      <c r="F139" s="1">
        <f>E139*F135</f>
        <v>442353.60690010112</v>
      </c>
      <c r="G139" s="1">
        <f>E139*G135</f>
        <v>1597727.8672031218</v>
      </c>
      <c r="H139" s="1">
        <f>E139*H135</f>
        <v>2797240.0073318058</v>
      </c>
      <c r="I139" s="1">
        <f>E139*I135</f>
        <v>4645103.1718287161</v>
      </c>
      <c r="J139" s="1">
        <f>E139*J135</f>
        <v>5989840.6101525044</v>
      </c>
      <c r="K139" s="1">
        <f>E139*K135</f>
        <v>6618045.8565327385</v>
      </c>
      <c r="L139" s="1">
        <f>E139*L135</f>
        <v>6018472.3313937783</v>
      </c>
      <c r="M139" s="1">
        <f>E139*M135</f>
        <v>5202760.0503005609</v>
      </c>
      <c r="N139" s="1">
        <f>E139*N135</f>
        <v>3354896.9568960778</v>
      </c>
      <c r="O139" s="1">
        <f>E139*O135</f>
        <v>2010160.2570318824</v>
      </c>
      <c r="P139" s="1710">
        <f>E139*P135</f>
        <v>939599.4253932439</v>
      </c>
      <c r="Q139" s="1710">
        <f>E139*Q135</f>
        <v>383799.85903546755</v>
      </c>
      <c r="R139" s="1">
        <f>SUM(F139:Q139)</f>
        <v>40000000</v>
      </c>
    </row>
    <row r="140" spans="1:80" x14ac:dyDescent="0.2">
      <c r="E140" s="1669"/>
      <c r="F140" s="1"/>
      <c r="G140" s="1"/>
      <c r="H140" s="1"/>
      <c r="I140" s="1"/>
      <c r="J140" s="1"/>
      <c r="K140" s="1"/>
      <c r="L140" s="1"/>
      <c r="M140" s="1"/>
      <c r="N140" s="1"/>
    </row>
    <row r="141" spans="1:80" ht="15.75" x14ac:dyDescent="0.25">
      <c r="A141" s="97" t="s">
        <v>381</v>
      </c>
      <c r="F141" s="38">
        <v>2008</v>
      </c>
      <c r="G141" s="38">
        <v>2009</v>
      </c>
      <c r="H141" s="38">
        <v>2010</v>
      </c>
      <c r="I141" s="38">
        <v>2011</v>
      </c>
      <c r="J141" s="38">
        <v>2012</v>
      </c>
      <c r="K141" s="38">
        <v>2013</v>
      </c>
      <c r="L141" s="38">
        <v>2014</v>
      </c>
      <c r="M141" s="38">
        <v>2015</v>
      </c>
      <c r="N141" s="38">
        <v>2016</v>
      </c>
      <c r="O141" s="38">
        <v>2017</v>
      </c>
      <c r="P141" s="209">
        <v>2018</v>
      </c>
    </row>
    <row r="142" spans="1:80" ht="15.75" x14ac:dyDescent="0.25">
      <c r="A142" s="97"/>
      <c r="D142" s="38" t="s">
        <v>865</v>
      </c>
    </row>
    <row r="143" spans="1:80" x14ac:dyDescent="0.2">
      <c r="A143" s="430"/>
      <c r="B143" s="39"/>
      <c r="C143" s="39"/>
      <c r="D143" s="39"/>
      <c r="E143" s="1671"/>
      <c r="F143" s="66"/>
      <c r="G143" s="66"/>
      <c r="H143" s="66"/>
      <c r="I143" s="66"/>
      <c r="J143" s="66"/>
      <c r="K143" s="66"/>
      <c r="L143" s="66"/>
      <c r="M143" s="66"/>
      <c r="N143" s="66"/>
      <c r="O143" s="66"/>
      <c r="P143" s="1712"/>
      <c r="Q143" s="1685"/>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row>
    <row r="144" spans="1:80" s="473" customFormat="1" x14ac:dyDescent="0.2">
      <c r="A144" s="1046" t="s">
        <v>127</v>
      </c>
      <c r="D144" s="473">
        <v>2008</v>
      </c>
      <c r="E144" s="1670">
        <v>173232</v>
      </c>
      <c r="F144" s="846">
        <f>E144/5</f>
        <v>34646.400000000001</v>
      </c>
      <c r="G144" s="846">
        <f>F144</f>
        <v>34646.400000000001</v>
      </c>
      <c r="H144" s="846">
        <f>G144</f>
        <v>34646.400000000001</v>
      </c>
      <c r="I144" s="846">
        <f>H144</f>
        <v>34646.400000000001</v>
      </c>
      <c r="J144" s="846">
        <f>I144</f>
        <v>34646.400000000001</v>
      </c>
      <c r="K144" s="846"/>
      <c r="L144" s="846"/>
      <c r="M144" s="846"/>
      <c r="N144" s="846"/>
      <c r="O144" s="846"/>
      <c r="P144" s="1711"/>
      <c r="Q144" s="1684"/>
      <c r="R144" s="847"/>
      <c r="S144" s="847"/>
      <c r="T144" s="847"/>
      <c r="U144" s="847"/>
      <c r="V144" s="847"/>
      <c r="W144" s="847"/>
      <c r="X144" s="847"/>
      <c r="Y144" s="847"/>
      <c r="Z144" s="847"/>
      <c r="AA144" s="847"/>
      <c r="AB144" s="847"/>
      <c r="AC144" s="847"/>
      <c r="AD144" s="847"/>
      <c r="AE144" s="847"/>
      <c r="AF144" s="847"/>
      <c r="AG144" s="847"/>
      <c r="AH144" s="847"/>
      <c r="AI144" s="847"/>
      <c r="AJ144" s="847"/>
      <c r="AK144" s="847"/>
      <c r="AL144" s="847"/>
      <c r="AM144" s="847"/>
      <c r="AN144" s="847"/>
      <c r="AO144" s="847"/>
      <c r="AP144" s="847"/>
      <c r="AQ144" s="847"/>
      <c r="AR144" s="847"/>
      <c r="AS144" s="847"/>
      <c r="AT144" s="847"/>
      <c r="AU144" s="847"/>
      <c r="AV144" s="847"/>
      <c r="AW144" s="847"/>
      <c r="AX144" s="847"/>
      <c r="AY144" s="847"/>
      <c r="AZ144" s="847"/>
      <c r="BA144" s="847"/>
      <c r="BB144" s="847"/>
      <c r="BC144" s="847"/>
      <c r="BD144" s="847"/>
      <c r="BE144" s="847"/>
      <c r="BF144" s="847"/>
      <c r="BG144" s="847"/>
      <c r="BH144" s="847"/>
      <c r="BI144" s="847"/>
      <c r="BJ144" s="847"/>
      <c r="BK144" s="847"/>
      <c r="BL144" s="847"/>
      <c r="BM144" s="847"/>
      <c r="BN144" s="847"/>
      <c r="BO144" s="847"/>
      <c r="BP144" s="847"/>
      <c r="BQ144" s="847"/>
      <c r="BR144" s="847"/>
      <c r="BS144" s="847"/>
      <c r="BT144" s="847"/>
      <c r="BU144" s="847"/>
      <c r="BV144" s="847"/>
      <c r="BW144" s="847"/>
      <c r="BX144" s="847"/>
      <c r="BY144" s="847"/>
      <c r="BZ144" s="847"/>
      <c r="CA144" s="847"/>
      <c r="CB144" s="847"/>
    </row>
    <row r="145" spans="1:80" s="473" customFormat="1" x14ac:dyDescent="0.2">
      <c r="A145" s="1046"/>
      <c r="D145" s="473">
        <v>2009</v>
      </c>
      <c r="E145" s="1670">
        <v>249928</v>
      </c>
      <c r="F145" s="846"/>
      <c r="G145" s="846">
        <f>E145/5</f>
        <v>49985.599999999999</v>
      </c>
      <c r="H145" s="846">
        <f>G145</f>
        <v>49985.599999999999</v>
      </c>
      <c r="I145" s="846">
        <f>H145</f>
        <v>49985.599999999999</v>
      </c>
      <c r="J145" s="846">
        <f>I145</f>
        <v>49985.599999999999</v>
      </c>
      <c r="K145" s="846">
        <f>J145</f>
        <v>49985.599999999999</v>
      </c>
      <c r="L145" s="846"/>
      <c r="M145" s="846"/>
      <c r="N145" s="846"/>
      <c r="O145" s="846"/>
      <c r="P145" s="1711"/>
      <c r="Q145" s="1684"/>
      <c r="R145" s="847"/>
      <c r="S145" s="847"/>
      <c r="T145" s="847"/>
      <c r="U145" s="847"/>
      <c r="V145" s="847"/>
      <c r="W145" s="847"/>
      <c r="X145" s="847"/>
      <c r="Y145" s="847"/>
      <c r="Z145" s="847"/>
      <c r="AA145" s="847"/>
      <c r="AB145" s="847"/>
      <c r="AC145" s="847"/>
      <c r="AD145" s="847"/>
      <c r="AE145" s="847"/>
      <c r="AF145" s="847"/>
      <c r="AG145" s="847"/>
      <c r="AH145" s="847"/>
      <c r="AI145" s="847"/>
      <c r="AJ145" s="847"/>
      <c r="AK145" s="847"/>
      <c r="AL145" s="847"/>
      <c r="AM145" s="847"/>
      <c r="AN145" s="847"/>
      <c r="AO145" s="847"/>
      <c r="AP145" s="847"/>
      <c r="AQ145" s="847"/>
      <c r="AR145" s="847"/>
      <c r="AS145" s="847"/>
      <c r="AT145" s="847"/>
      <c r="AU145" s="847"/>
      <c r="AV145" s="847"/>
      <c r="AW145" s="847"/>
      <c r="AX145" s="847"/>
      <c r="AY145" s="847"/>
      <c r="AZ145" s="847"/>
      <c r="BA145" s="847"/>
      <c r="BB145" s="847"/>
      <c r="BC145" s="847"/>
      <c r="BD145" s="847"/>
      <c r="BE145" s="847"/>
      <c r="BF145" s="847"/>
      <c r="BG145" s="847"/>
      <c r="BH145" s="847"/>
      <c r="BI145" s="847"/>
      <c r="BJ145" s="847"/>
      <c r="BK145" s="847"/>
      <c r="BL145" s="847"/>
      <c r="BM145" s="847"/>
      <c r="BN145" s="847"/>
      <c r="BO145" s="847"/>
      <c r="BP145" s="847"/>
      <c r="BQ145" s="847"/>
      <c r="BR145" s="847"/>
      <c r="BS145" s="847"/>
      <c r="BT145" s="847"/>
      <c r="BU145" s="847"/>
      <c r="BV145" s="847"/>
      <c r="BW145" s="847"/>
      <c r="BX145" s="847"/>
      <c r="BY145" s="847"/>
      <c r="BZ145" s="847"/>
      <c r="CA145" s="847"/>
      <c r="CB145" s="847"/>
    </row>
    <row r="146" spans="1:80" s="473" customFormat="1" x14ac:dyDescent="0.2">
      <c r="A146" s="1046"/>
      <c r="D146" s="473">
        <v>2010</v>
      </c>
      <c r="E146" s="1670">
        <v>125193</v>
      </c>
      <c r="F146" s="846"/>
      <c r="G146" s="846"/>
      <c r="H146" s="846">
        <f>E146/5</f>
        <v>25038.6</v>
      </c>
      <c r="I146" s="846">
        <f>H146</f>
        <v>25038.6</v>
      </c>
      <c r="J146" s="846">
        <f>I146</f>
        <v>25038.6</v>
      </c>
      <c r="K146" s="846">
        <f>J146</f>
        <v>25038.6</v>
      </c>
      <c r="L146" s="846">
        <f>K146</f>
        <v>25038.6</v>
      </c>
      <c r="M146" s="846"/>
      <c r="N146" s="846"/>
      <c r="O146" s="846"/>
      <c r="P146" s="1711"/>
      <c r="Q146" s="1684"/>
      <c r="R146" s="847"/>
      <c r="S146" s="847"/>
      <c r="T146" s="847"/>
      <c r="U146" s="847"/>
      <c r="V146" s="847"/>
      <c r="W146" s="847"/>
      <c r="X146" s="847"/>
      <c r="Y146" s="847"/>
      <c r="Z146" s="847"/>
      <c r="AA146" s="847"/>
      <c r="AB146" s="847"/>
      <c r="AC146" s="847"/>
      <c r="AD146" s="847"/>
      <c r="AE146" s="847"/>
      <c r="AF146" s="847"/>
      <c r="AG146" s="847"/>
      <c r="AH146" s="847"/>
      <c r="AI146" s="847"/>
      <c r="AJ146" s="847"/>
      <c r="AK146" s="847"/>
      <c r="AL146" s="847"/>
      <c r="AM146" s="847"/>
      <c r="AN146" s="847"/>
      <c r="AO146" s="847"/>
      <c r="AP146" s="847"/>
      <c r="AQ146" s="847"/>
      <c r="AR146" s="847"/>
      <c r="AS146" s="847"/>
      <c r="AT146" s="847"/>
      <c r="AU146" s="847"/>
      <c r="AV146" s="847"/>
      <c r="AW146" s="847"/>
      <c r="AX146" s="847"/>
      <c r="AY146" s="847"/>
      <c r="AZ146" s="847"/>
      <c r="BA146" s="847"/>
      <c r="BB146" s="847"/>
      <c r="BC146" s="847"/>
      <c r="BD146" s="847"/>
      <c r="BE146" s="847"/>
      <c r="BF146" s="847"/>
      <c r="BG146" s="847"/>
      <c r="BH146" s="847"/>
      <c r="BI146" s="847"/>
      <c r="BJ146" s="847"/>
      <c r="BK146" s="847"/>
      <c r="BL146" s="847"/>
      <c r="BM146" s="847"/>
      <c r="BN146" s="847"/>
      <c r="BO146" s="847"/>
      <c r="BP146" s="847"/>
      <c r="BQ146" s="847"/>
      <c r="BR146" s="847"/>
      <c r="BS146" s="847"/>
      <c r="BT146" s="847"/>
      <c r="BU146" s="847"/>
      <c r="BV146" s="847"/>
      <c r="BW146" s="847"/>
      <c r="BX146" s="847"/>
      <c r="BY146" s="847"/>
      <c r="BZ146" s="847"/>
      <c r="CA146" s="847"/>
      <c r="CB146" s="847"/>
    </row>
    <row r="147" spans="1:80" s="473" customFormat="1" x14ac:dyDescent="0.2">
      <c r="A147" s="1046"/>
      <c r="D147" s="473">
        <v>2011</v>
      </c>
      <c r="E147" s="1670">
        <v>83203</v>
      </c>
      <c r="F147" s="846"/>
      <c r="G147" s="846"/>
      <c r="H147" s="846"/>
      <c r="I147" s="846">
        <f>E147/5</f>
        <v>16640.599999999999</v>
      </c>
      <c r="J147" s="846">
        <f>I147</f>
        <v>16640.599999999999</v>
      </c>
      <c r="K147" s="846">
        <f>J147</f>
        <v>16640.599999999999</v>
      </c>
      <c r="L147" s="846">
        <f>K147</f>
        <v>16640.599999999999</v>
      </c>
      <c r="M147" s="846">
        <f>L147</f>
        <v>16640.599999999999</v>
      </c>
      <c r="N147" s="846"/>
      <c r="O147" s="846"/>
      <c r="P147" s="1711"/>
      <c r="Q147" s="1684"/>
      <c r="R147" s="847"/>
      <c r="S147" s="847"/>
      <c r="T147" s="847"/>
      <c r="U147" s="847"/>
      <c r="V147" s="847"/>
      <c r="W147" s="847"/>
      <c r="X147" s="847"/>
      <c r="Y147" s="847"/>
      <c r="Z147" s="847"/>
      <c r="AA147" s="847"/>
      <c r="AB147" s="847"/>
      <c r="AC147" s="847"/>
      <c r="AD147" s="847"/>
      <c r="AE147" s="847"/>
      <c r="AF147" s="847"/>
      <c r="AG147" s="847"/>
      <c r="AH147" s="847"/>
      <c r="AI147" s="847"/>
      <c r="AJ147" s="847"/>
      <c r="AK147" s="847"/>
      <c r="AL147" s="847"/>
      <c r="AM147" s="847"/>
      <c r="AN147" s="847"/>
      <c r="AO147" s="847"/>
      <c r="AP147" s="847"/>
      <c r="AQ147" s="847"/>
      <c r="AR147" s="847"/>
      <c r="AS147" s="847"/>
      <c r="AT147" s="847"/>
      <c r="AU147" s="847"/>
      <c r="AV147" s="847"/>
      <c r="AW147" s="847"/>
      <c r="AX147" s="847"/>
      <c r="AY147" s="847"/>
      <c r="AZ147" s="847"/>
      <c r="BA147" s="847"/>
      <c r="BB147" s="847"/>
      <c r="BC147" s="847"/>
      <c r="BD147" s="847"/>
      <c r="BE147" s="847"/>
      <c r="BF147" s="847"/>
      <c r="BG147" s="847"/>
      <c r="BH147" s="847"/>
      <c r="BI147" s="847"/>
      <c r="BJ147" s="847"/>
      <c r="BK147" s="847"/>
      <c r="BL147" s="847"/>
      <c r="BM147" s="847"/>
      <c r="BN147" s="847"/>
      <c r="BO147" s="847"/>
      <c r="BP147" s="847"/>
      <c r="BQ147" s="847"/>
      <c r="BR147" s="847"/>
      <c r="BS147" s="847"/>
      <c r="BT147" s="847"/>
      <c r="BU147" s="847"/>
      <c r="BV147" s="847"/>
      <c r="BW147" s="847"/>
      <c r="BX147" s="847"/>
      <c r="BY147" s="847"/>
      <c r="BZ147" s="847"/>
      <c r="CA147" s="847"/>
      <c r="CB147" s="847"/>
    </row>
    <row r="148" spans="1:80" s="473" customFormat="1" x14ac:dyDescent="0.2">
      <c r="A148" s="1046"/>
      <c r="D148" s="473">
        <v>2012</v>
      </c>
      <c r="E148" s="1670">
        <v>46388</v>
      </c>
      <c r="F148" s="846"/>
      <c r="G148" s="846"/>
      <c r="H148" s="846"/>
      <c r="I148" s="846"/>
      <c r="J148" s="846">
        <f>E148/5</f>
        <v>9277.6</v>
      </c>
      <c r="K148" s="846">
        <f>J148</f>
        <v>9277.6</v>
      </c>
      <c r="L148" s="846">
        <f>K148</f>
        <v>9277.6</v>
      </c>
      <c r="M148" s="846">
        <f>L148</f>
        <v>9277.6</v>
      </c>
      <c r="N148" s="846">
        <f>M148</f>
        <v>9277.6</v>
      </c>
      <c r="O148" s="846"/>
      <c r="P148" s="1711"/>
      <c r="Q148" s="1684"/>
      <c r="R148" s="847"/>
      <c r="S148" s="847"/>
      <c r="T148" s="847"/>
      <c r="U148" s="847"/>
      <c r="V148" s="847"/>
      <c r="W148" s="847"/>
      <c r="X148" s="847"/>
      <c r="Y148" s="847"/>
      <c r="Z148" s="847"/>
      <c r="AA148" s="847"/>
      <c r="AB148" s="847"/>
      <c r="AC148" s="847"/>
      <c r="AD148" s="847"/>
      <c r="AE148" s="847"/>
      <c r="AF148" s="847"/>
      <c r="AG148" s="847"/>
      <c r="AH148" s="847"/>
      <c r="AI148" s="847"/>
      <c r="AJ148" s="847"/>
      <c r="AK148" s="847"/>
      <c r="AL148" s="847"/>
      <c r="AM148" s="847"/>
      <c r="AN148" s="847"/>
      <c r="AO148" s="847"/>
      <c r="AP148" s="847"/>
      <c r="AQ148" s="847"/>
      <c r="AR148" s="847"/>
      <c r="AS148" s="847"/>
      <c r="AT148" s="847"/>
      <c r="AU148" s="847"/>
      <c r="AV148" s="847"/>
      <c r="AW148" s="847"/>
      <c r="AX148" s="847"/>
      <c r="AY148" s="847"/>
      <c r="AZ148" s="847"/>
      <c r="BA148" s="847"/>
      <c r="BB148" s="847"/>
      <c r="BC148" s="847"/>
      <c r="BD148" s="847"/>
      <c r="BE148" s="847"/>
      <c r="BF148" s="847"/>
      <c r="BG148" s="847"/>
      <c r="BH148" s="847"/>
      <c r="BI148" s="847"/>
      <c r="BJ148" s="847"/>
      <c r="BK148" s="847"/>
      <c r="BL148" s="847"/>
      <c r="BM148" s="847"/>
      <c r="BN148" s="847"/>
      <c r="BO148" s="847"/>
      <c r="BP148" s="847"/>
      <c r="BQ148" s="847"/>
      <c r="BR148" s="847"/>
      <c r="BS148" s="847"/>
      <c r="BT148" s="847"/>
      <c r="BU148" s="847"/>
      <c r="BV148" s="847"/>
      <c r="BW148" s="847"/>
      <c r="BX148" s="847"/>
      <c r="BY148" s="847"/>
      <c r="BZ148" s="847"/>
      <c r="CA148" s="847"/>
      <c r="CB148" s="847"/>
    </row>
    <row r="149" spans="1:80" s="473" customFormat="1" x14ac:dyDescent="0.2">
      <c r="A149" s="1046"/>
      <c r="D149" s="473" t="s">
        <v>69</v>
      </c>
      <c r="E149" s="1670">
        <f>SUM(E144:E148)</f>
        <v>677944</v>
      </c>
      <c r="F149" s="846"/>
      <c r="G149" s="846"/>
      <c r="H149" s="846"/>
      <c r="I149" s="846"/>
      <c r="J149" s="846"/>
      <c r="K149" s="846"/>
      <c r="L149" s="846"/>
      <c r="M149" s="846"/>
      <c r="N149" s="846"/>
      <c r="O149" s="846"/>
      <c r="P149" s="1711"/>
      <c r="Q149" s="1684"/>
      <c r="R149" s="847"/>
      <c r="S149" s="847"/>
      <c r="T149" s="847"/>
      <c r="U149" s="847"/>
      <c r="V149" s="847"/>
      <c r="W149" s="847"/>
      <c r="X149" s="847"/>
      <c r="Y149" s="847"/>
      <c r="Z149" s="847"/>
      <c r="AA149" s="847"/>
      <c r="AB149" s="847"/>
      <c r="AC149" s="847"/>
      <c r="AD149" s="847"/>
      <c r="AE149" s="847"/>
      <c r="AF149" s="847"/>
      <c r="AG149" s="847"/>
      <c r="AH149" s="847"/>
      <c r="AI149" s="847"/>
      <c r="AJ149" s="847"/>
      <c r="AK149" s="847"/>
      <c r="AL149" s="847"/>
      <c r="AM149" s="847"/>
      <c r="AN149" s="847"/>
      <c r="AO149" s="847"/>
      <c r="AP149" s="847"/>
      <c r="AQ149" s="847"/>
      <c r="AR149" s="847"/>
      <c r="AS149" s="847"/>
      <c r="AT149" s="847"/>
      <c r="AU149" s="847"/>
      <c r="AV149" s="847"/>
      <c r="AW149" s="847"/>
      <c r="AX149" s="847"/>
      <c r="AY149" s="847"/>
      <c r="AZ149" s="847"/>
      <c r="BA149" s="847"/>
      <c r="BB149" s="847"/>
      <c r="BC149" s="847"/>
      <c r="BD149" s="847"/>
      <c r="BE149" s="847"/>
      <c r="BF149" s="847"/>
      <c r="BG149" s="847"/>
      <c r="BH149" s="847"/>
      <c r="BI149" s="847"/>
      <c r="BJ149" s="847"/>
      <c r="BK149" s="847"/>
      <c r="BL149" s="847"/>
      <c r="BM149" s="847"/>
      <c r="BN149" s="847"/>
      <c r="BO149" s="847"/>
      <c r="BP149" s="847"/>
      <c r="BQ149" s="847"/>
      <c r="BR149" s="847"/>
      <c r="BS149" s="847"/>
      <c r="BT149" s="847"/>
      <c r="BU149" s="847"/>
      <c r="BV149" s="847"/>
      <c r="BW149" s="847"/>
      <c r="BX149" s="847"/>
      <c r="BY149" s="847"/>
      <c r="BZ149" s="847"/>
      <c r="CA149" s="847"/>
      <c r="CB149" s="847"/>
    </row>
    <row r="150" spans="1:80" x14ac:dyDescent="0.2">
      <c r="A150" s="430"/>
      <c r="B150" s="39"/>
      <c r="C150" s="39"/>
      <c r="D150" s="39"/>
      <c r="E150" s="1671"/>
      <c r="F150" s="66"/>
      <c r="G150" s="66"/>
      <c r="H150" s="66"/>
      <c r="I150" s="66"/>
      <c r="J150" s="66"/>
      <c r="K150" s="66"/>
      <c r="L150" s="66"/>
      <c r="M150" s="66"/>
      <c r="N150" s="66"/>
      <c r="O150" s="66"/>
      <c r="P150" s="1712"/>
      <c r="Q150" s="1685"/>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c r="BZ150" s="288"/>
      <c r="CA150" s="288"/>
      <c r="CB150" s="288"/>
    </row>
    <row r="151" spans="1:80" s="473" customFormat="1" x14ac:dyDescent="0.2">
      <c r="A151" s="1046" t="s">
        <v>128</v>
      </c>
      <c r="D151" s="473">
        <v>2008</v>
      </c>
      <c r="E151" s="1670">
        <v>77540</v>
      </c>
      <c r="F151" s="846">
        <f>E151/5</f>
        <v>15508</v>
      </c>
      <c r="G151" s="846">
        <f>F151</f>
        <v>15508</v>
      </c>
      <c r="H151" s="846">
        <f>G151</f>
        <v>15508</v>
      </c>
      <c r="I151" s="846">
        <f>H151</f>
        <v>15508</v>
      </c>
      <c r="J151" s="846">
        <f>I151</f>
        <v>15508</v>
      </c>
      <c r="K151" s="846"/>
      <c r="L151" s="846"/>
      <c r="M151" s="846"/>
      <c r="N151" s="846"/>
      <c r="O151" s="846"/>
      <c r="P151" s="1711"/>
      <c r="Q151" s="1684"/>
      <c r="R151" s="847"/>
      <c r="S151" s="847"/>
      <c r="T151" s="847"/>
      <c r="U151" s="847"/>
      <c r="V151" s="847"/>
      <c r="W151" s="847"/>
      <c r="X151" s="847"/>
      <c r="Y151" s="847"/>
      <c r="Z151" s="847"/>
      <c r="AA151" s="847"/>
      <c r="AB151" s="847"/>
      <c r="AC151" s="847"/>
      <c r="AD151" s="847"/>
      <c r="AE151" s="847"/>
      <c r="AF151" s="847"/>
      <c r="AG151" s="847"/>
      <c r="AH151" s="847"/>
      <c r="AI151" s="847"/>
      <c r="AJ151" s="847"/>
      <c r="AK151" s="847"/>
      <c r="AL151" s="847"/>
      <c r="AM151" s="847"/>
      <c r="AN151" s="847"/>
      <c r="AO151" s="847"/>
      <c r="AP151" s="847"/>
      <c r="AQ151" s="847"/>
      <c r="AR151" s="847"/>
      <c r="AS151" s="847"/>
      <c r="AT151" s="847"/>
      <c r="AU151" s="847"/>
      <c r="AV151" s="847"/>
      <c r="AW151" s="847"/>
      <c r="AX151" s="847"/>
      <c r="AY151" s="847"/>
      <c r="AZ151" s="847"/>
      <c r="BA151" s="847"/>
      <c r="BB151" s="847"/>
      <c r="BC151" s="847"/>
      <c r="BD151" s="847"/>
      <c r="BE151" s="847"/>
      <c r="BF151" s="847"/>
      <c r="BG151" s="847"/>
      <c r="BH151" s="847"/>
      <c r="BI151" s="847"/>
      <c r="BJ151" s="847"/>
      <c r="BK151" s="847"/>
      <c r="BL151" s="847"/>
      <c r="BM151" s="847"/>
      <c r="BN151" s="847"/>
      <c r="BO151" s="847"/>
      <c r="BP151" s="847"/>
      <c r="BQ151" s="847"/>
      <c r="BR151" s="847"/>
      <c r="BS151" s="847"/>
      <c r="BT151" s="847"/>
      <c r="BU151" s="847"/>
      <c r="BV151" s="847"/>
      <c r="BW151" s="847"/>
      <c r="BX151" s="847"/>
      <c r="BY151" s="847"/>
      <c r="BZ151" s="847"/>
      <c r="CA151" s="847"/>
      <c r="CB151" s="847"/>
    </row>
    <row r="152" spans="1:80" s="473" customFormat="1" x14ac:dyDescent="0.2">
      <c r="A152" s="1046"/>
      <c r="D152" s="473">
        <v>2009</v>
      </c>
      <c r="E152" s="1670">
        <v>24112</v>
      </c>
      <c r="F152" s="846"/>
      <c r="G152" s="846">
        <f>E152/5</f>
        <v>4822.3999999999996</v>
      </c>
      <c r="H152" s="846">
        <f>G152</f>
        <v>4822.3999999999996</v>
      </c>
      <c r="I152" s="846">
        <f>H152</f>
        <v>4822.3999999999996</v>
      </c>
      <c r="J152" s="846">
        <f>I152</f>
        <v>4822.3999999999996</v>
      </c>
      <c r="K152" s="846">
        <f>J152</f>
        <v>4822.3999999999996</v>
      </c>
      <c r="L152" s="846"/>
      <c r="M152" s="846"/>
      <c r="N152" s="846"/>
      <c r="O152" s="846"/>
      <c r="P152" s="1711"/>
      <c r="Q152" s="1684"/>
      <c r="R152" s="847"/>
      <c r="S152" s="847"/>
      <c r="T152" s="847"/>
      <c r="U152" s="847"/>
      <c r="V152" s="847"/>
      <c r="W152" s="847"/>
      <c r="X152" s="847"/>
      <c r="Y152" s="847"/>
      <c r="Z152" s="847"/>
      <c r="AA152" s="847"/>
      <c r="AB152" s="847"/>
      <c r="AC152" s="847"/>
      <c r="AD152" s="847"/>
      <c r="AE152" s="847"/>
      <c r="AF152" s="847"/>
      <c r="AG152" s="847"/>
      <c r="AH152" s="847"/>
      <c r="AI152" s="847"/>
      <c r="AJ152" s="847"/>
      <c r="AK152" s="847"/>
      <c r="AL152" s="847"/>
      <c r="AM152" s="847"/>
      <c r="AN152" s="847"/>
      <c r="AO152" s="847"/>
      <c r="AP152" s="847"/>
      <c r="AQ152" s="847"/>
      <c r="AR152" s="847"/>
      <c r="AS152" s="847"/>
      <c r="AT152" s="847"/>
      <c r="AU152" s="847"/>
      <c r="AV152" s="847"/>
      <c r="AW152" s="847"/>
      <c r="AX152" s="847"/>
      <c r="AY152" s="847"/>
      <c r="AZ152" s="847"/>
      <c r="BA152" s="847"/>
      <c r="BB152" s="847"/>
      <c r="BC152" s="847"/>
      <c r="BD152" s="847"/>
      <c r="BE152" s="847"/>
      <c r="BF152" s="847"/>
      <c r="BG152" s="847"/>
      <c r="BH152" s="847"/>
      <c r="BI152" s="847"/>
      <c r="BJ152" s="847"/>
      <c r="BK152" s="847"/>
      <c r="BL152" s="847"/>
      <c r="BM152" s="847"/>
      <c r="BN152" s="847"/>
      <c r="BO152" s="847"/>
      <c r="BP152" s="847"/>
      <c r="BQ152" s="847"/>
      <c r="BR152" s="847"/>
      <c r="BS152" s="847"/>
      <c r="BT152" s="847"/>
      <c r="BU152" s="847"/>
      <c r="BV152" s="847"/>
      <c r="BW152" s="847"/>
      <c r="BX152" s="847"/>
      <c r="BY152" s="847"/>
      <c r="BZ152" s="847"/>
      <c r="CA152" s="847"/>
      <c r="CB152" s="847"/>
    </row>
    <row r="153" spans="1:80" s="473" customFormat="1" x14ac:dyDescent="0.2">
      <c r="A153" s="1046"/>
      <c r="D153" s="473">
        <v>2010</v>
      </c>
      <c r="E153" s="1670">
        <v>22237</v>
      </c>
      <c r="F153" s="846"/>
      <c r="G153" s="846"/>
      <c r="H153" s="846">
        <f>E153/5</f>
        <v>4447.3999999999996</v>
      </c>
      <c r="I153" s="846">
        <f>H153</f>
        <v>4447.3999999999996</v>
      </c>
      <c r="J153" s="846">
        <f>I153</f>
        <v>4447.3999999999996</v>
      </c>
      <c r="K153" s="846">
        <f>J153</f>
        <v>4447.3999999999996</v>
      </c>
      <c r="L153" s="846">
        <f>K153</f>
        <v>4447.3999999999996</v>
      </c>
      <c r="M153" s="846"/>
      <c r="N153" s="846"/>
      <c r="O153" s="846"/>
      <c r="P153" s="1711"/>
      <c r="Q153" s="1684"/>
      <c r="R153" s="847"/>
      <c r="S153" s="847"/>
      <c r="T153" s="847"/>
      <c r="U153" s="847"/>
      <c r="V153" s="847"/>
      <c r="W153" s="847"/>
      <c r="X153" s="847"/>
      <c r="Y153" s="847"/>
      <c r="Z153" s="847"/>
      <c r="AA153" s="847"/>
      <c r="AB153" s="847"/>
      <c r="AC153" s="847"/>
      <c r="AD153" s="847"/>
      <c r="AE153" s="847"/>
      <c r="AF153" s="847"/>
      <c r="AG153" s="847"/>
      <c r="AH153" s="847"/>
      <c r="AI153" s="847"/>
      <c r="AJ153" s="847"/>
      <c r="AK153" s="847"/>
      <c r="AL153" s="847"/>
      <c r="AM153" s="847"/>
      <c r="AN153" s="847"/>
      <c r="AO153" s="847"/>
      <c r="AP153" s="847"/>
      <c r="AQ153" s="847"/>
      <c r="AR153" s="847"/>
      <c r="AS153" s="847"/>
      <c r="AT153" s="847"/>
      <c r="AU153" s="847"/>
      <c r="AV153" s="847"/>
      <c r="AW153" s="847"/>
      <c r="AX153" s="847"/>
      <c r="AY153" s="847"/>
      <c r="AZ153" s="847"/>
      <c r="BA153" s="847"/>
      <c r="BB153" s="847"/>
      <c r="BC153" s="847"/>
      <c r="BD153" s="847"/>
      <c r="BE153" s="847"/>
      <c r="BF153" s="847"/>
      <c r="BG153" s="847"/>
      <c r="BH153" s="847"/>
      <c r="BI153" s="847"/>
      <c r="BJ153" s="847"/>
      <c r="BK153" s="847"/>
      <c r="BL153" s="847"/>
      <c r="BM153" s="847"/>
      <c r="BN153" s="847"/>
      <c r="BO153" s="847"/>
      <c r="BP153" s="847"/>
      <c r="BQ153" s="847"/>
      <c r="BR153" s="847"/>
      <c r="BS153" s="847"/>
      <c r="BT153" s="847"/>
      <c r="BU153" s="847"/>
      <c r="BV153" s="847"/>
      <c r="BW153" s="847"/>
      <c r="BX153" s="847"/>
      <c r="BY153" s="847"/>
      <c r="BZ153" s="847"/>
      <c r="CA153" s="847"/>
      <c r="CB153" s="847"/>
    </row>
    <row r="154" spans="1:80" s="473" customFormat="1" x14ac:dyDescent="0.2">
      <c r="A154" s="1046"/>
      <c r="D154" s="473">
        <v>2011</v>
      </c>
      <c r="E154" s="1670">
        <v>16143</v>
      </c>
      <c r="F154" s="846"/>
      <c r="G154" s="846"/>
      <c r="H154" s="846"/>
      <c r="I154" s="846">
        <f>E154/5</f>
        <v>3228.6</v>
      </c>
      <c r="J154" s="846">
        <f>I154</f>
        <v>3228.6</v>
      </c>
      <c r="K154" s="846">
        <f>J154</f>
        <v>3228.6</v>
      </c>
      <c r="L154" s="846">
        <f>K154</f>
        <v>3228.6</v>
      </c>
      <c r="M154" s="846">
        <f>L154</f>
        <v>3228.6</v>
      </c>
      <c r="N154" s="846"/>
      <c r="O154" s="846"/>
      <c r="P154" s="1711"/>
      <c r="Q154" s="1684"/>
      <c r="R154" s="847"/>
      <c r="S154" s="847"/>
      <c r="T154" s="847"/>
      <c r="U154" s="847"/>
      <c r="V154" s="847"/>
      <c r="W154" s="847"/>
      <c r="X154" s="847"/>
      <c r="Y154" s="847"/>
      <c r="Z154" s="847"/>
      <c r="AA154" s="847"/>
      <c r="AB154" s="847"/>
      <c r="AC154" s="847"/>
      <c r="AD154" s="847"/>
      <c r="AE154" s="847"/>
      <c r="AF154" s="847"/>
      <c r="AG154" s="847"/>
      <c r="AH154" s="847"/>
      <c r="AI154" s="847"/>
      <c r="AJ154" s="847"/>
      <c r="AK154" s="847"/>
      <c r="AL154" s="847"/>
      <c r="AM154" s="847"/>
      <c r="AN154" s="847"/>
      <c r="AO154" s="847"/>
      <c r="AP154" s="847"/>
      <c r="AQ154" s="847"/>
      <c r="AR154" s="847"/>
      <c r="AS154" s="847"/>
      <c r="AT154" s="847"/>
      <c r="AU154" s="847"/>
      <c r="AV154" s="847"/>
      <c r="AW154" s="847"/>
      <c r="AX154" s="847"/>
      <c r="AY154" s="847"/>
      <c r="AZ154" s="847"/>
      <c r="BA154" s="847"/>
      <c r="BB154" s="847"/>
      <c r="BC154" s="847"/>
      <c r="BD154" s="847"/>
      <c r="BE154" s="847"/>
      <c r="BF154" s="847"/>
      <c r="BG154" s="847"/>
      <c r="BH154" s="847"/>
      <c r="BI154" s="847"/>
      <c r="BJ154" s="847"/>
      <c r="BK154" s="847"/>
      <c r="BL154" s="847"/>
      <c r="BM154" s="847"/>
      <c r="BN154" s="847"/>
      <c r="BO154" s="847"/>
      <c r="BP154" s="847"/>
      <c r="BQ154" s="847"/>
      <c r="BR154" s="847"/>
      <c r="BS154" s="847"/>
      <c r="BT154" s="847"/>
      <c r="BU154" s="847"/>
      <c r="BV154" s="847"/>
      <c r="BW154" s="847"/>
      <c r="BX154" s="847"/>
      <c r="BY154" s="847"/>
      <c r="BZ154" s="847"/>
      <c r="CA154" s="847"/>
      <c r="CB154" s="847"/>
    </row>
    <row r="155" spans="1:80" s="473" customFormat="1" x14ac:dyDescent="0.2">
      <c r="A155" s="1046"/>
      <c r="D155" s="473">
        <v>2012</v>
      </c>
      <c r="E155" s="1670">
        <v>16095</v>
      </c>
      <c r="F155" s="846"/>
      <c r="G155" s="846"/>
      <c r="H155" s="846"/>
      <c r="I155" s="846"/>
      <c r="J155" s="846">
        <f>E155/5</f>
        <v>3219</v>
      </c>
      <c r="K155" s="846">
        <f>J155</f>
        <v>3219</v>
      </c>
      <c r="L155" s="846">
        <f>K155</f>
        <v>3219</v>
      </c>
      <c r="M155" s="846">
        <f>L155</f>
        <v>3219</v>
      </c>
      <c r="N155" s="846">
        <f>M155</f>
        <v>3219</v>
      </c>
      <c r="O155" s="846"/>
      <c r="P155" s="1711"/>
      <c r="Q155" s="1684"/>
      <c r="R155" s="847"/>
      <c r="S155" s="847"/>
      <c r="T155" s="847"/>
      <c r="U155" s="847"/>
      <c r="V155" s="847"/>
      <c r="W155" s="847"/>
      <c r="X155" s="847"/>
      <c r="Y155" s="847"/>
      <c r="Z155" s="847"/>
      <c r="AA155" s="847"/>
      <c r="AB155" s="847"/>
      <c r="AC155" s="847"/>
      <c r="AD155" s="847"/>
      <c r="AE155" s="847"/>
      <c r="AF155" s="847"/>
      <c r="AG155" s="847"/>
      <c r="AH155" s="847"/>
      <c r="AI155" s="847"/>
      <c r="AJ155" s="847"/>
      <c r="AK155" s="847"/>
      <c r="AL155" s="847"/>
      <c r="AM155" s="847"/>
      <c r="AN155" s="847"/>
      <c r="AO155" s="847"/>
      <c r="AP155" s="847"/>
      <c r="AQ155" s="847"/>
      <c r="AR155" s="847"/>
      <c r="AS155" s="847"/>
      <c r="AT155" s="847"/>
      <c r="AU155" s="847"/>
      <c r="AV155" s="847"/>
      <c r="AW155" s="847"/>
      <c r="AX155" s="847"/>
      <c r="AY155" s="847"/>
      <c r="AZ155" s="847"/>
      <c r="BA155" s="847"/>
      <c r="BB155" s="847"/>
      <c r="BC155" s="847"/>
      <c r="BD155" s="847"/>
      <c r="BE155" s="847"/>
      <c r="BF155" s="847"/>
      <c r="BG155" s="847"/>
      <c r="BH155" s="847"/>
      <c r="BI155" s="847"/>
      <c r="BJ155" s="847"/>
      <c r="BK155" s="847"/>
      <c r="BL155" s="847"/>
      <c r="BM155" s="847"/>
      <c r="BN155" s="847"/>
      <c r="BO155" s="847"/>
      <c r="BP155" s="847"/>
      <c r="BQ155" s="847"/>
      <c r="BR155" s="847"/>
      <c r="BS155" s="847"/>
      <c r="BT155" s="847"/>
      <c r="BU155" s="847"/>
      <c r="BV155" s="847"/>
      <c r="BW155" s="847"/>
      <c r="BX155" s="847"/>
      <c r="BY155" s="847"/>
      <c r="BZ155" s="847"/>
      <c r="CA155" s="847"/>
      <c r="CB155" s="847"/>
    </row>
    <row r="156" spans="1:80" s="473" customFormat="1" x14ac:dyDescent="0.2">
      <c r="A156" s="1046"/>
      <c r="D156" s="473" t="s">
        <v>69</v>
      </c>
      <c r="E156" s="1670">
        <f>SUM(E151:E155)</f>
        <v>156127</v>
      </c>
      <c r="F156" s="846"/>
      <c r="G156" s="846"/>
      <c r="H156" s="846"/>
      <c r="I156" s="846"/>
      <c r="J156" s="846"/>
      <c r="K156" s="846"/>
      <c r="L156" s="846"/>
      <c r="M156" s="846"/>
      <c r="N156" s="846"/>
      <c r="O156" s="846"/>
      <c r="P156" s="1711"/>
      <c r="Q156" s="1684"/>
      <c r="R156" s="847"/>
      <c r="S156" s="847"/>
      <c r="T156" s="847"/>
      <c r="U156" s="847"/>
      <c r="V156" s="847"/>
      <c r="W156" s="847"/>
      <c r="X156" s="847"/>
      <c r="Y156" s="847"/>
      <c r="Z156" s="847"/>
      <c r="AA156" s="847"/>
      <c r="AB156" s="847"/>
      <c r="AC156" s="847"/>
      <c r="AD156" s="847"/>
      <c r="AE156" s="847"/>
      <c r="AF156" s="847"/>
      <c r="AG156" s="847"/>
      <c r="AH156" s="847"/>
      <c r="AI156" s="847"/>
      <c r="AJ156" s="847"/>
      <c r="AK156" s="847"/>
      <c r="AL156" s="847"/>
      <c r="AM156" s="847"/>
      <c r="AN156" s="847"/>
      <c r="AO156" s="847"/>
      <c r="AP156" s="847"/>
      <c r="AQ156" s="847"/>
      <c r="AR156" s="847"/>
      <c r="AS156" s="847"/>
      <c r="AT156" s="847"/>
      <c r="AU156" s="847"/>
      <c r="AV156" s="847"/>
      <c r="AW156" s="847"/>
      <c r="AX156" s="847"/>
      <c r="AY156" s="847"/>
      <c r="AZ156" s="847"/>
      <c r="BA156" s="847"/>
      <c r="BB156" s="847"/>
      <c r="BC156" s="847"/>
      <c r="BD156" s="847"/>
      <c r="BE156" s="847"/>
      <c r="BF156" s="847"/>
      <c r="BG156" s="847"/>
      <c r="BH156" s="847"/>
      <c r="BI156" s="847"/>
      <c r="BJ156" s="847"/>
      <c r="BK156" s="847"/>
      <c r="BL156" s="847"/>
      <c r="BM156" s="847"/>
      <c r="BN156" s="847"/>
      <c r="BO156" s="847"/>
      <c r="BP156" s="847"/>
      <c r="BQ156" s="847"/>
      <c r="BR156" s="847"/>
      <c r="BS156" s="847"/>
      <c r="BT156" s="847"/>
      <c r="BU156" s="847"/>
      <c r="BV156" s="847"/>
      <c r="BW156" s="847"/>
      <c r="BX156" s="847"/>
      <c r="BY156" s="847"/>
      <c r="BZ156" s="847"/>
      <c r="CA156" s="847"/>
      <c r="CB156" s="847"/>
    </row>
    <row r="157" spans="1:80" x14ac:dyDescent="0.2">
      <c r="A157" s="430"/>
      <c r="B157" s="39"/>
      <c r="C157" s="39"/>
      <c r="D157" s="39"/>
      <c r="E157" s="1671"/>
      <c r="F157" s="66"/>
      <c r="G157" s="66"/>
      <c r="H157" s="66"/>
      <c r="I157" s="66"/>
      <c r="J157" s="66"/>
      <c r="K157" s="66"/>
      <c r="L157" s="66"/>
      <c r="M157" s="66"/>
      <c r="N157" s="66"/>
      <c r="O157" s="66"/>
      <c r="P157" s="1712"/>
      <c r="Q157" s="1685"/>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c r="BZ157" s="288"/>
      <c r="CA157" s="288"/>
      <c r="CB157" s="288"/>
    </row>
    <row r="158" spans="1:80" s="473" customFormat="1" x14ac:dyDescent="0.2">
      <c r="A158" s="1046" t="s">
        <v>124</v>
      </c>
      <c r="D158" s="473">
        <v>2008</v>
      </c>
      <c r="E158" s="1670">
        <v>0</v>
      </c>
      <c r="F158" s="846">
        <f>E158/5</f>
        <v>0</v>
      </c>
      <c r="G158" s="846">
        <v>0</v>
      </c>
      <c r="H158" s="846">
        <v>0</v>
      </c>
      <c r="I158" s="846">
        <v>0</v>
      </c>
      <c r="J158" s="846">
        <v>0</v>
      </c>
      <c r="K158" s="846"/>
      <c r="L158" s="846"/>
      <c r="M158" s="846"/>
      <c r="N158" s="846"/>
      <c r="O158" s="846"/>
      <c r="P158" s="1711"/>
      <c r="Q158" s="1684"/>
      <c r="R158" s="847"/>
      <c r="S158" s="847"/>
      <c r="T158" s="847"/>
      <c r="U158" s="847"/>
      <c r="V158" s="847"/>
      <c r="W158" s="847"/>
      <c r="X158" s="847"/>
      <c r="Y158" s="847"/>
      <c r="Z158" s="847"/>
      <c r="AA158" s="847"/>
      <c r="AB158" s="847"/>
      <c r="AC158" s="847"/>
      <c r="AD158" s="847"/>
      <c r="AE158" s="847"/>
      <c r="AF158" s="847"/>
      <c r="AG158" s="847"/>
      <c r="AH158" s="847"/>
      <c r="AI158" s="847"/>
      <c r="AJ158" s="847"/>
      <c r="AK158" s="847"/>
      <c r="AL158" s="847"/>
      <c r="AM158" s="847"/>
      <c r="AN158" s="847"/>
      <c r="AO158" s="847"/>
      <c r="AP158" s="847"/>
      <c r="AQ158" s="847"/>
      <c r="AR158" s="847"/>
      <c r="AS158" s="847"/>
      <c r="AT158" s="847"/>
      <c r="AU158" s="847"/>
      <c r="AV158" s="847"/>
      <c r="AW158" s="847"/>
      <c r="AX158" s="847"/>
      <c r="AY158" s="847"/>
      <c r="AZ158" s="847"/>
      <c r="BA158" s="847"/>
      <c r="BB158" s="847"/>
      <c r="BC158" s="847"/>
      <c r="BD158" s="847"/>
      <c r="BE158" s="847"/>
      <c r="BF158" s="847"/>
      <c r="BG158" s="847"/>
      <c r="BH158" s="847"/>
      <c r="BI158" s="847"/>
      <c r="BJ158" s="847"/>
      <c r="BK158" s="847"/>
      <c r="BL158" s="847"/>
      <c r="BM158" s="847"/>
      <c r="BN158" s="847"/>
      <c r="BO158" s="847"/>
      <c r="BP158" s="847"/>
      <c r="BQ158" s="847"/>
      <c r="BR158" s="847"/>
      <c r="BS158" s="847"/>
      <c r="BT158" s="847"/>
      <c r="BU158" s="847"/>
      <c r="BV158" s="847"/>
      <c r="BW158" s="847"/>
      <c r="BX158" s="847"/>
      <c r="BY158" s="847"/>
      <c r="BZ158" s="847"/>
      <c r="CA158" s="847"/>
      <c r="CB158" s="847"/>
    </row>
    <row r="159" spans="1:80" s="473" customFormat="1" x14ac:dyDescent="0.2">
      <c r="A159" s="1046"/>
      <c r="D159" s="473">
        <v>2009</v>
      </c>
      <c r="E159" s="1670">
        <v>381514</v>
      </c>
      <c r="F159" s="846"/>
      <c r="G159" s="846">
        <f>E159/5</f>
        <v>76302.8</v>
      </c>
      <c r="H159" s="846">
        <f>G159</f>
        <v>76302.8</v>
      </c>
      <c r="I159" s="846">
        <f>H159</f>
        <v>76302.8</v>
      </c>
      <c r="J159" s="846">
        <f>I159</f>
        <v>76302.8</v>
      </c>
      <c r="K159" s="846">
        <f>J159</f>
        <v>76302.8</v>
      </c>
      <c r="L159" s="846"/>
      <c r="M159" s="846"/>
      <c r="N159" s="846"/>
      <c r="O159" s="846"/>
      <c r="P159" s="1711"/>
      <c r="Q159" s="1684"/>
      <c r="R159" s="847"/>
      <c r="S159" s="847"/>
      <c r="T159" s="847"/>
      <c r="U159" s="847"/>
      <c r="V159" s="847"/>
      <c r="W159" s="847"/>
      <c r="X159" s="847"/>
      <c r="Y159" s="847"/>
      <c r="Z159" s="847"/>
      <c r="AA159" s="847"/>
      <c r="AB159" s="847"/>
      <c r="AC159" s="847"/>
      <c r="AD159" s="847"/>
      <c r="AE159" s="847"/>
      <c r="AF159" s="847"/>
      <c r="AG159" s="847"/>
      <c r="AH159" s="847"/>
      <c r="AI159" s="847"/>
      <c r="AJ159" s="847"/>
      <c r="AK159" s="847"/>
      <c r="AL159" s="847"/>
      <c r="AM159" s="847"/>
      <c r="AN159" s="847"/>
      <c r="AO159" s="847"/>
      <c r="AP159" s="847"/>
      <c r="AQ159" s="847"/>
      <c r="AR159" s="847"/>
      <c r="AS159" s="847"/>
      <c r="AT159" s="847"/>
      <c r="AU159" s="847"/>
      <c r="AV159" s="847"/>
      <c r="AW159" s="847"/>
      <c r="AX159" s="847"/>
      <c r="AY159" s="847"/>
      <c r="AZ159" s="847"/>
      <c r="BA159" s="847"/>
      <c r="BB159" s="847"/>
      <c r="BC159" s="847"/>
      <c r="BD159" s="847"/>
      <c r="BE159" s="847"/>
      <c r="BF159" s="847"/>
      <c r="BG159" s="847"/>
      <c r="BH159" s="847"/>
      <c r="BI159" s="847"/>
      <c r="BJ159" s="847"/>
      <c r="BK159" s="847"/>
      <c r="BL159" s="847"/>
      <c r="BM159" s="847"/>
      <c r="BN159" s="847"/>
      <c r="BO159" s="847"/>
      <c r="BP159" s="847"/>
      <c r="BQ159" s="847"/>
      <c r="BR159" s="847"/>
      <c r="BS159" s="847"/>
      <c r="BT159" s="847"/>
      <c r="BU159" s="847"/>
      <c r="BV159" s="847"/>
      <c r="BW159" s="847"/>
      <c r="BX159" s="847"/>
      <c r="BY159" s="847"/>
      <c r="BZ159" s="847"/>
      <c r="CA159" s="847"/>
      <c r="CB159" s="847"/>
    </row>
    <row r="160" spans="1:80" s="473" customFormat="1" x14ac:dyDescent="0.2">
      <c r="A160" s="1046"/>
      <c r="D160" s="473">
        <v>2010</v>
      </c>
      <c r="E160" s="1670">
        <v>402093</v>
      </c>
      <c r="F160" s="846"/>
      <c r="G160" s="846"/>
      <c r="H160" s="846">
        <f>E160/5</f>
        <v>80418.600000000006</v>
      </c>
      <c r="I160" s="846">
        <f>H160</f>
        <v>80418.600000000006</v>
      </c>
      <c r="J160" s="846">
        <f>I160</f>
        <v>80418.600000000006</v>
      </c>
      <c r="K160" s="846">
        <f>J160</f>
        <v>80418.600000000006</v>
      </c>
      <c r="L160" s="846">
        <f>K160</f>
        <v>80418.600000000006</v>
      </c>
      <c r="M160" s="846"/>
      <c r="N160" s="846"/>
      <c r="O160" s="846"/>
      <c r="P160" s="1711"/>
      <c r="Q160" s="1684"/>
      <c r="R160" s="847"/>
      <c r="S160" s="847"/>
      <c r="T160" s="847"/>
      <c r="U160" s="847"/>
      <c r="V160" s="847"/>
      <c r="W160" s="847"/>
      <c r="X160" s="847"/>
      <c r="Y160" s="847"/>
      <c r="Z160" s="847"/>
      <c r="AA160" s="847"/>
      <c r="AB160" s="847"/>
      <c r="AC160" s="847"/>
      <c r="AD160" s="847"/>
      <c r="AE160" s="847"/>
      <c r="AF160" s="847"/>
      <c r="AG160" s="847"/>
      <c r="AH160" s="847"/>
      <c r="AI160" s="847"/>
      <c r="AJ160" s="847"/>
      <c r="AK160" s="847"/>
      <c r="AL160" s="847"/>
      <c r="AM160" s="847"/>
      <c r="AN160" s="847"/>
      <c r="AO160" s="847"/>
      <c r="AP160" s="847"/>
      <c r="AQ160" s="847"/>
      <c r="AR160" s="847"/>
      <c r="AS160" s="847"/>
      <c r="AT160" s="847"/>
      <c r="AU160" s="847"/>
      <c r="AV160" s="847"/>
      <c r="AW160" s="847"/>
      <c r="AX160" s="847"/>
      <c r="AY160" s="847"/>
      <c r="AZ160" s="847"/>
      <c r="BA160" s="847"/>
      <c r="BB160" s="847"/>
      <c r="BC160" s="847"/>
      <c r="BD160" s="847"/>
      <c r="BE160" s="847"/>
      <c r="BF160" s="847"/>
      <c r="BG160" s="847"/>
      <c r="BH160" s="847"/>
      <c r="BI160" s="847"/>
      <c r="BJ160" s="847"/>
      <c r="BK160" s="847"/>
      <c r="BL160" s="847"/>
      <c r="BM160" s="847"/>
      <c r="BN160" s="847"/>
      <c r="BO160" s="847"/>
      <c r="BP160" s="847"/>
      <c r="BQ160" s="847"/>
      <c r="BR160" s="847"/>
      <c r="BS160" s="847"/>
      <c r="BT160" s="847"/>
      <c r="BU160" s="847"/>
      <c r="BV160" s="847"/>
      <c r="BW160" s="847"/>
      <c r="BX160" s="847"/>
      <c r="BY160" s="847"/>
      <c r="BZ160" s="847"/>
      <c r="CA160" s="847"/>
      <c r="CB160" s="847"/>
    </row>
    <row r="161" spans="1:80" s="473" customFormat="1" x14ac:dyDescent="0.2">
      <c r="A161" s="1046"/>
      <c r="D161" s="473">
        <v>2011</v>
      </c>
      <c r="E161" s="1670">
        <v>423766</v>
      </c>
      <c r="F161" s="846"/>
      <c r="G161" s="846"/>
      <c r="H161" s="846"/>
      <c r="I161" s="846">
        <f>E161/5</f>
        <v>84753.2</v>
      </c>
      <c r="J161" s="846">
        <f>I161</f>
        <v>84753.2</v>
      </c>
      <c r="K161" s="846">
        <f>J161</f>
        <v>84753.2</v>
      </c>
      <c r="L161" s="846">
        <f>K161</f>
        <v>84753.2</v>
      </c>
      <c r="M161" s="846">
        <f>L161</f>
        <v>84753.2</v>
      </c>
      <c r="N161" s="846"/>
      <c r="O161" s="846"/>
      <c r="P161" s="1711"/>
      <c r="Q161" s="1684"/>
      <c r="R161" s="847"/>
      <c r="S161" s="847"/>
      <c r="T161" s="847"/>
      <c r="U161" s="847"/>
      <c r="V161" s="847"/>
      <c r="W161" s="847"/>
      <c r="X161" s="847"/>
      <c r="Y161" s="847"/>
      <c r="Z161" s="847"/>
      <c r="AA161" s="847"/>
      <c r="AB161" s="847"/>
      <c r="AC161" s="847"/>
      <c r="AD161" s="847"/>
      <c r="AE161" s="847"/>
      <c r="AF161" s="847"/>
      <c r="AG161" s="847"/>
      <c r="AH161" s="847"/>
      <c r="AI161" s="847"/>
      <c r="AJ161" s="847"/>
      <c r="AK161" s="847"/>
      <c r="AL161" s="847"/>
      <c r="AM161" s="847"/>
      <c r="AN161" s="847"/>
      <c r="AO161" s="847"/>
      <c r="AP161" s="847"/>
      <c r="AQ161" s="847"/>
      <c r="AR161" s="847"/>
      <c r="AS161" s="847"/>
      <c r="AT161" s="847"/>
      <c r="AU161" s="847"/>
      <c r="AV161" s="847"/>
      <c r="AW161" s="847"/>
      <c r="AX161" s="847"/>
      <c r="AY161" s="847"/>
      <c r="AZ161" s="847"/>
      <c r="BA161" s="847"/>
      <c r="BB161" s="847"/>
      <c r="BC161" s="847"/>
      <c r="BD161" s="847"/>
      <c r="BE161" s="847"/>
      <c r="BF161" s="847"/>
      <c r="BG161" s="847"/>
      <c r="BH161" s="847"/>
      <c r="BI161" s="847"/>
      <c r="BJ161" s="847"/>
      <c r="BK161" s="847"/>
      <c r="BL161" s="847"/>
      <c r="BM161" s="847"/>
      <c r="BN161" s="847"/>
      <c r="BO161" s="847"/>
      <c r="BP161" s="847"/>
      <c r="BQ161" s="847"/>
      <c r="BR161" s="847"/>
      <c r="BS161" s="847"/>
      <c r="BT161" s="847"/>
      <c r="BU161" s="847"/>
      <c r="BV161" s="847"/>
      <c r="BW161" s="847"/>
      <c r="BX161" s="847"/>
      <c r="BY161" s="847"/>
      <c r="BZ161" s="847"/>
      <c r="CA161" s="847"/>
      <c r="CB161" s="847"/>
    </row>
    <row r="162" spans="1:80" s="473" customFormat="1" x14ac:dyDescent="0.2">
      <c r="A162" s="1046"/>
      <c r="D162" s="473">
        <v>2012</v>
      </c>
      <c r="E162" s="1670">
        <v>446592</v>
      </c>
      <c r="F162" s="846"/>
      <c r="G162" s="846"/>
      <c r="H162" s="846"/>
      <c r="I162" s="846"/>
      <c r="J162" s="846">
        <f>E162/5</f>
        <v>89318.399999999994</v>
      </c>
      <c r="K162" s="846">
        <f>J162</f>
        <v>89318.399999999994</v>
      </c>
      <c r="L162" s="846">
        <f>K162</f>
        <v>89318.399999999994</v>
      </c>
      <c r="M162" s="846">
        <f>L162</f>
        <v>89318.399999999994</v>
      </c>
      <c r="N162" s="846">
        <f>M162</f>
        <v>89318.399999999994</v>
      </c>
      <c r="O162" s="846"/>
      <c r="P162" s="1711"/>
      <c r="Q162" s="1684"/>
      <c r="R162" s="847"/>
      <c r="S162" s="847"/>
      <c r="T162" s="847"/>
      <c r="U162" s="847"/>
      <c r="V162" s="847"/>
      <c r="W162" s="847"/>
      <c r="X162" s="847"/>
      <c r="Y162" s="847"/>
      <c r="Z162" s="847"/>
      <c r="AA162" s="847"/>
      <c r="AB162" s="847"/>
      <c r="AC162" s="847"/>
      <c r="AD162" s="847"/>
      <c r="AE162" s="847"/>
      <c r="AF162" s="847"/>
      <c r="AG162" s="847"/>
      <c r="AH162" s="847"/>
      <c r="AI162" s="847"/>
      <c r="AJ162" s="847"/>
      <c r="AK162" s="847"/>
      <c r="AL162" s="847"/>
      <c r="AM162" s="847"/>
      <c r="AN162" s="847"/>
      <c r="AO162" s="847"/>
      <c r="AP162" s="847"/>
      <c r="AQ162" s="847"/>
      <c r="AR162" s="847"/>
      <c r="AS162" s="847"/>
      <c r="AT162" s="847"/>
      <c r="AU162" s="847"/>
      <c r="AV162" s="847"/>
      <c r="AW162" s="847"/>
      <c r="AX162" s="847"/>
      <c r="AY162" s="847"/>
      <c r="AZ162" s="847"/>
      <c r="BA162" s="847"/>
      <c r="BB162" s="847"/>
      <c r="BC162" s="847"/>
      <c r="BD162" s="847"/>
      <c r="BE162" s="847"/>
      <c r="BF162" s="847"/>
      <c r="BG162" s="847"/>
      <c r="BH162" s="847"/>
      <c r="BI162" s="847"/>
      <c r="BJ162" s="847"/>
      <c r="BK162" s="847"/>
      <c r="BL162" s="847"/>
      <c r="BM162" s="847"/>
      <c r="BN162" s="847"/>
      <c r="BO162" s="847"/>
      <c r="BP162" s="847"/>
      <c r="BQ162" s="847"/>
      <c r="BR162" s="847"/>
      <c r="BS162" s="847"/>
      <c r="BT162" s="847"/>
      <c r="BU162" s="847"/>
      <c r="BV162" s="847"/>
      <c r="BW162" s="847"/>
      <c r="BX162" s="847"/>
      <c r="BY162" s="847"/>
      <c r="BZ162" s="847"/>
      <c r="CA162" s="847"/>
      <c r="CB162" s="847"/>
    </row>
    <row r="163" spans="1:80" s="473" customFormat="1" x14ac:dyDescent="0.2">
      <c r="A163" s="1046"/>
      <c r="D163" s="473" t="s">
        <v>69</v>
      </c>
      <c r="E163" s="1670">
        <f>SUM(E158:E162)</f>
        <v>1653965</v>
      </c>
      <c r="F163" s="846"/>
      <c r="G163" s="846"/>
      <c r="H163" s="846"/>
      <c r="I163" s="846"/>
      <c r="J163" s="846"/>
      <c r="K163" s="846"/>
      <c r="L163" s="846"/>
      <c r="M163" s="846"/>
      <c r="N163" s="846"/>
      <c r="O163" s="846"/>
      <c r="P163" s="1711"/>
      <c r="Q163" s="1684"/>
      <c r="R163" s="847"/>
      <c r="S163" s="847"/>
      <c r="T163" s="847"/>
      <c r="U163" s="847"/>
      <c r="V163" s="847"/>
      <c r="W163" s="847"/>
      <c r="X163" s="847"/>
      <c r="Y163" s="847"/>
      <c r="Z163" s="847"/>
      <c r="AA163" s="847"/>
      <c r="AB163" s="847"/>
      <c r="AC163" s="847"/>
      <c r="AD163" s="847"/>
      <c r="AE163" s="847"/>
      <c r="AF163" s="847"/>
      <c r="AG163" s="847"/>
      <c r="AH163" s="847"/>
      <c r="AI163" s="847"/>
      <c r="AJ163" s="847"/>
      <c r="AK163" s="847"/>
      <c r="AL163" s="847"/>
      <c r="AM163" s="847"/>
      <c r="AN163" s="847"/>
      <c r="AO163" s="847"/>
      <c r="AP163" s="847"/>
      <c r="AQ163" s="847"/>
      <c r="AR163" s="847"/>
      <c r="AS163" s="847"/>
      <c r="AT163" s="847"/>
      <c r="AU163" s="847"/>
      <c r="AV163" s="847"/>
      <c r="AW163" s="847"/>
      <c r="AX163" s="847"/>
      <c r="AY163" s="847"/>
      <c r="AZ163" s="847"/>
      <c r="BA163" s="847"/>
      <c r="BB163" s="847"/>
      <c r="BC163" s="847"/>
      <c r="BD163" s="847"/>
      <c r="BE163" s="847"/>
      <c r="BF163" s="847"/>
      <c r="BG163" s="847"/>
      <c r="BH163" s="847"/>
      <c r="BI163" s="847"/>
      <c r="BJ163" s="847"/>
      <c r="BK163" s="847"/>
      <c r="BL163" s="847"/>
      <c r="BM163" s="847"/>
      <c r="BN163" s="847"/>
      <c r="BO163" s="847"/>
      <c r="BP163" s="847"/>
      <c r="BQ163" s="847"/>
      <c r="BR163" s="847"/>
      <c r="BS163" s="847"/>
      <c r="BT163" s="847"/>
      <c r="BU163" s="847"/>
      <c r="BV163" s="847"/>
      <c r="BW163" s="847"/>
      <c r="BX163" s="847"/>
      <c r="BY163" s="847"/>
      <c r="BZ163" s="847"/>
      <c r="CA163" s="847"/>
      <c r="CB163" s="847"/>
    </row>
    <row r="164" spans="1:80" x14ac:dyDescent="0.2">
      <c r="A164" s="430"/>
      <c r="B164" s="39"/>
      <c r="C164" s="39"/>
      <c r="D164" s="39"/>
      <c r="E164" s="1671"/>
      <c r="F164" s="66"/>
      <c r="G164" s="66"/>
      <c r="H164" s="66"/>
      <c r="I164" s="66"/>
      <c r="J164" s="66"/>
      <c r="K164" s="66"/>
      <c r="L164" s="66"/>
      <c r="M164" s="66"/>
      <c r="N164" s="66"/>
      <c r="O164" s="66"/>
      <c r="P164" s="1712"/>
      <c r="Q164" s="1685"/>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c r="BZ164" s="288"/>
      <c r="CA164" s="288"/>
      <c r="CB164" s="288"/>
    </row>
    <row r="165" spans="1:80" x14ac:dyDescent="0.2">
      <c r="A165" s="430"/>
      <c r="B165" s="39"/>
      <c r="C165" s="39"/>
      <c r="D165" s="39"/>
      <c r="E165" s="1671"/>
      <c r="F165" s="66"/>
      <c r="G165" s="66"/>
      <c r="H165" s="66"/>
      <c r="I165" s="66"/>
      <c r="J165" s="66"/>
      <c r="K165" s="66"/>
      <c r="L165" s="66"/>
      <c r="M165" s="66"/>
      <c r="N165" s="66"/>
      <c r="O165" s="66"/>
      <c r="P165" s="1712"/>
      <c r="Q165" s="1685"/>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c r="BZ165" s="288"/>
      <c r="CA165" s="288"/>
      <c r="CB165" s="288"/>
    </row>
    <row r="166" spans="1:80" s="473" customFormat="1" ht="13.5" customHeight="1" x14ac:dyDescent="0.2">
      <c r="A166" s="1046" t="s">
        <v>125</v>
      </c>
      <c r="D166" s="473">
        <v>2008</v>
      </c>
      <c r="E166" s="1670">
        <v>17452</v>
      </c>
      <c r="F166" s="846">
        <f>E166/5</f>
        <v>3490.4</v>
      </c>
      <c r="G166" s="846">
        <f>F166</f>
        <v>3490.4</v>
      </c>
      <c r="H166" s="846">
        <f>G166</f>
        <v>3490.4</v>
      </c>
      <c r="I166" s="846">
        <f>H166</f>
        <v>3490.4</v>
      </c>
      <c r="J166" s="846">
        <f>I166</f>
        <v>3490.4</v>
      </c>
      <c r="K166" s="846"/>
      <c r="L166" s="846"/>
      <c r="M166" s="846"/>
      <c r="N166" s="846"/>
      <c r="O166" s="846"/>
      <c r="P166" s="1711"/>
      <c r="Q166" s="1684"/>
      <c r="R166" s="847"/>
      <c r="S166" s="847"/>
      <c r="T166" s="847"/>
      <c r="U166" s="847"/>
      <c r="V166" s="847"/>
      <c r="W166" s="847"/>
      <c r="X166" s="847"/>
      <c r="Y166" s="847"/>
      <c r="Z166" s="847"/>
      <c r="AA166" s="847"/>
      <c r="AB166" s="847"/>
      <c r="AC166" s="847"/>
      <c r="AD166" s="847"/>
      <c r="AE166" s="847"/>
      <c r="AF166" s="847"/>
      <c r="AG166" s="847"/>
      <c r="AH166" s="847"/>
      <c r="AI166" s="847"/>
      <c r="AJ166" s="847"/>
      <c r="AK166" s="847"/>
      <c r="AL166" s="847"/>
      <c r="AM166" s="847"/>
      <c r="AN166" s="847"/>
      <c r="AO166" s="847"/>
      <c r="AP166" s="847"/>
      <c r="AQ166" s="847"/>
      <c r="AR166" s="847"/>
      <c r="AS166" s="847"/>
      <c r="AT166" s="847"/>
      <c r="AU166" s="847"/>
      <c r="AV166" s="847"/>
      <c r="AW166" s="847"/>
      <c r="AX166" s="847"/>
      <c r="AY166" s="847"/>
      <c r="AZ166" s="847"/>
      <c r="BA166" s="847"/>
      <c r="BB166" s="847"/>
      <c r="BC166" s="847"/>
      <c r="BD166" s="847"/>
      <c r="BE166" s="847"/>
      <c r="BF166" s="847"/>
      <c r="BG166" s="847"/>
      <c r="BH166" s="847"/>
      <c r="BI166" s="847"/>
      <c r="BJ166" s="847"/>
      <c r="BK166" s="847"/>
      <c r="BL166" s="847"/>
      <c r="BM166" s="847"/>
      <c r="BN166" s="847"/>
      <c r="BO166" s="847"/>
      <c r="BP166" s="847"/>
      <c r="BQ166" s="847"/>
      <c r="BR166" s="847"/>
      <c r="BS166" s="847"/>
      <c r="BT166" s="847"/>
      <c r="BU166" s="847"/>
      <c r="BV166" s="847"/>
      <c r="BW166" s="847"/>
      <c r="BX166" s="847"/>
      <c r="BY166" s="847"/>
      <c r="BZ166" s="847"/>
      <c r="CA166" s="847"/>
      <c r="CB166" s="847"/>
    </row>
    <row r="167" spans="1:80" s="473" customFormat="1" x14ac:dyDescent="0.2">
      <c r="A167" s="1046"/>
      <c r="D167" s="473">
        <v>2009</v>
      </c>
      <c r="E167" s="1670">
        <v>38785</v>
      </c>
      <c r="F167" s="846"/>
      <c r="G167" s="846">
        <f>E167/5</f>
        <v>7757</v>
      </c>
      <c r="H167" s="846">
        <f>G167</f>
        <v>7757</v>
      </c>
      <c r="I167" s="846">
        <f>H167</f>
        <v>7757</v>
      </c>
      <c r="J167" s="846">
        <f>I167</f>
        <v>7757</v>
      </c>
      <c r="K167" s="846">
        <f>J167</f>
        <v>7757</v>
      </c>
      <c r="L167" s="846"/>
      <c r="M167" s="846"/>
      <c r="N167" s="846"/>
      <c r="O167" s="846"/>
      <c r="P167" s="1711"/>
      <c r="Q167" s="1684"/>
      <c r="R167" s="847"/>
      <c r="S167" s="847"/>
      <c r="T167" s="847"/>
      <c r="U167" s="847"/>
      <c r="V167" s="847"/>
      <c r="W167" s="847"/>
      <c r="X167" s="847"/>
      <c r="Y167" s="847"/>
      <c r="Z167" s="847"/>
      <c r="AA167" s="847"/>
      <c r="AB167" s="847"/>
      <c r="AC167" s="847"/>
      <c r="AD167" s="847"/>
      <c r="AE167" s="847"/>
      <c r="AF167" s="847"/>
      <c r="AG167" s="847"/>
      <c r="AH167" s="847"/>
      <c r="AI167" s="847"/>
      <c r="AJ167" s="847"/>
      <c r="AK167" s="847"/>
      <c r="AL167" s="847"/>
      <c r="AM167" s="847"/>
      <c r="AN167" s="847"/>
      <c r="AO167" s="847"/>
      <c r="AP167" s="847"/>
      <c r="AQ167" s="847"/>
      <c r="AR167" s="847"/>
      <c r="AS167" s="847"/>
      <c r="AT167" s="847"/>
      <c r="AU167" s="847"/>
      <c r="AV167" s="847"/>
      <c r="AW167" s="847"/>
      <c r="AX167" s="847"/>
      <c r="AY167" s="847"/>
      <c r="AZ167" s="847"/>
      <c r="BA167" s="847"/>
      <c r="BB167" s="847"/>
      <c r="BC167" s="847"/>
      <c r="BD167" s="847"/>
      <c r="BE167" s="847"/>
      <c r="BF167" s="847"/>
      <c r="BG167" s="847"/>
      <c r="BH167" s="847"/>
      <c r="BI167" s="847"/>
      <c r="BJ167" s="847"/>
      <c r="BK167" s="847"/>
      <c r="BL167" s="847"/>
      <c r="BM167" s="847"/>
      <c r="BN167" s="847"/>
      <c r="BO167" s="847"/>
      <c r="BP167" s="847"/>
      <c r="BQ167" s="847"/>
      <c r="BR167" s="847"/>
      <c r="BS167" s="847"/>
      <c r="BT167" s="847"/>
      <c r="BU167" s="847"/>
      <c r="BV167" s="847"/>
      <c r="BW167" s="847"/>
      <c r="BX167" s="847"/>
      <c r="BY167" s="847"/>
      <c r="BZ167" s="847"/>
      <c r="CA167" s="847"/>
      <c r="CB167" s="847"/>
    </row>
    <row r="168" spans="1:80" s="473" customFormat="1" x14ac:dyDescent="0.2">
      <c r="A168" s="1046"/>
      <c r="D168" s="473">
        <v>2010</v>
      </c>
      <c r="E168" s="1670">
        <v>50964</v>
      </c>
      <c r="F168" s="846"/>
      <c r="G168" s="846"/>
      <c r="H168" s="846">
        <f>E168/5</f>
        <v>10192.799999999999</v>
      </c>
      <c r="I168" s="846">
        <f>H168</f>
        <v>10192.799999999999</v>
      </c>
      <c r="J168" s="846">
        <f>I168</f>
        <v>10192.799999999999</v>
      </c>
      <c r="K168" s="846">
        <f>J168</f>
        <v>10192.799999999999</v>
      </c>
      <c r="L168" s="846">
        <f>K168</f>
        <v>10192.799999999999</v>
      </c>
      <c r="M168" s="846"/>
      <c r="N168" s="846"/>
      <c r="O168" s="846"/>
      <c r="P168" s="1711"/>
      <c r="Q168" s="1684"/>
      <c r="R168" s="847"/>
      <c r="S168" s="847"/>
      <c r="T168" s="847"/>
      <c r="U168" s="847"/>
      <c r="V168" s="847"/>
      <c r="W168" s="847"/>
      <c r="X168" s="847"/>
      <c r="Y168" s="847"/>
      <c r="Z168" s="847"/>
      <c r="AA168" s="847"/>
      <c r="AB168" s="847"/>
      <c r="AC168" s="847"/>
      <c r="AD168" s="847"/>
      <c r="AE168" s="847"/>
      <c r="AF168" s="847"/>
      <c r="AG168" s="847"/>
      <c r="AH168" s="847"/>
      <c r="AI168" s="847"/>
      <c r="AJ168" s="847"/>
      <c r="AK168" s="847"/>
      <c r="AL168" s="847"/>
      <c r="AM168" s="847"/>
      <c r="AN168" s="847"/>
      <c r="AO168" s="847"/>
      <c r="AP168" s="847"/>
      <c r="AQ168" s="847"/>
      <c r="AR168" s="847"/>
      <c r="AS168" s="847"/>
      <c r="AT168" s="847"/>
      <c r="AU168" s="847"/>
      <c r="AV168" s="847"/>
      <c r="AW168" s="847"/>
      <c r="AX168" s="847"/>
      <c r="AY168" s="847"/>
      <c r="AZ168" s="847"/>
      <c r="BA168" s="847"/>
      <c r="BB168" s="847"/>
      <c r="BC168" s="847"/>
      <c r="BD168" s="847"/>
      <c r="BE168" s="847"/>
      <c r="BF168" s="847"/>
      <c r="BG168" s="847"/>
      <c r="BH168" s="847"/>
      <c r="BI168" s="847"/>
      <c r="BJ168" s="847"/>
      <c r="BK168" s="847"/>
      <c r="BL168" s="847"/>
      <c r="BM168" s="847"/>
      <c r="BN168" s="847"/>
      <c r="BO168" s="847"/>
      <c r="BP168" s="847"/>
      <c r="BQ168" s="847"/>
      <c r="BR168" s="847"/>
      <c r="BS168" s="847"/>
      <c r="BT168" s="847"/>
      <c r="BU168" s="847"/>
      <c r="BV168" s="847"/>
      <c r="BW168" s="847"/>
      <c r="BX168" s="847"/>
      <c r="BY168" s="847"/>
      <c r="BZ168" s="847"/>
      <c r="CA168" s="847"/>
      <c r="CB168" s="847"/>
    </row>
    <row r="169" spans="1:80" s="473" customFormat="1" x14ac:dyDescent="0.2">
      <c r="A169" s="1046"/>
      <c r="D169" s="473">
        <v>2011</v>
      </c>
      <c r="E169" s="1670">
        <v>42746</v>
      </c>
      <c r="F169" s="846"/>
      <c r="G169" s="846"/>
      <c r="H169" s="846"/>
      <c r="I169" s="846">
        <f>E169/5</f>
        <v>8549.2000000000007</v>
      </c>
      <c r="J169" s="846">
        <f>I169</f>
        <v>8549.2000000000007</v>
      </c>
      <c r="K169" s="846">
        <f>J169</f>
        <v>8549.2000000000007</v>
      </c>
      <c r="L169" s="846">
        <f>K169</f>
        <v>8549.2000000000007</v>
      </c>
      <c r="M169" s="846">
        <f>L169</f>
        <v>8549.2000000000007</v>
      </c>
      <c r="N169" s="846"/>
      <c r="O169" s="846"/>
      <c r="P169" s="1711"/>
      <c r="Q169" s="1684"/>
      <c r="R169" s="847"/>
      <c r="S169" s="847"/>
      <c r="T169" s="847"/>
      <c r="U169" s="847"/>
      <c r="V169" s="847"/>
      <c r="W169" s="847"/>
      <c r="X169" s="847"/>
      <c r="Y169" s="847"/>
      <c r="Z169" s="847"/>
      <c r="AA169" s="847"/>
      <c r="AB169" s="847"/>
      <c r="AC169" s="847"/>
      <c r="AD169" s="847"/>
      <c r="AE169" s="847"/>
      <c r="AF169" s="847"/>
      <c r="AG169" s="847"/>
      <c r="AH169" s="847"/>
      <c r="AI169" s="847"/>
      <c r="AJ169" s="847"/>
      <c r="AK169" s="847"/>
      <c r="AL169" s="847"/>
      <c r="AM169" s="847"/>
      <c r="AN169" s="847"/>
      <c r="AO169" s="847"/>
      <c r="AP169" s="847"/>
      <c r="AQ169" s="847"/>
      <c r="AR169" s="847"/>
      <c r="AS169" s="847"/>
      <c r="AT169" s="847"/>
      <c r="AU169" s="847"/>
      <c r="AV169" s="847"/>
      <c r="AW169" s="847"/>
      <c r="AX169" s="847"/>
      <c r="AY169" s="847"/>
      <c r="AZ169" s="847"/>
      <c r="BA169" s="847"/>
      <c r="BB169" s="847"/>
      <c r="BC169" s="847"/>
      <c r="BD169" s="847"/>
      <c r="BE169" s="847"/>
      <c r="BF169" s="847"/>
      <c r="BG169" s="847"/>
      <c r="BH169" s="847"/>
      <c r="BI169" s="847"/>
      <c r="BJ169" s="847"/>
      <c r="BK169" s="847"/>
      <c r="BL169" s="847"/>
      <c r="BM169" s="847"/>
      <c r="BN169" s="847"/>
      <c r="BO169" s="847"/>
      <c r="BP169" s="847"/>
      <c r="BQ169" s="847"/>
      <c r="BR169" s="847"/>
      <c r="BS169" s="847"/>
      <c r="BT169" s="847"/>
      <c r="BU169" s="847"/>
      <c r="BV169" s="847"/>
      <c r="BW169" s="847"/>
      <c r="BX169" s="847"/>
      <c r="BY169" s="847"/>
      <c r="BZ169" s="847"/>
      <c r="CA169" s="847"/>
      <c r="CB169" s="847"/>
    </row>
    <row r="170" spans="1:80" s="473" customFormat="1" x14ac:dyDescent="0.2">
      <c r="A170" s="1046"/>
      <c r="D170" s="473">
        <v>2012</v>
      </c>
      <c r="E170" s="1670">
        <v>32450</v>
      </c>
      <c r="F170" s="846"/>
      <c r="G170" s="846"/>
      <c r="H170" s="846"/>
      <c r="I170" s="846"/>
      <c r="J170" s="846">
        <f>E170/5</f>
        <v>6490</v>
      </c>
      <c r="K170" s="846">
        <f>J170</f>
        <v>6490</v>
      </c>
      <c r="L170" s="846">
        <f>K170</f>
        <v>6490</v>
      </c>
      <c r="M170" s="846">
        <f>L170</f>
        <v>6490</v>
      </c>
      <c r="N170" s="846">
        <f>M170</f>
        <v>6490</v>
      </c>
      <c r="O170" s="846"/>
      <c r="P170" s="1711"/>
      <c r="Q170" s="1684"/>
      <c r="R170" s="847"/>
      <c r="S170" s="847"/>
      <c r="T170" s="847"/>
      <c r="U170" s="847"/>
      <c r="V170" s="847"/>
      <c r="W170" s="847"/>
      <c r="X170" s="847"/>
      <c r="Y170" s="847"/>
      <c r="Z170" s="847"/>
      <c r="AA170" s="847"/>
      <c r="AB170" s="847"/>
      <c r="AC170" s="847"/>
      <c r="AD170" s="847"/>
      <c r="AE170" s="847"/>
      <c r="AF170" s="847"/>
      <c r="AG170" s="847"/>
      <c r="AH170" s="847"/>
      <c r="AI170" s="847"/>
      <c r="AJ170" s="847"/>
      <c r="AK170" s="847"/>
      <c r="AL170" s="847"/>
      <c r="AM170" s="847"/>
      <c r="AN170" s="847"/>
      <c r="AO170" s="847"/>
      <c r="AP170" s="847"/>
      <c r="AQ170" s="847"/>
      <c r="AR170" s="847"/>
      <c r="AS170" s="847"/>
      <c r="AT170" s="847"/>
      <c r="AU170" s="847"/>
      <c r="AV170" s="847"/>
      <c r="AW170" s="847"/>
      <c r="AX170" s="847"/>
      <c r="AY170" s="847"/>
      <c r="AZ170" s="847"/>
      <c r="BA170" s="847"/>
      <c r="BB170" s="847"/>
      <c r="BC170" s="847"/>
      <c r="BD170" s="847"/>
      <c r="BE170" s="847"/>
      <c r="BF170" s="847"/>
      <c r="BG170" s="847"/>
      <c r="BH170" s="847"/>
      <c r="BI170" s="847"/>
      <c r="BJ170" s="847"/>
      <c r="BK170" s="847"/>
      <c r="BL170" s="847"/>
      <c r="BM170" s="847"/>
      <c r="BN170" s="847"/>
      <c r="BO170" s="847"/>
      <c r="BP170" s="847"/>
      <c r="BQ170" s="847"/>
      <c r="BR170" s="847"/>
      <c r="BS170" s="847"/>
      <c r="BT170" s="847"/>
      <c r="BU170" s="847"/>
      <c r="BV170" s="847"/>
      <c r="BW170" s="847"/>
      <c r="BX170" s="847"/>
      <c r="BY170" s="847"/>
      <c r="BZ170" s="847"/>
      <c r="CA170" s="847"/>
      <c r="CB170" s="847"/>
    </row>
    <row r="171" spans="1:80" s="473" customFormat="1" x14ac:dyDescent="0.2">
      <c r="A171" s="1046"/>
      <c r="D171" s="473" t="s">
        <v>69</v>
      </c>
      <c r="E171" s="1670">
        <f>SUM(E166:E170)</f>
        <v>182397</v>
      </c>
      <c r="F171" s="846"/>
      <c r="G171" s="846"/>
      <c r="H171" s="846"/>
      <c r="I171" s="846"/>
      <c r="J171" s="846"/>
      <c r="K171" s="846"/>
      <c r="L171" s="846"/>
      <c r="M171" s="846"/>
      <c r="N171" s="846"/>
      <c r="O171" s="846"/>
      <c r="P171" s="1711"/>
      <c r="Q171" s="1684"/>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7"/>
      <c r="AY171" s="847"/>
      <c r="AZ171" s="847"/>
      <c r="BA171" s="847"/>
      <c r="BB171" s="847"/>
      <c r="BC171" s="847"/>
      <c r="BD171" s="847"/>
      <c r="BE171" s="847"/>
      <c r="BF171" s="847"/>
      <c r="BG171" s="847"/>
      <c r="BH171" s="847"/>
      <c r="BI171" s="847"/>
      <c r="BJ171" s="847"/>
      <c r="BK171" s="847"/>
      <c r="BL171" s="847"/>
      <c r="BM171" s="847"/>
      <c r="BN171" s="847"/>
      <c r="BO171" s="847"/>
      <c r="BP171" s="847"/>
      <c r="BQ171" s="847"/>
      <c r="BR171" s="847"/>
      <c r="BS171" s="847"/>
      <c r="BT171" s="847"/>
      <c r="BU171" s="847"/>
      <c r="BV171" s="847"/>
      <c r="BW171" s="847"/>
      <c r="BX171" s="847"/>
      <c r="BY171" s="847"/>
      <c r="BZ171" s="847"/>
      <c r="CA171" s="847"/>
      <c r="CB171" s="847"/>
    </row>
    <row r="172" spans="1:80" x14ac:dyDescent="0.2">
      <c r="A172" s="77"/>
    </row>
    <row r="173" spans="1:80" s="473" customFormat="1" x14ac:dyDescent="0.2">
      <c r="A173" s="1046" t="s">
        <v>121</v>
      </c>
      <c r="D173" s="473">
        <v>2008</v>
      </c>
      <c r="E173" s="1670">
        <f>SUM(F173:J173)</f>
        <v>618557</v>
      </c>
      <c r="F173" s="846">
        <v>123711.4</v>
      </c>
      <c r="G173" s="846">
        <f>F173</f>
        <v>123711.4</v>
      </c>
      <c r="H173" s="846">
        <f>G173</f>
        <v>123711.4</v>
      </c>
      <c r="I173" s="846">
        <f>H173</f>
        <v>123711.4</v>
      </c>
      <c r="J173" s="846">
        <f>I173</f>
        <v>123711.4</v>
      </c>
      <c r="K173" s="846"/>
      <c r="L173" s="846"/>
      <c r="M173" s="846"/>
      <c r="N173" s="846"/>
      <c r="O173" s="846"/>
      <c r="P173" s="1711"/>
      <c r="Q173" s="1684"/>
      <c r="R173" s="847"/>
      <c r="S173" s="847"/>
      <c r="T173" s="847"/>
      <c r="U173" s="847"/>
      <c r="V173" s="847"/>
      <c r="W173" s="847"/>
      <c r="X173" s="847"/>
      <c r="Y173" s="847"/>
      <c r="Z173" s="847"/>
      <c r="AA173" s="847"/>
      <c r="AB173" s="847"/>
      <c r="AC173" s="847"/>
      <c r="AD173" s="847"/>
      <c r="AE173" s="847"/>
      <c r="AF173" s="847"/>
      <c r="AG173" s="847"/>
      <c r="AH173" s="847"/>
      <c r="AI173" s="847"/>
      <c r="AJ173" s="847"/>
      <c r="AK173" s="847"/>
      <c r="AL173" s="847"/>
      <c r="AM173" s="847"/>
      <c r="AN173" s="847"/>
      <c r="AO173" s="847"/>
      <c r="AP173" s="847"/>
      <c r="AQ173" s="847"/>
      <c r="AR173" s="847"/>
      <c r="AS173" s="847"/>
      <c r="AT173" s="847"/>
      <c r="AU173" s="847"/>
      <c r="AV173" s="847"/>
      <c r="AW173" s="847"/>
      <c r="AX173" s="847"/>
      <c r="AY173" s="847"/>
      <c r="AZ173" s="847"/>
      <c r="BA173" s="847"/>
      <c r="BB173" s="847"/>
      <c r="BC173" s="847"/>
      <c r="BD173" s="847"/>
      <c r="BE173" s="847"/>
      <c r="BF173" s="847"/>
      <c r="BG173" s="847"/>
      <c r="BH173" s="847"/>
      <c r="BI173" s="847"/>
      <c r="BJ173" s="847"/>
      <c r="BK173" s="847"/>
      <c r="BL173" s="847"/>
      <c r="BM173" s="847"/>
      <c r="BN173" s="847"/>
      <c r="BO173" s="847"/>
      <c r="BP173" s="847"/>
      <c r="BQ173" s="847"/>
      <c r="BR173" s="847"/>
      <c r="BS173" s="847"/>
      <c r="BT173" s="847"/>
      <c r="BU173" s="847"/>
      <c r="BV173" s="847"/>
      <c r="BW173" s="847"/>
      <c r="BX173" s="847"/>
      <c r="BY173" s="847"/>
      <c r="BZ173" s="847"/>
      <c r="CA173" s="847"/>
      <c r="CB173" s="847"/>
    </row>
    <row r="174" spans="1:80" s="473" customFormat="1" x14ac:dyDescent="0.2">
      <c r="A174" s="1046"/>
      <c r="D174" s="473">
        <v>2009</v>
      </c>
      <c r="E174" s="1670">
        <f>SUM(F174:K174)</f>
        <v>1168270</v>
      </c>
      <c r="F174" s="846"/>
      <c r="G174" s="846">
        <v>233654</v>
      </c>
      <c r="H174" s="846">
        <f>G174</f>
        <v>233654</v>
      </c>
      <c r="I174" s="846">
        <f>H174</f>
        <v>233654</v>
      </c>
      <c r="J174" s="846">
        <f>I174</f>
        <v>233654</v>
      </c>
      <c r="K174" s="846">
        <f>J174</f>
        <v>233654</v>
      </c>
      <c r="L174" s="846"/>
      <c r="M174" s="846"/>
      <c r="N174" s="846"/>
      <c r="O174" s="846"/>
      <c r="P174" s="1711"/>
      <c r="Q174" s="1684"/>
      <c r="R174" s="847"/>
      <c r="S174" s="847"/>
      <c r="T174" s="847"/>
      <c r="U174" s="847"/>
      <c r="V174" s="847"/>
      <c r="W174" s="847"/>
      <c r="X174" s="847"/>
      <c r="Y174" s="847"/>
      <c r="Z174" s="847"/>
      <c r="AA174" s="847"/>
      <c r="AB174" s="847"/>
      <c r="AC174" s="847"/>
      <c r="AD174" s="847"/>
      <c r="AE174" s="847"/>
      <c r="AF174" s="847"/>
      <c r="AG174" s="847"/>
      <c r="AH174" s="847"/>
      <c r="AI174" s="847"/>
      <c r="AJ174" s="847"/>
      <c r="AK174" s="847"/>
      <c r="AL174" s="847"/>
      <c r="AM174" s="847"/>
      <c r="AN174" s="847"/>
      <c r="AO174" s="847"/>
      <c r="AP174" s="847"/>
      <c r="AQ174" s="847"/>
      <c r="AR174" s="847"/>
      <c r="AS174" s="847"/>
      <c r="AT174" s="847"/>
      <c r="AU174" s="847"/>
      <c r="AV174" s="847"/>
      <c r="AW174" s="847"/>
      <c r="AX174" s="847"/>
      <c r="AY174" s="847"/>
      <c r="AZ174" s="847"/>
      <c r="BA174" s="847"/>
      <c r="BB174" s="847"/>
      <c r="BC174" s="847"/>
      <c r="BD174" s="847"/>
      <c r="BE174" s="847"/>
      <c r="BF174" s="847"/>
      <c r="BG174" s="847"/>
      <c r="BH174" s="847"/>
      <c r="BI174" s="847"/>
      <c r="BJ174" s="847"/>
      <c r="BK174" s="847"/>
      <c r="BL174" s="847"/>
      <c r="BM174" s="847"/>
      <c r="BN174" s="847"/>
      <c r="BO174" s="847"/>
      <c r="BP174" s="847"/>
      <c r="BQ174" s="847"/>
      <c r="BR174" s="847"/>
      <c r="BS174" s="847"/>
      <c r="BT174" s="847"/>
      <c r="BU174" s="847"/>
      <c r="BV174" s="847"/>
      <c r="BW174" s="847"/>
      <c r="BX174" s="847"/>
      <c r="BY174" s="847"/>
      <c r="BZ174" s="847"/>
      <c r="CA174" s="847"/>
      <c r="CB174" s="847"/>
    </row>
    <row r="175" spans="1:80" s="473" customFormat="1" x14ac:dyDescent="0.2">
      <c r="A175" s="1046"/>
      <c r="D175" s="473">
        <v>2010</v>
      </c>
      <c r="E175" s="1670">
        <v>0</v>
      </c>
      <c r="F175" s="846"/>
      <c r="G175" s="846"/>
      <c r="H175" s="846"/>
      <c r="I175" s="846"/>
      <c r="J175" s="846"/>
      <c r="K175" s="846"/>
      <c r="L175" s="846"/>
      <c r="M175" s="846"/>
      <c r="N175" s="846"/>
      <c r="O175" s="846"/>
      <c r="P175" s="1711"/>
      <c r="Q175" s="1684"/>
      <c r="R175" s="847"/>
      <c r="S175" s="847"/>
      <c r="T175" s="847"/>
      <c r="U175" s="847"/>
      <c r="V175" s="847"/>
      <c r="W175" s="847"/>
      <c r="X175" s="847"/>
      <c r="Y175" s="847"/>
      <c r="Z175" s="847"/>
      <c r="AA175" s="847"/>
      <c r="AB175" s="847"/>
      <c r="AC175" s="847"/>
      <c r="AD175" s="847"/>
      <c r="AE175" s="847"/>
      <c r="AF175" s="847"/>
      <c r="AG175" s="847"/>
      <c r="AH175" s="847"/>
      <c r="AI175" s="847"/>
      <c r="AJ175" s="847"/>
      <c r="AK175" s="847"/>
      <c r="AL175" s="847"/>
      <c r="AM175" s="847"/>
      <c r="AN175" s="847"/>
      <c r="AO175" s="847"/>
      <c r="AP175" s="847"/>
      <c r="AQ175" s="847"/>
      <c r="AR175" s="847"/>
      <c r="AS175" s="847"/>
      <c r="AT175" s="847"/>
      <c r="AU175" s="847"/>
      <c r="AV175" s="847"/>
      <c r="AW175" s="847"/>
      <c r="AX175" s="847"/>
      <c r="AY175" s="847"/>
      <c r="AZ175" s="847"/>
      <c r="BA175" s="847"/>
      <c r="BB175" s="847"/>
      <c r="BC175" s="847"/>
      <c r="BD175" s="847"/>
      <c r="BE175" s="847"/>
      <c r="BF175" s="847"/>
      <c r="BG175" s="847"/>
      <c r="BH175" s="847"/>
      <c r="BI175" s="847"/>
      <c r="BJ175" s="847"/>
      <c r="BK175" s="847"/>
      <c r="BL175" s="847"/>
      <c r="BM175" s="847"/>
      <c r="BN175" s="847"/>
      <c r="BO175" s="847"/>
      <c r="BP175" s="847"/>
      <c r="BQ175" s="847"/>
      <c r="BR175" s="847"/>
      <c r="BS175" s="847"/>
      <c r="BT175" s="847"/>
      <c r="BU175" s="847"/>
      <c r="BV175" s="847"/>
      <c r="BW175" s="847"/>
      <c r="BX175" s="847"/>
      <c r="BY175" s="847"/>
      <c r="BZ175" s="847"/>
      <c r="CA175" s="847"/>
      <c r="CB175" s="847"/>
    </row>
    <row r="176" spans="1:80" s="473" customFormat="1" x14ac:dyDescent="0.2">
      <c r="A176" s="1046"/>
      <c r="D176" s="473">
        <v>2011</v>
      </c>
      <c r="E176" s="1670">
        <v>0</v>
      </c>
      <c r="F176" s="846"/>
      <c r="G176" s="846"/>
      <c r="H176" s="846"/>
      <c r="I176" s="846"/>
      <c r="J176" s="846"/>
      <c r="K176" s="846"/>
      <c r="L176" s="846"/>
      <c r="M176" s="846"/>
      <c r="N176" s="846"/>
      <c r="O176" s="846"/>
      <c r="P176" s="1711"/>
      <c r="Q176" s="1684"/>
      <c r="R176" s="847"/>
      <c r="S176" s="847"/>
      <c r="T176" s="847"/>
      <c r="U176" s="847"/>
      <c r="V176" s="847"/>
      <c r="W176" s="847"/>
      <c r="X176" s="847"/>
      <c r="Y176" s="847"/>
      <c r="Z176" s="847"/>
      <c r="AA176" s="847"/>
      <c r="AB176" s="847"/>
      <c r="AC176" s="847"/>
      <c r="AD176" s="847"/>
      <c r="AE176" s="847"/>
      <c r="AF176" s="847"/>
      <c r="AG176" s="847"/>
      <c r="AH176" s="847"/>
      <c r="AI176" s="847"/>
      <c r="AJ176" s="847"/>
      <c r="AK176" s="847"/>
      <c r="AL176" s="847"/>
      <c r="AM176" s="847"/>
      <c r="AN176" s="847"/>
      <c r="AO176" s="847"/>
      <c r="AP176" s="847"/>
      <c r="AQ176" s="847"/>
      <c r="AR176" s="847"/>
      <c r="AS176" s="847"/>
      <c r="AT176" s="847"/>
      <c r="AU176" s="847"/>
      <c r="AV176" s="847"/>
      <c r="AW176" s="847"/>
      <c r="AX176" s="847"/>
      <c r="AY176" s="847"/>
      <c r="AZ176" s="847"/>
      <c r="BA176" s="847"/>
      <c r="BB176" s="847"/>
      <c r="BC176" s="847"/>
      <c r="BD176" s="847"/>
      <c r="BE176" s="847"/>
      <c r="BF176" s="847"/>
      <c r="BG176" s="847"/>
      <c r="BH176" s="847"/>
      <c r="BI176" s="847"/>
      <c r="BJ176" s="847"/>
      <c r="BK176" s="847"/>
      <c r="BL176" s="847"/>
      <c r="BM176" s="847"/>
      <c r="BN176" s="847"/>
      <c r="BO176" s="847"/>
      <c r="BP176" s="847"/>
      <c r="BQ176" s="847"/>
      <c r="BR176" s="847"/>
      <c r="BS176" s="847"/>
      <c r="BT176" s="847"/>
      <c r="BU176" s="847"/>
      <c r="BV176" s="847"/>
      <c r="BW176" s="847"/>
      <c r="BX176" s="847"/>
      <c r="BY176" s="847"/>
      <c r="BZ176" s="847"/>
      <c r="CA176" s="847"/>
      <c r="CB176" s="847"/>
    </row>
    <row r="177" spans="1:80" s="473" customFormat="1" x14ac:dyDescent="0.2">
      <c r="A177" s="1046"/>
      <c r="D177" s="473">
        <v>2012</v>
      </c>
      <c r="E177" s="1670">
        <v>0</v>
      </c>
      <c r="F177" s="846"/>
      <c r="G177" s="846"/>
      <c r="H177" s="846"/>
      <c r="I177" s="846"/>
      <c r="J177" s="846"/>
      <c r="K177" s="846"/>
      <c r="L177" s="846"/>
      <c r="M177" s="846"/>
      <c r="N177" s="846"/>
      <c r="O177" s="846"/>
      <c r="P177" s="1711"/>
      <c r="Q177" s="1684"/>
      <c r="R177" s="847"/>
      <c r="S177" s="847"/>
      <c r="T177" s="847"/>
      <c r="U177" s="847"/>
      <c r="V177" s="847"/>
      <c r="W177" s="847"/>
      <c r="X177" s="847"/>
      <c r="Y177" s="847"/>
      <c r="Z177" s="847"/>
      <c r="AA177" s="847"/>
      <c r="AB177" s="847"/>
      <c r="AC177" s="847"/>
      <c r="AD177" s="847"/>
      <c r="AE177" s="847"/>
      <c r="AF177" s="847"/>
      <c r="AG177" s="847"/>
      <c r="AH177" s="847"/>
      <c r="AI177" s="847"/>
      <c r="AJ177" s="847"/>
      <c r="AK177" s="847"/>
      <c r="AL177" s="847"/>
      <c r="AM177" s="847"/>
      <c r="AN177" s="847"/>
      <c r="AO177" s="847"/>
      <c r="AP177" s="847"/>
      <c r="AQ177" s="847"/>
      <c r="AR177" s="847"/>
      <c r="AS177" s="847"/>
      <c r="AT177" s="847"/>
      <c r="AU177" s="847"/>
      <c r="AV177" s="847"/>
      <c r="AW177" s="847"/>
      <c r="AX177" s="847"/>
      <c r="AY177" s="847"/>
      <c r="AZ177" s="847"/>
      <c r="BA177" s="847"/>
      <c r="BB177" s="847"/>
      <c r="BC177" s="847"/>
      <c r="BD177" s="847"/>
      <c r="BE177" s="847"/>
      <c r="BF177" s="847"/>
      <c r="BG177" s="847"/>
      <c r="BH177" s="847"/>
      <c r="BI177" s="847"/>
      <c r="BJ177" s="847"/>
      <c r="BK177" s="847"/>
      <c r="BL177" s="847"/>
      <c r="BM177" s="847"/>
      <c r="BN177" s="847"/>
      <c r="BO177" s="847"/>
      <c r="BP177" s="847"/>
      <c r="BQ177" s="847"/>
      <c r="BR177" s="847"/>
      <c r="BS177" s="847"/>
      <c r="BT177" s="847"/>
      <c r="BU177" s="847"/>
      <c r="BV177" s="847"/>
      <c r="BW177" s="847"/>
      <c r="BX177" s="847"/>
      <c r="BY177" s="847"/>
      <c r="BZ177" s="847"/>
      <c r="CA177" s="847"/>
      <c r="CB177" s="847"/>
    </row>
    <row r="178" spans="1:80" s="473" customFormat="1" x14ac:dyDescent="0.2">
      <c r="A178" s="1046"/>
      <c r="D178" s="473" t="s">
        <v>332</v>
      </c>
      <c r="E178" s="1670">
        <f>SUM(E173:E174)</f>
        <v>1786827</v>
      </c>
      <c r="F178" s="846"/>
      <c r="G178" s="846"/>
      <c r="H178" s="846"/>
      <c r="I178" s="846"/>
      <c r="J178" s="846"/>
      <c r="K178" s="846"/>
      <c r="L178" s="846"/>
      <c r="M178" s="846"/>
      <c r="N178" s="846"/>
      <c r="O178" s="846"/>
      <c r="P178" s="1711"/>
      <c r="Q178" s="1684"/>
      <c r="R178" s="847"/>
      <c r="S178" s="847"/>
      <c r="T178" s="847"/>
      <c r="U178" s="847"/>
      <c r="V178" s="847"/>
      <c r="W178" s="847"/>
      <c r="X178" s="847"/>
      <c r="Y178" s="847"/>
      <c r="Z178" s="847"/>
      <c r="AA178" s="847"/>
      <c r="AB178" s="847"/>
      <c r="AC178" s="847"/>
      <c r="AD178" s="847"/>
      <c r="AE178" s="847"/>
      <c r="AF178" s="847"/>
      <c r="AG178" s="847"/>
      <c r="AH178" s="847"/>
      <c r="AI178" s="847"/>
      <c r="AJ178" s="847"/>
      <c r="AK178" s="847"/>
      <c r="AL178" s="847"/>
      <c r="AM178" s="847"/>
      <c r="AN178" s="847"/>
      <c r="AO178" s="847"/>
      <c r="AP178" s="847"/>
      <c r="AQ178" s="847"/>
      <c r="AR178" s="847"/>
      <c r="AS178" s="847"/>
      <c r="AT178" s="847"/>
      <c r="AU178" s="847"/>
      <c r="AV178" s="847"/>
      <c r="AW178" s="847"/>
      <c r="AX178" s="847"/>
      <c r="AY178" s="847"/>
      <c r="AZ178" s="847"/>
      <c r="BA178" s="847"/>
      <c r="BB178" s="847"/>
      <c r="BC178" s="847"/>
      <c r="BD178" s="847"/>
      <c r="BE178" s="847"/>
      <c r="BF178" s="847"/>
      <c r="BG178" s="847"/>
      <c r="BH178" s="847"/>
      <c r="BI178" s="847"/>
      <c r="BJ178" s="847"/>
      <c r="BK178" s="847"/>
      <c r="BL178" s="847"/>
      <c r="BM178" s="847"/>
      <c r="BN178" s="847"/>
      <c r="BO178" s="847"/>
      <c r="BP178" s="847"/>
      <c r="BQ178" s="847"/>
      <c r="BR178" s="847"/>
      <c r="BS178" s="847"/>
      <c r="BT178" s="847"/>
      <c r="BU178" s="847"/>
      <c r="BV178" s="847"/>
      <c r="BW178" s="847"/>
      <c r="BX178" s="847"/>
      <c r="BY178" s="847"/>
      <c r="BZ178" s="847"/>
      <c r="CA178" s="847"/>
      <c r="CB178" s="847"/>
    </row>
    <row r="179" spans="1:80" x14ac:dyDescent="0.2">
      <c r="A179" s="430">
        <v>2007</v>
      </c>
      <c r="B179" s="39"/>
      <c r="C179" s="39"/>
      <c r="D179" s="39"/>
      <c r="E179" s="66">
        <f>SUM(E144,E151,E158,E166,E173)</f>
        <v>886781</v>
      </c>
      <c r="F179" s="66">
        <f>SUM(F144,F151,F158,F166,F173)</f>
        <v>177356.2</v>
      </c>
      <c r="G179" s="66">
        <f>SUM(G144:G178)</f>
        <v>549878</v>
      </c>
      <c r="H179" s="66"/>
      <c r="I179" s="66"/>
      <c r="J179" s="66"/>
      <c r="K179" s="66"/>
      <c r="L179" s="66"/>
      <c r="M179" s="66"/>
      <c r="N179" s="66"/>
      <c r="O179" s="66"/>
      <c r="P179" s="1712"/>
      <c r="Q179" s="1685"/>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row>
    <row r="180" spans="1:80" x14ac:dyDescent="0.2">
      <c r="A180" s="430">
        <v>2008</v>
      </c>
      <c r="B180" s="39"/>
      <c r="C180" s="39"/>
      <c r="D180" s="39"/>
      <c r="E180" s="66">
        <f>SUM(E145,E152,E159,E167,E174)</f>
        <v>1862609</v>
      </c>
      <c r="F180" s="66"/>
      <c r="G180" s="66"/>
      <c r="H180" s="66"/>
      <c r="I180" s="66"/>
      <c r="J180" s="66"/>
      <c r="K180" s="66"/>
      <c r="L180" s="66"/>
      <c r="M180" s="66"/>
      <c r="N180" s="66"/>
      <c r="O180" s="66"/>
      <c r="P180" s="1712"/>
      <c r="Q180" s="1685"/>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c r="BZ180" s="288"/>
      <c r="CA180" s="288"/>
      <c r="CB180" s="288"/>
    </row>
    <row r="181" spans="1:80" s="1196" customFormat="1" x14ac:dyDescent="0.2">
      <c r="A181" s="1234" t="s">
        <v>477</v>
      </c>
      <c r="D181" s="1196">
        <v>2009</v>
      </c>
      <c r="E181" s="1673">
        <v>10996</v>
      </c>
      <c r="F181" s="1674"/>
      <c r="G181" s="1675">
        <f>E181/5</f>
        <v>2199.1999999999998</v>
      </c>
      <c r="H181" s="1674">
        <f>G181</f>
        <v>2199.1999999999998</v>
      </c>
      <c r="I181" s="1674">
        <f>H181</f>
        <v>2199.1999999999998</v>
      </c>
      <c r="J181" s="1674">
        <f>I181</f>
        <v>2199.1999999999998</v>
      </c>
      <c r="K181" s="1674">
        <f>J181</f>
        <v>2199.1999999999998</v>
      </c>
      <c r="L181" s="1674"/>
      <c r="M181" s="1674"/>
      <c r="N181" s="1674"/>
      <c r="O181" s="1674"/>
      <c r="P181" s="1713"/>
      <c r="Q181" s="1686"/>
      <c r="R181" s="1676"/>
      <c r="S181" s="1676"/>
      <c r="T181" s="1676"/>
      <c r="U181" s="1676"/>
      <c r="V181" s="1676"/>
      <c r="W181" s="1676"/>
      <c r="X181" s="1676"/>
      <c r="Y181" s="1676"/>
      <c r="Z181" s="1676"/>
      <c r="AA181" s="1676"/>
      <c r="AB181" s="1676"/>
      <c r="AC181" s="1676"/>
      <c r="AD181" s="1676"/>
      <c r="AE181" s="1676"/>
      <c r="AF181" s="1676"/>
      <c r="AG181" s="1676"/>
      <c r="AH181" s="1676"/>
      <c r="AI181" s="1676"/>
      <c r="AJ181" s="1676"/>
      <c r="AK181" s="1676"/>
      <c r="AL181" s="1676"/>
      <c r="AM181" s="1676"/>
      <c r="AN181" s="1676"/>
      <c r="AO181" s="1676"/>
      <c r="AP181" s="1676"/>
      <c r="AQ181" s="1676"/>
      <c r="AR181" s="1676"/>
      <c r="AS181" s="1676"/>
      <c r="AT181" s="1676"/>
      <c r="AU181" s="1676"/>
      <c r="AV181" s="1676"/>
      <c r="AW181" s="1676"/>
      <c r="AX181" s="1676"/>
      <c r="AY181" s="1676"/>
      <c r="AZ181" s="1676"/>
      <c r="BA181" s="1676"/>
      <c r="BB181" s="1676"/>
      <c r="BC181" s="1676"/>
      <c r="BD181" s="1676"/>
      <c r="BE181" s="1676"/>
      <c r="BF181" s="1676"/>
      <c r="BG181" s="1676"/>
      <c r="BH181" s="1676"/>
      <c r="BI181" s="1676"/>
      <c r="BJ181" s="1676"/>
      <c r="BK181" s="1676"/>
      <c r="BL181" s="1676"/>
      <c r="BM181" s="1676"/>
      <c r="BN181" s="1676"/>
      <c r="BO181" s="1676"/>
      <c r="BP181" s="1676"/>
      <c r="BQ181" s="1676"/>
      <c r="BR181" s="1676"/>
      <c r="BS181" s="1676"/>
      <c r="BT181" s="1676"/>
      <c r="BU181" s="1676"/>
      <c r="BV181" s="1676"/>
      <c r="BW181" s="1676"/>
      <c r="BX181" s="1676"/>
      <c r="BY181" s="1676"/>
      <c r="BZ181" s="1676"/>
      <c r="CA181" s="1676"/>
      <c r="CB181" s="1676"/>
    </row>
    <row r="182" spans="1:80" s="1196" customFormat="1" x14ac:dyDescent="0.2">
      <c r="A182" s="1234"/>
      <c r="D182" s="1196">
        <v>2010</v>
      </c>
      <c r="E182" s="1673">
        <v>14700</v>
      </c>
      <c r="F182" s="1674"/>
      <c r="G182" s="1674"/>
      <c r="H182" s="1674">
        <f>E182/5</f>
        <v>2940</v>
      </c>
      <c r="I182" s="1674">
        <f>H182</f>
        <v>2940</v>
      </c>
      <c r="J182" s="1674">
        <f>I182</f>
        <v>2940</v>
      </c>
      <c r="K182" s="1674">
        <f>J182</f>
        <v>2940</v>
      </c>
      <c r="L182" s="1674">
        <f>K182</f>
        <v>2940</v>
      </c>
      <c r="M182" s="1674"/>
      <c r="N182" s="1674"/>
      <c r="O182" s="1674"/>
      <c r="P182" s="1713"/>
      <c r="Q182" s="1686"/>
      <c r="R182" s="1676"/>
      <c r="S182" s="1676"/>
      <c r="T182" s="1676"/>
      <c r="U182" s="1676"/>
      <c r="V182" s="1676"/>
      <c r="W182" s="1676"/>
      <c r="X182" s="1676"/>
      <c r="Y182" s="1676"/>
      <c r="Z182" s="1676"/>
      <c r="AA182" s="1676"/>
      <c r="AB182" s="1676"/>
      <c r="AC182" s="1676"/>
      <c r="AD182" s="1676"/>
      <c r="AE182" s="1676"/>
      <c r="AF182" s="1676"/>
      <c r="AG182" s="1676"/>
      <c r="AH182" s="1676"/>
      <c r="AI182" s="1676"/>
      <c r="AJ182" s="1676"/>
      <c r="AK182" s="1676"/>
      <c r="AL182" s="1676"/>
      <c r="AM182" s="1676"/>
      <c r="AN182" s="1676"/>
      <c r="AO182" s="1676"/>
      <c r="AP182" s="1676"/>
      <c r="AQ182" s="1676"/>
      <c r="AR182" s="1676"/>
      <c r="AS182" s="1676"/>
      <c r="AT182" s="1676"/>
      <c r="AU182" s="1676"/>
      <c r="AV182" s="1676"/>
      <c r="AW182" s="1676"/>
      <c r="AX182" s="1676"/>
      <c r="AY182" s="1676"/>
      <c r="AZ182" s="1676"/>
      <c r="BA182" s="1676"/>
      <c r="BB182" s="1676"/>
      <c r="BC182" s="1676"/>
      <c r="BD182" s="1676"/>
      <c r="BE182" s="1676"/>
      <c r="BF182" s="1676"/>
      <c r="BG182" s="1676"/>
      <c r="BH182" s="1676"/>
      <c r="BI182" s="1676"/>
      <c r="BJ182" s="1676"/>
      <c r="BK182" s="1676"/>
      <c r="BL182" s="1676"/>
      <c r="BM182" s="1676"/>
      <c r="BN182" s="1676"/>
      <c r="BO182" s="1676"/>
      <c r="BP182" s="1676"/>
      <c r="BQ182" s="1676"/>
      <c r="BR182" s="1676"/>
      <c r="BS182" s="1676"/>
      <c r="BT182" s="1676"/>
      <c r="BU182" s="1676"/>
      <c r="BV182" s="1676"/>
      <c r="BW182" s="1676"/>
      <c r="BX182" s="1676"/>
      <c r="BY182" s="1676"/>
      <c r="BZ182" s="1676"/>
      <c r="CA182" s="1676"/>
      <c r="CB182" s="1676"/>
    </row>
    <row r="183" spans="1:80" s="1196" customFormat="1" x14ac:dyDescent="0.2">
      <c r="A183" s="1234"/>
      <c r="D183" s="1196">
        <v>2011</v>
      </c>
      <c r="E183" s="1673">
        <v>10994</v>
      </c>
      <c r="F183" s="1674"/>
      <c r="G183" s="1674"/>
      <c r="H183" s="1674"/>
      <c r="I183" s="1674">
        <f>E183/5</f>
        <v>2198.8000000000002</v>
      </c>
      <c r="J183" s="1674">
        <f>I183</f>
        <v>2198.8000000000002</v>
      </c>
      <c r="K183" s="1674">
        <f>J183</f>
        <v>2198.8000000000002</v>
      </c>
      <c r="L183" s="1674">
        <f>K183</f>
        <v>2198.8000000000002</v>
      </c>
      <c r="M183" s="1674">
        <f>L183</f>
        <v>2198.8000000000002</v>
      </c>
      <c r="N183" s="1674"/>
      <c r="O183" s="1674"/>
      <c r="P183" s="1713"/>
      <c r="Q183" s="1686"/>
      <c r="R183" s="1676"/>
      <c r="S183" s="1676"/>
      <c r="T183" s="1676"/>
      <c r="U183" s="1676"/>
      <c r="V183" s="1676"/>
      <c r="W183" s="1676"/>
      <c r="X183" s="1676"/>
      <c r="Y183" s="1676"/>
      <c r="Z183" s="1676"/>
      <c r="AA183" s="1676"/>
      <c r="AB183" s="1676"/>
      <c r="AC183" s="1676"/>
      <c r="AD183" s="1676"/>
      <c r="AE183" s="1676"/>
      <c r="AF183" s="1676"/>
      <c r="AG183" s="1676"/>
      <c r="AH183" s="1676"/>
      <c r="AI183" s="1676"/>
      <c r="AJ183" s="1676"/>
      <c r="AK183" s="1676"/>
      <c r="AL183" s="1676"/>
      <c r="AM183" s="1676"/>
      <c r="AN183" s="1676"/>
      <c r="AO183" s="1676"/>
      <c r="AP183" s="1676"/>
      <c r="AQ183" s="1676"/>
      <c r="AR183" s="1676"/>
      <c r="AS183" s="1676"/>
      <c r="AT183" s="1676"/>
      <c r="AU183" s="1676"/>
      <c r="AV183" s="1676"/>
      <c r="AW183" s="1676"/>
      <c r="AX183" s="1676"/>
      <c r="AY183" s="1676"/>
      <c r="AZ183" s="1676"/>
      <c r="BA183" s="1676"/>
      <c r="BB183" s="1676"/>
      <c r="BC183" s="1676"/>
      <c r="BD183" s="1676"/>
      <c r="BE183" s="1676"/>
      <c r="BF183" s="1676"/>
      <c r="BG183" s="1676"/>
      <c r="BH183" s="1676"/>
      <c r="BI183" s="1676"/>
      <c r="BJ183" s="1676"/>
      <c r="BK183" s="1676"/>
      <c r="BL183" s="1676"/>
      <c r="BM183" s="1676"/>
      <c r="BN183" s="1676"/>
      <c r="BO183" s="1676"/>
      <c r="BP183" s="1676"/>
      <c r="BQ183" s="1676"/>
      <c r="BR183" s="1676"/>
      <c r="BS183" s="1676"/>
      <c r="BT183" s="1676"/>
      <c r="BU183" s="1676"/>
      <c r="BV183" s="1676"/>
      <c r="BW183" s="1676"/>
      <c r="BX183" s="1676"/>
      <c r="BY183" s="1676"/>
      <c r="BZ183" s="1676"/>
      <c r="CA183" s="1676"/>
      <c r="CB183" s="1676"/>
    </row>
    <row r="184" spans="1:80" s="1196" customFormat="1" x14ac:dyDescent="0.2">
      <c r="A184" s="1234"/>
      <c r="D184" s="1196">
        <v>2012</v>
      </c>
      <c r="E184" s="1673">
        <v>19145</v>
      </c>
      <c r="F184" s="1674"/>
      <c r="G184" s="1674"/>
      <c r="H184" s="1674"/>
      <c r="I184" s="1674"/>
      <c r="J184" s="1674">
        <f>E184/5</f>
        <v>3829</v>
      </c>
      <c r="K184" s="1674">
        <f>J184</f>
        <v>3829</v>
      </c>
      <c r="L184" s="1674">
        <f>K184</f>
        <v>3829</v>
      </c>
      <c r="M184" s="1674">
        <f>L184</f>
        <v>3829</v>
      </c>
      <c r="N184" s="1674">
        <f>M184</f>
        <v>3829</v>
      </c>
      <c r="O184" s="1674"/>
      <c r="P184" s="1713"/>
      <c r="Q184" s="1686"/>
      <c r="R184" s="1676"/>
      <c r="S184" s="1676"/>
      <c r="T184" s="1676"/>
      <c r="U184" s="1676"/>
      <c r="V184" s="1676"/>
      <c r="W184" s="1676"/>
      <c r="X184" s="1676"/>
      <c r="Y184" s="1676"/>
      <c r="Z184" s="1676"/>
      <c r="AA184" s="1676"/>
      <c r="AB184" s="1676"/>
      <c r="AC184" s="1676"/>
      <c r="AD184" s="1676"/>
      <c r="AE184" s="1676"/>
      <c r="AF184" s="1676"/>
      <c r="AG184" s="1676"/>
      <c r="AH184" s="1676"/>
      <c r="AI184" s="1676"/>
      <c r="AJ184" s="1676"/>
      <c r="AK184" s="1676"/>
      <c r="AL184" s="1676"/>
      <c r="AM184" s="1676"/>
      <c r="AN184" s="1676"/>
      <c r="AO184" s="1676"/>
      <c r="AP184" s="1676"/>
      <c r="AQ184" s="1676"/>
      <c r="AR184" s="1676"/>
      <c r="AS184" s="1676"/>
      <c r="AT184" s="1676"/>
      <c r="AU184" s="1676"/>
      <c r="AV184" s="1676"/>
      <c r="AW184" s="1676"/>
      <c r="AX184" s="1676"/>
      <c r="AY184" s="1676"/>
      <c r="AZ184" s="1676"/>
      <c r="BA184" s="1676"/>
      <c r="BB184" s="1676"/>
      <c r="BC184" s="1676"/>
      <c r="BD184" s="1676"/>
      <c r="BE184" s="1676"/>
      <c r="BF184" s="1676"/>
      <c r="BG184" s="1676"/>
      <c r="BH184" s="1676"/>
      <c r="BI184" s="1676"/>
      <c r="BJ184" s="1676"/>
      <c r="BK184" s="1676"/>
      <c r="BL184" s="1676"/>
      <c r="BM184" s="1676"/>
      <c r="BN184" s="1676"/>
      <c r="BO184" s="1676"/>
      <c r="BP184" s="1676"/>
      <c r="BQ184" s="1676"/>
      <c r="BR184" s="1676"/>
      <c r="BS184" s="1676"/>
      <c r="BT184" s="1676"/>
      <c r="BU184" s="1676"/>
      <c r="BV184" s="1676"/>
      <c r="BW184" s="1676"/>
      <c r="BX184" s="1676"/>
      <c r="BY184" s="1676"/>
      <c r="BZ184" s="1676"/>
      <c r="CA184" s="1676"/>
      <c r="CB184" s="1676"/>
    </row>
    <row r="185" spans="1:80" s="1196" customFormat="1" x14ac:dyDescent="0.2">
      <c r="A185" s="1234"/>
      <c r="D185" s="1196">
        <v>2013</v>
      </c>
      <c r="E185" s="1673">
        <v>14697</v>
      </c>
      <c r="F185" s="1674"/>
      <c r="G185" s="1674"/>
      <c r="H185" s="1674"/>
      <c r="I185" s="1674"/>
      <c r="J185" s="1674"/>
      <c r="K185" s="1674">
        <f>E185/5</f>
        <v>2939.4</v>
      </c>
      <c r="L185" s="1674">
        <f>K185</f>
        <v>2939.4</v>
      </c>
      <c r="M185" s="1674">
        <f>L185</f>
        <v>2939.4</v>
      </c>
      <c r="N185" s="1674">
        <f>M185</f>
        <v>2939.4</v>
      </c>
      <c r="O185" s="1674">
        <f>N185</f>
        <v>2939.4</v>
      </c>
      <c r="P185" s="1713"/>
      <c r="Q185" s="1686"/>
      <c r="R185" s="1676"/>
      <c r="S185" s="1676"/>
      <c r="T185" s="1676"/>
      <c r="U185" s="1676"/>
      <c r="V185" s="1676"/>
      <c r="W185" s="1676"/>
      <c r="X185" s="1676"/>
      <c r="Y185" s="1676"/>
      <c r="Z185" s="1676"/>
      <c r="AA185" s="1676"/>
      <c r="AB185" s="1676"/>
      <c r="AC185" s="1676"/>
      <c r="AD185" s="1676"/>
      <c r="AE185" s="1676"/>
      <c r="AF185" s="1676"/>
      <c r="AG185" s="1676"/>
      <c r="AH185" s="1676"/>
      <c r="AI185" s="1676"/>
      <c r="AJ185" s="1676"/>
      <c r="AK185" s="1676"/>
      <c r="AL185" s="1676"/>
      <c r="AM185" s="1676"/>
      <c r="AN185" s="1676"/>
      <c r="AO185" s="1676"/>
      <c r="AP185" s="1676"/>
      <c r="AQ185" s="1676"/>
      <c r="AR185" s="1676"/>
      <c r="AS185" s="1676"/>
      <c r="AT185" s="1676"/>
      <c r="AU185" s="1676"/>
      <c r="AV185" s="1676"/>
      <c r="AW185" s="1676"/>
      <c r="AX185" s="1676"/>
      <c r="AY185" s="1676"/>
      <c r="AZ185" s="1676"/>
      <c r="BA185" s="1676"/>
      <c r="BB185" s="1676"/>
      <c r="BC185" s="1676"/>
      <c r="BD185" s="1676"/>
      <c r="BE185" s="1676"/>
      <c r="BF185" s="1676"/>
      <c r="BG185" s="1676"/>
      <c r="BH185" s="1676"/>
      <c r="BI185" s="1676"/>
      <c r="BJ185" s="1676"/>
      <c r="BK185" s="1676"/>
      <c r="BL185" s="1676"/>
      <c r="BM185" s="1676"/>
      <c r="BN185" s="1676"/>
      <c r="BO185" s="1676"/>
      <c r="BP185" s="1676"/>
      <c r="BQ185" s="1676"/>
      <c r="BR185" s="1676"/>
      <c r="BS185" s="1676"/>
      <c r="BT185" s="1676"/>
      <c r="BU185" s="1676"/>
      <c r="BV185" s="1676"/>
      <c r="BW185" s="1676"/>
      <c r="BX185" s="1676"/>
      <c r="BY185" s="1676"/>
      <c r="BZ185" s="1676"/>
      <c r="CA185" s="1676"/>
      <c r="CB185" s="1676"/>
    </row>
    <row r="186" spans="1:80" s="1196" customFormat="1" x14ac:dyDescent="0.2">
      <c r="A186" s="1234"/>
      <c r="D186" s="1196" t="s">
        <v>69</v>
      </c>
      <c r="E186" s="1673">
        <f>SUM(E181:E185)</f>
        <v>70532</v>
      </c>
      <c r="F186" s="1674"/>
      <c r="G186" s="1674"/>
      <c r="H186" s="1674"/>
      <c r="I186" s="1674"/>
      <c r="J186" s="1674"/>
      <c r="K186" s="1674"/>
      <c r="L186" s="1674"/>
      <c r="M186" s="1674"/>
      <c r="N186" s="1674"/>
      <c r="O186" s="1674"/>
      <c r="P186" s="1713"/>
      <c r="Q186" s="1686"/>
      <c r="R186" s="1676"/>
      <c r="S186" s="1676"/>
      <c r="T186" s="1676"/>
      <c r="U186" s="1676"/>
      <c r="V186" s="1676"/>
      <c r="W186" s="1676"/>
      <c r="X186" s="1676"/>
      <c r="Y186" s="1676"/>
      <c r="Z186" s="1676"/>
      <c r="AA186" s="1676"/>
      <c r="AB186" s="1676"/>
      <c r="AC186" s="1676"/>
      <c r="AD186" s="1676"/>
      <c r="AE186" s="1676"/>
      <c r="AF186" s="1676"/>
      <c r="AG186" s="1676"/>
      <c r="AH186" s="1676"/>
      <c r="AI186" s="1676"/>
      <c r="AJ186" s="1676"/>
      <c r="AK186" s="1676"/>
      <c r="AL186" s="1676"/>
      <c r="AM186" s="1676"/>
      <c r="AN186" s="1676"/>
      <c r="AO186" s="1676"/>
      <c r="AP186" s="1676"/>
      <c r="AQ186" s="1676"/>
      <c r="AR186" s="1676"/>
      <c r="AS186" s="1676"/>
      <c r="AT186" s="1676"/>
      <c r="AU186" s="1676"/>
      <c r="AV186" s="1676"/>
      <c r="AW186" s="1676"/>
      <c r="AX186" s="1676"/>
      <c r="AY186" s="1676"/>
      <c r="AZ186" s="1676"/>
      <c r="BA186" s="1676"/>
      <c r="BB186" s="1676"/>
      <c r="BC186" s="1676"/>
      <c r="BD186" s="1676"/>
      <c r="BE186" s="1676"/>
      <c r="BF186" s="1676"/>
      <c r="BG186" s="1676"/>
      <c r="BH186" s="1676"/>
      <c r="BI186" s="1676"/>
      <c r="BJ186" s="1676"/>
      <c r="BK186" s="1676"/>
      <c r="BL186" s="1676"/>
      <c r="BM186" s="1676"/>
      <c r="BN186" s="1676"/>
      <c r="BO186" s="1676"/>
      <c r="BP186" s="1676"/>
      <c r="BQ186" s="1676"/>
      <c r="BR186" s="1676"/>
      <c r="BS186" s="1676"/>
      <c r="BT186" s="1676"/>
      <c r="BU186" s="1676"/>
      <c r="BV186" s="1676"/>
      <c r="BW186" s="1676"/>
      <c r="BX186" s="1676"/>
      <c r="BY186" s="1676"/>
      <c r="BZ186" s="1676"/>
      <c r="CA186" s="1676"/>
      <c r="CB186" s="1676"/>
    </row>
    <row r="187" spans="1:80" x14ac:dyDescent="0.2">
      <c r="A187" s="430"/>
      <c r="B187" s="39"/>
      <c r="C187" s="39"/>
      <c r="D187" s="39"/>
      <c r="E187" s="1671"/>
      <c r="F187" s="66"/>
      <c r="G187" s="66"/>
      <c r="H187" s="66"/>
      <c r="I187" s="66"/>
      <c r="J187" s="66"/>
      <c r="K187" s="66"/>
      <c r="L187" s="66"/>
      <c r="M187" s="66"/>
      <c r="N187" s="66"/>
      <c r="O187" s="66"/>
      <c r="P187" s="1712"/>
      <c r="Q187" s="1685"/>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c r="BZ187" s="288"/>
      <c r="CA187" s="288"/>
      <c r="CB187" s="288"/>
    </row>
    <row r="188" spans="1:80" s="1196" customFormat="1" x14ac:dyDescent="0.2">
      <c r="A188" s="1234" t="s">
        <v>526</v>
      </c>
      <c r="D188" s="1196">
        <v>2009</v>
      </c>
      <c r="E188" s="1673">
        <v>206737</v>
      </c>
      <c r="F188" s="1674"/>
      <c r="G188" s="1674">
        <f>E188/5</f>
        <v>41347.4</v>
      </c>
      <c r="H188" s="1674">
        <f>G188</f>
        <v>41347.4</v>
      </c>
      <c r="I188" s="1674">
        <f>H188</f>
        <v>41347.4</v>
      </c>
      <c r="J188" s="1674">
        <f>I188</f>
        <v>41347.4</v>
      </c>
      <c r="K188" s="1674">
        <f>J188</f>
        <v>41347.4</v>
      </c>
      <c r="L188" s="1674"/>
      <c r="M188" s="1674"/>
      <c r="N188" s="1674"/>
      <c r="O188" s="1674"/>
      <c r="P188" s="1713"/>
      <c r="Q188" s="1686"/>
      <c r="R188" s="1676"/>
      <c r="S188" s="1676"/>
      <c r="T188" s="1676"/>
      <c r="U188" s="1676"/>
      <c r="V188" s="1676"/>
      <c r="W188" s="1676"/>
      <c r="X188" s="1676"/>
      <c r="Y188" s="1676"/>
      <c r="Z188" s="1676"/>
      <c r="AA188" s="1676"/>
      <c r="AB188" s="1676"/>
      <c r="AC188" s="1676"/>
      <c r="AD188" s="1676"/>
      <c r="AE188" s="1676"/>
      <c r="AF188" s="1676"/>
      <c r="AG188" s="1676"/>
      <c r="AH188" s="1676"/>
      <c r="AI188" s="1676"/>
      <c r="AJ188" s="1676"/>
      <c r="AK188" s="1676"/>
      <c r="AL188" s="1676"/>
      <c r="AM188" s="1676"/>
      <c r="AN188" s="1676"/>
      <c r="AO188" s="1676"/>
      <c r="AP188" s="1676"/>
      <c r="AQ188" s="1676"/>
      <c r="AR188" s="1676"/>
      <c r="AS188" s="1676"/>
      <c r="AT188" s="1676"/>
      <c r="AU188" s="1676"/>
      <c r="AV188" s="1676"/>
      <c r="AW188" s="1676"/>
      <c r="AX188" s="1676"/>
      <c r="AY188" s="1676"/>
      <c r="AZ188" s="1676"/>
      <c r="BA188" s="1676"/>
      <c r="BB188" s="1676"/>
      <c r="BC188" s="1676"/>
      <c r="BD188" s="1676"/>
      <c r="BE188" s="1676"/>
      <c r="BF188" s="1676"/>
      <c r="BG188" s="1676"/>
      <c r="BH188" s="1676"/>
      <c r="BI188" s="1676"/>
      <c r="BJ188" s="1676"/>
      <c r="BK188" s="1676"/>
      <c r="BL188" s="1676"/>
      <c r="BM188" s="1676"/>
      <c r="BN188" s="1676"/>
      <c r="BO188" s="1676"/>
      <c r="BP188" s="1676"/>
      <c r="BQ188" s="1676"/>
      <c r="BR188" s="1676"/>
      <c r="BS188" s="1676"/>
      <c r="BT188" s="1676"/>
      <c r="BU188" s="1676"/>
      <c r="BV188" s="1676"/>
      <c r="BW188" s="1676"/>
      <c r="BX188" s="1676"/>
      <c r="BY188" s="1676"/>
      <c r="BZ188" s="1676"/>
      <c r="CA188" s="1676"/>
      <c r="CB188" s="1676"/>
    </row>
    <row r="189" spans="1:80" s="1196" customFormat="1" x14ac:dyDescent="0.2">
      <c r="A189" s="1234"/>
      <c r="D189" s="1196">
        <v>2010</v>
      </c>
      <c r="E189" s="1673">
        <v>0</v>
      </c>
      <c r="F189" s="1674"/>
      <c r="G189" s="1674"/>
      <c r="H189" s="1674">
        <f>E189/5</f>
        <v>0</v>
      </c>
      <c r="I189" s="1674">
        <f>H189</f>
        <v>0</v>
      </c>
      <c r="J189" s="1674">
        <f>I189</f>
        <v>0</v>
      </c>
      <c r="K189" s="1674">
        <f>J189</f>
        <v>0</v>
      </c>
      <c r="L189" s="1674">
        <f>K189</f>
        <v>0</v>
      </c>
      <c r="M189" s="1674"/>
      <c r="N189" s="1674"/>
      <c r="O189" s="1674"/>
      <c r="P189" s="1713"/>
      <c r="Q189" s="1686"/>
      <c r="R189" s="1676"/>
      <c r="S189" s="1676"/>
      <c r="T189" s="1676"/>
      <c r="U189" s="1676"/>
      <c r="V189" s="1676"/>
      <c r="W189" s="1676"/>
      <c r="X189" s="1676"/>
      <c r="Y189" s="1676"/>
      <c r="Z189" s="1676"/>
      <c r="AA189" s="1676"/>
      <c r="AB189" s="1676"/>
      <c r="AC189" s="1676"/>
      <c r="AD189" s="1676"/>
      <c r="AE189" s="1676"/>
      <c r="AF189" s="1676"/>
      <c r="AG189" s="1676"/>
      <c r="AH189" s="1676"/>
      <c r="AI189" s="1676"/>
      <c r="AJ189" s="1676"/>
      <c r="AK189" s="1676"/>
      <c r="AL189" s="1676"/>
      <c r="AM189" s="1676"/>
      <c r="AN189" s="1676"/>
      <c r="AO189" s="1676"/>
      <c r="AP189" s="1676"/>
      <c r="AQ189" s="1676"/>
      <c r="AR189" s="1676"/>
      <c r="AS189" s="1676"/>
      <c r="AT189" s="1676"/>
      <c r="AU189" s="1676"/>
      <c r="AV189" s="1676"/>
      <c r="AW189" s="1676"/>
      <c r="AX189" s="1676"/>
      <c r="AY189" s="1676"/>
      <c r="AZ189" s="1676"/>
      <c r="BA189" s="1676"/>
      <c r="BB189" s="1676"/>
      <c r="BC189" s="1676"/>
      <c r="BD189" s="1676"/>
      <c r="BE189" s="1676"/>
      <c r="BF189" s="1676"/>
      <c r="BG189" s="1676"/>
      <c r="BH189" s="1676"/>
      <c r="BI189" s="1676"/>
      <c r="BJ189" s="1676"/>
      <c r="BK189" s="1676"/>
      <c r="BL189" s="1676"/>
      <c r="BM189" s="1676"/>
      <c r="BN189" s="1676"/>
      <c r="BO189" s="1676"/>
      <c r="BP189" s="1676"/>
      <c r="BQ189" s="1676"/>
      <c r="BR189" s="1676"/>
      <c r="BS189" s="1676"/>
      <c r="BT189" s="1676"/>
      <c r="BU189" s="1676"/>
      <c r="BV189" s="1676"/>
      <c r="BW189" s="1676"/>
      <c r="BX189" s="1676"/>
      <c r="BY189" s="1676"/>
      <c r="BZ189" s="1676"/>
      <c r="CA189" s="1676"/>
      <c r="CB189" s="1676"/>
    </row>
    <row r="190" spans="1:80" s="1196" customFormat="1" x14ac:dyDescent="0.2">
      <c r="A190" s="1234"/>
      <c r="D190" s="1196">
        <v>2011</v>
      </c>
      <c r="E190" s="1673">
        <v>0</v>
      </c>
      <c r="F190" s="1674"/>
      <c r="G190" s="1674"/>
      <c r="H190" s="1674"/>
      <c r="I190" s="1674">
        <f>E190/5</f>
        <v>0</v>
      </c>
      <c r="J190" s="1674">
        <f>I190</f>
        <v>0</v>
      </c>
      <c r="K190" s="1674">
        <f>J190</f>
        <v>0</v>
      </c>
      <c r="L190" s="1674">
        <f>K190</f>
        <v>0</v>
      </c>
      <c r="M190" s="1674">
        <f>L190</f>
        <v>0</v>
      </c>
      <c r="N190" s="1674"/>
      <c r="O190" s="1674"/>
      <c r="P190" s="1713"/>
      <c r="Q190" s="1686"/>
      <c r="R190" s="1676"/>
      <c r="S190" s="1676"/>
      <c r="T190" s="1676"/>
      <c r="U190" s="1676"/>
      <c r="V190" s="1676"/>
      <c r="W190" s="1676"/>
      <c r="X190" s="1676"/>
      <c r="Y190" s="1676"/>
      <c r="Z190" s="1676"/>
      <c r="AA190" s="1676"/>
      <c r="AB190" s="1676"/>
      <c r="AC190" s="1676"/>
      <c r="AD190" s="1676"/>
      <c r="AE190" s="1676"/>
      <c r="AF190" s="1676"/>
      <c r="AG190" s="1676"/>
      <c r="AH190" s="1676"/>
      <c r="AI190" s="1676"/>
      <c r="AJ190" s="1676"/>
      <c r="AK190" s="1676"/>
      <c r="AL190" s="1676"/>
      <c r="AM190" s="1676"/>
      <c r="AN190" s="1676"/>
      <c r="AO190" s="1676"/>
      <c r="AP190" s="1676"/>
      <c r="AQ190" s="1676"/>
      <c r="AR190" s="1676"/>
      <c r="AS190" s="1676"/>
      <c r="AT190" s="1676"/>
      <c r="AU190" s="1676"/>
      <c r="AV190" s="1676"/>
      <c r="AW190" s="1676"/>
      <c r="AX190" s="1676"/>
      <c r="AY190" s="1676"/>
      <c r="AZ190" s="1676"/>
      <c r="BA190" s="1676"/>
      <c r="BB190" s="1676"/>
      <c r="BC190" s="1676"/>
      <c r="BD190" s="1676"/>
      <c r="BE190" s="1676"/>
      <c r="BF190" s="1676"/>
      <c r="BG190" s="1676"/>
      <c r="BH190" s="1676"/>
      <c r="BI190" s="1676"/>
      <c r="BJ190" s="1676"/>
      <c r="BK190" s="1676"/>
      <c r="BL190" s="1676"/>
      <c r="BM190" s="1676"/>
      <c r="BN190" s="1676"/>
      <c r="BO190" s="1676"/>
      <c r="BP190" s="1676"/>
      <c r="BQ190" s="1676"/>
      <c r="BR190" s="1676"/>
      <c r="BS190" s="1676"/>
      <c r="BT190" s="1676"/>
      <c r="BU190" s="1676"/>
      <c r="BV190" s="1676"/>
      <c r="BW190" s="1676"/>
      <c r="BX190" s="1676"/>
      <c r="BY190" s="1676"/>
      <c r="BZ190" s="1676"/>
      <c r="CA190" s="1676"/>
      <c r="CB190" s="1676"/>
    </row>
    <row r="191" spans="1:80" s="1196" customFormat="1" x14ac:dyDescent="0.2">
      <c r="A191" s="1234"/>
      <c r="D191" s="1196">
        <v>2012</v>
      </c>
      <c r="E191" s="1673">
        <v>0</v>
      </c>
      <c r="F191" s="1674"/>
      <c r="G191" s="1674"/>
      <c r="H191" s="1674"/>
      <c r="I191" s="1674"/>
      <c r="J191" s="1674">
        <f>E191/5</f>
        <v>0</v>
      </c>
      <c r="K191" s="1674">
        <f>J191</f>
        <v>0</v>
      </c>
      <c r="L191" s="1674">
        <f>K191</f>
        <v>0</v>
      </c>
      <c r="M191" s="1674">
        <f>L191</f>
        <v>0</v>
      </c>
      <c r="N191" s="1674">
        <f>M191</f>
        <v>0</v>
      </c>
      <c r="O191" s="1674"/>
      <c r="P191" s="1713"/>
      <c r="Q191" s="1686"/>
      <c r="R191" s="1676"/>
      <c r="S191" s="1676"/>
      <c r="T191" s="1676"/>
      <c r="U191" s="1676"/>
      <c r="V191" s="1676"/>
      <c r="W191" s="1676"/>
      <c r="X191" s="1676"/>
      <c r="Y191" s="1676"/>
      <c r="Z191" s="1676"/>
      <c r="AA191" s="1676"/>
      <c r="AB191" s="1676"/>
      <c r="AC191" s="1676"/>
      <c r="AD191" s="1676"/>
      <c r="AE191" s="1676"/>
      <c r="AF191" s="1676"/>
      <c r="AG191" s="1676"/>
      <c r="AH191" s="1676"/>
      <c r="AI191" s="1676"/>
      <c r="AJ191" s="1676"/>
      <c r="AK191" s="1676"/>
      <c r="AL191" s="1676"/>
      <c r="AM191" s="1676"/>
      <c r="AN191" s="1676"/>
      <c r="AO191" s="1676"/>
      <c r="AP191" s="1676"/>
      <c r="AQ191" s="1676"/>
      <c r="AR191" s="1676"/>
      <c r="AS191" s="1676"/>
      <c r="AT191" s="1676"/>
      <c r="AU191" s="1676"/>
      <c r="AV191" s="1676"/>
      <c r="AW191" s="1676"/>
      <c r="AX191" s="1676"/>
      <c r="AY191" s="1676"/>
      <c r="AZ191" s="1676"/>
      <c r="BA191" s="1676"/>
      <c r="BB191" s="1676"/>
      <c r="BC191" s="1676"/>
      <c r="BD191" s="1676"/>
      <c r="BE191" s="1676"/>
      <c r="BF191" s="1676"/>
      <c r="BG191" s="1676"/>
      <c r="BH191" s="1676"/>
      <c r="BI191" s="1676"/>
      <c r="BJ191" s="1676"/>
      <c r="BK191" s="1676"/>
      <c r="BL191" s="1676"/>
      <c r="BM191" s="1676"/>
      <c r="BN191" s="1676"/>
      <c r="BO191" s="1676"/>
      <c r="BP191" s="1676"/>
      <c r="BQ191" s="1676"/>
      <c r="BR191" s="1676"/>
      <c r="BS191" s="1676"/>
      <c r="BT191" s="1676"/>
      <c r="BU191" s="1676"/>
      <c r="BV191" s="1676"/>
      <c r="BW191" s="1676"/>
      <c r="BX191" s="1676"/>
      <c r="BY191" s="1676"/>
      <c r="BZ191" s="1676"/>
      <c r="CA191" s="1676"/>
      <c r="CB191" s="1676"/>
    </row>
    <row r="192" spans="1:80" s="1196" customFormat="1" x14ac:dyDescent="0.2">
      <c r="A192" s="1234"/>
      <c r="D192" s="1196">
        <v>2013</v>
      </c>
      <c r="E192" s="1673">
        <v>0</v>
      </c>
      <c r="F192" s="1674"/>
      <c r="G192" s="1674"/>
      <c r="H192" s="1674"/>
      <c r="I192" s="1674"/>
      <c r="J192" s="1674"/>
      <c r="K192" s="1674">
        <f>E192/5</f>
        <v>0</v>
      </c>
      <c r="L192" s="1674">
        <f>K192</f>
        <v>0</v>
      </c>
      <c r="M192" s="1674">
        <f>L192</f>
        <v>0</v>
      </c>
      <c r="N192" s="1674">
        <f>M192</f>
        <v>0</v>
      </c>
      <c r="O192" s="1674">
        <f>N192</f>
        <v>0</v>
      </c>
      <c r="P192" s="1713"/>
      <c r="Q192" s="1686"/>
      <c r="R192" s="1676"/>
      <c r="S192" s="1676"/>
      <c r="T192" s="1676"/>
      <c r="U192" s="1676"/>
      <c r="V192" s="1676"/>
      <c r="W192" s="1676"/>
      <c r="X192" s="1676"/>
      <c r="Y192" s="1676"/>
      <c r="Z192" s="1676"/>
      <c r="AA192" s="1676"/>
      <c r="AB192" s="1676"/>
      <c r="AC192" s="1676"/>
      <c r="AD192" s="1676"/>
      <c r="AE192" s="1676"/>
      <c r="AF192" s="1676"/>
      <c r="AG192" s="1676"/>
      <c r="AH192" s="1676"/>
      <c r="AI192" s="1676"/>
      <c r="AJ192" s="1676"/>
      <c r="AK192" s="1676"/>
      <c r="AL192" s="1676"/>
      <c r="AM192" s="1676"/>
      <c r="AN192" s="1676"/>
      <c r="AO192" s="1676"/>
      <c r="AP192" s="1676"/>
      <c r="AQ192" s="1676"/>
      <c r="AR192" s="1676"/>
      <c r="AS192" s="1676"/>
      <c r="AT192" s="1676"/>
      <c r="AU192" s="1676"/>
      <c r="AV192" s="1676"/>
      <c r="AW192" s="1676"/>
      <c r="AX192" s="1676"/>
      <c r="AY192" s="1676"/>
      <c r="AZ192" s="1676"/>
      <c r="BA192" s="1676"/>
      <c r="BB192" s="1676"/>
      <c r="BC192" s="1676"/>
      <c r="BD192" s="1676"/>
      <c r="BE192" s="1676"/>
      <c r="BF192" s="1676"/>
      <c r="BG192" s="1676"/>
      <c r="BH192" s="1676"/>
      <c r="BI192" s="1676"/>
      <c r="BJ192" s="1676"/>
      <c r="BK192" s="1676"/>
      <c r="BL192" s="1676"/>
      <c r="BM192" s="1676"/>
      <c r="BN192" s="1676"/>
      <c r="BO192" s="1676"/>
      <c r="BP192" s="1676"/>
      <c r="BQ192" s="1676"/>
      <c r="BR192" s="1676"/>
      <c r="BS192" s="1676"/>
      <c r="BT192" s="1676"/>
      <c r="BU192" s="1676"/>
      <c r="BV192" s="1676"/>
      <c r="BW192" s="1676"/>
      <c r="BX192" s="1676"/>
      <c r="BY192" s="1676"/>
      <c r="BZ192" s="1676"/>
      <c r="CA192" s="1676"/>
      <c r="CB192" s="1676"/>
    </row>
    <row r="193" spans="1:80" s="1196" customFormat="1" x14ac:dyDescent="0.2">
      <c r="A193" s="1234"/>
      <c r="D193" s="1196" t="s">
        <v>69</v>
      </c>
      <c r="E193" s="1673">
        <f>SUM(E188:E192)</f>
        <v>206737</v>
      </c>
      <c r="F193" s="1674"/>
      <c r="G193" s="1674"/>
      <c r="H193" s="1674"/>
      <c r="I193" s="1674"/>
      <c r="J193" s="1674"/>
      <c r="K193" s="1674"/>
      <c r="L193" s="1674"/>
      <c r="M193" s="1674"/>
      <c r="N193" s="1674"/>
      <c r="O193" s="1674"/>
      <c r="P193" s="1713"/>
      <c r="Q193" s="1686"/>
      <c r="R193" s="1676"/>
      <c r="S193" s="1676"/>
      <c r="T193" s="1676"/>
      <c r="U193" s="1676"/>
      <c r="V193" s="1676"/>
      <c r="W193" s="1676"/>
      <c r="X193" s="1676"/>
      <c r="Y193" s="1676"/>
      <c r="Z193" s="1676"/>
      <c r="AA193" s="1676"/>
      <c r="AB193" s="1676"/>
      <c r="AC193" s="1676"/>
      <c r="AD193" s="1676"/>
      <c r="AE193" s="1676"/>
      <c r="AF193" s="1676"/>
      <c r="AG193" s="1676"/>
      <c r="AH193" s="1676"/>
      <c r="AI193" s="1676"/>
      <c r="AJ193" s="1676"/>
      <c r="AK193" s="1676"/>
      <c r="AL193" s="1676"/>
      <c r="AM193" s="1676"/>
      <c r="AN193" s="1676"/>
      <c r="AO193" s="1676"/>
      <c r="AP193" s="1676"/>
      <c r="AQ193" s="1676"/>
      <c r="AR193" s="1676"/>
      <c r="AS193" s="1676"/>
      <c r="AT193" s="1676"/>
      <c r="AU193" s="1676"/>
      <c r="AV193" s="1676"/>
      <c r="AW193" s="1676"/>
      <c r="AX193" s="1676"/>
      <c r="AY193" s="1676"/>
      <c r="AZ193" s="1676"/>
      <c r="BA193" s="1676"/>
      <c r="BB193" s="1676"/>
      <c r="BC193" s="1676"/>
      <c r="BD193" s="1676"/>
      <c r="BE193" s="1676"/>
      <c r="BF193" s="1676"/>
      <c r="BG193" s="1676"/>
      <c r="BH193" s="1676"/>
      <c r="BI193" s="1676"/>
      <c r="BJ193" s="1676"/>
      <c r="BK193" s="1676"/>
      <c r="BL193" s="1676"/>
      <c r="BM193" s="1676"/>
      <c r="BN193" s="1676"/>
      <c r="BO193" s="1676"/>
      <c r="BP193" s="1676"/>
      <c r="BQ193" s="1676"/>
      <c r="BR193" s="1676"/>
      <c r="BS193" s="1676"/>
      <c r="BT193" s="1676"/>
      <c r="BU193" s="1676"/>
      <c r="BV193" s="1676"/>
      <c r="BW193" s="1676"/>
      <c r="BX193" s="1676"/>
      <c r="BY193" s="1676"/>
      <c r="BZ193" s="1676"/>
      <c r="CA193" s="1676"/>
      <c r="CB193" s="1676"/>
    </row>
    <row r="194" spans="1:80" x14ac:dyDescent="0.2">
      <c r="A194" s="430"/>
      <c r="B194" s="39"/>
      <c r="C194" s="39"/>
      <c r="D194" s="39"/>
      <c r="E194" s="1671"/>
      <c r="F194" s="66"/>
      <c r="G194" s="66"/>
      <c r="H194" s="66"/>
      <c r="I194" s="66"/>
      <c r="J194" s="66"/>
      <c r="K194" s="66"/>
      <c r="L194" s="66"/>
      <c r="M194" s="66"/>
      <c r="N194" s="66"/>
      <c r="O194" s="66"/>
      <c r="P194" s="1712"/>
      <c r="Q194" s="1685"/>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row>
    <row r="195" spans="1:80" x14ac:dyDescent="0.2">
      <c r="A195" s="430"/>
      <c r="B195" s="39"/>
      <c r="C195" s="39"/>
      <c r="D195" s="39"/>
      <c r="E195" s="1671"/>
      <c r="F195" s="66"/>
      <c r="G195" s="66"/>
      <c r="H195" s="66"/>
      <c r="I195" s="66"/>
      <c r="J195" s="66"/>
      <c r="K195" s="66"/>
      <c r="L195" s="66"/>
      <c r="M195" s="66"/>
      <c r="N195" s="66"/>
      <c r="O195" s="66"/>
      <c r="P195" s="1712"/>
      <c r="Q195" s="1685"/>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row>
    <row r="196" spans="1:80" s="1196" customFormat="1" x14ac:dyDescent="0.2">
      <c r="A196" s="1234" t="s">
        <v>607</v>
      </c>
      <c r="D196" s="1196">
        <v>2009</v>
      </c>
      <c r="E196" s="1673">
        <v>0</v>
      </c>
      <c r="F196" s="1674"/>
      <c r="G196" s="1674">
        <f>E196/5</f>
        <v>0</v>
      </c>
      <c r="H196" s="1674">
        <f>G196</f>
        <v>0</v>
      </c>
      <c r="I196" s="1674">
        <f>H196</f>
        <v>0</v>
      </c>
      <c r="J196" s="1674">
        <f>I196</f>
        <v>0</v>
      </c>
      <c r="K196" s="1674">
        <f>J196</f>
        <v>0</v>
      </c>
      <c r="L196" s="1674"/>
      <c r="M196" s="1674"/>
      <c r="N196" s="1674"/>
      <c r="O196" s="1674"/>
      <c r="P196" s="1713"/>
      <c r="Q196" s="1686"/>
      <c r="R196" s="1676"/>
      <c r="S196" s="1676"/>
      <c r="T196" s="1676"/>
      <c r="U196" s="1676"/>
      <c r="V196" s="1676"/>
      <c r="W196" s="1676"/>
      <c r="X196" s="1676"/>
      <c r="Y196" s="1676"/>
      <c r="Z196" s="1676"/>
      <c r="AA196" s="1676"/>
      <c r="AB196" s="1676"/>
      <c r="AC196" s="1676"/>
      <c r="AD196" s="1676"/>
      <c r="AE196" s="1676"/>
      <c r="AF196" s="1676"/>
      <c r="AG196" s="1676"/>
      <c r="AH196" s="1676"/>
      <c r="AI196" s="1676"/>
      <c r="AJ196" s="1676"/>
      <c r="AK196" s="1676"/>
      <c r="AL196" s="1676"/>
      <c r="AM196" s="1676"/>
      <c r="AN196" s="1676"/>
      <c r="AO196" s="1676"/>
      <c r="AP196" s="1676"/>
      <c r="AQ196" s="1676"/>
      <c r="AR196" s="1676"/>
      <c r="AS196" s="1676"/>
      <c r="AT196" s="1676"/>
      <c r="AU196" s="1676"/>
      <c r="AV196" s="1676"/>
      <c r="AW196" s="1676"/>
      <c r="AX196" s="1676"/>
      <c r="AY196" s="1676"/>
      <c r="AZ196" s="1676"/>
      <c r="BA196" s="1676"/>
      <c r="BB196" s="1676"/>
      <c r="BC196" s="1676"/>
      <c r="BD196" s="1676"/>
      <c r="BE196" s="1676"/>
      <c r="BF196" s="1676"/>
      <c r="BG196" s="1676"/>
      <c r="BH196" s="1676"/>
      <c r="BI196" s="1676"/>
      <c r="BJ196" s="1676"/>
      <c r="BK196" s="1676"/>
      <c r="BL196" s="1676"/>
      <c r="BM196" s="1676"/>
      <c r="BN196" s="1676"/>
      <c r="BO196" s="1676"/>
      <c r="BP196" s="1676"/>
      <c r="BQ196" s="1676"/>
      <c r="BR196" s="1676"/>
      <c r="BS196" s="1676"/>
      <c r="BT196" s="1676"/>
      <c r="BU196" s="1676"/>
      <c r="BV196" s="1676"/>
      <c r="BW196" s="1676"/>
      <c r="BX196" s="1676"/>
      <c r="BY196" s="1676"/>
      <c r="BZ196" s="1676"/>
      <c r="CA196" s="1676"/>
      <c r="CB196" s="1676"/>
    </row>
    <row r="197" spans="1:80" s="1196" customFormat="1" x14ac:dyDescent="0.2">
      <c r="A197" s="1234"/>
      <c r="D197" s="1196">
        <v>2010</v>
      </c>
      <c r="E197" s="1673">
        <v>55074.424159940761</v>
      </c>
      <c r="F197" s="1674"/>
      <c r="G197" s="1674"/>
      <c r="H197" s="1674">
        <f>E197/5</f>
        <v>11014.884831988153</v>
      </c>
      <c r="I197" s="1674">
        <f>H197</f>
        <v>11014.884831988153</v>
      </c>
      <c r="J197" s="1674">
        <f>I197</f>
        <v>11014.884831988153</v>
      </c>
      <c r="K197" s="1674">
        <f>J197</f>
        <v>11014.884831988153</v>
      </c>
      <c r="L197" s="1674">
        <f>K197</f>
        <v>11014.884831988153</v>
      </c>
      <c r="M197" s="1674"/>
      <c r="N197" s="1674"/>
      <c r="O197" s="1674"/>
      <c r="P197" s="1713"/>
      <c r="Q197" s="1686"/>
      <c r="R197" s="1676"/>
      <c r="S197" s="1676"/>
      <c r="T197" s="1676"/>
      <c r="U197" s="1676"/>
      <c r="V197" s="1676"/>
      <c r="W197" s="1676"/>
      <c r="X197" s="1676"/>
      <c r="Y197" s="1676"/>
      <c r="Z197" s="1676"/>
      <c r="AA197" s="1676"/>
      <c r="AB197" s="1676"/>
      <c r="AC197" s="1676"/>
      <c r="AD197" s="1676"/>
      <c r="AE197" s="1676"/>
      <c r="AF197" s="1676"/>
      <c r="AG197" s="1676"/>
      <c r="AH197" s="1676"/>
      <c r="AI197" s="1676"/>
      <c r="AJ197" s="1676"/>
      <c r="AK197" s="1676"/>
      <c r="AL197" s="1676"/>
      <c r="AM197" s="1676"/>
      <c r="AN197" s="1676"/>
      <c r="AO197" s="1676"/>
      <c r="AP197" s="1676"/>
      <c r="AQ197" s="1676"/>
      <c r="AR197" s="1676"/>
      <c r="AS197" s="1676"/>
      <c r="AT197" s="1676"/>
      <c r="AU197" s="1676"/>
      <c r="AV197" s="1676"/>
      <c r="AW197" s="1676"/>
      <c r="AX197" s="1676"/>
      <c r="AY197" s="1676"/>
      <c r="AZ197" s="1676"/>
      <c r="BA197" s="1676"/>
      <c r="BB197" s="1676"/>
      <c r="BC197" s="1676"/>
      <c r="BD197" s="1676"/>
      <c r="BE197" s="1676"/>
      <c r="BF197" s="1676"/>
      <c r="BG197" s="1676"/>
      <c r="BH197" s="1676"/>
      <c r="BI197" s="1676"/>
      <c r="BJ197" s="1676"/>
      <c r="BK197" s="1676"/>
      <c r="BL197" s="1676"/>
      <c r="BM197" s="1676"/>
      <c r="BN197" s="1676"/>
      <c r="BO197" s="1676"/>
      <c r="BP197" s="1676"/>
      <c r="BQ197" s="1676"/>
      <c r="BR197" s="1676"/>
      <c r="BS197" s="1676"/>
      <c r="BT197" s="1676"/>
      <c r="BU197" s="1676"/>
      <c r="BV197" s="1676"/>
      <c r="BW197" s="1676"/>
      <c r="BX197" s="1676"/>
      <c r="BY197" s="1676"/>
      <c r="BZ197" s="1676"/>
      <c r="CA197" s="1676"/>
      <c r="CB197" s="1676"/>
    </row>
    <row r="198" spans="1:80" s="1196" customFormat="1" x14ac:dyDescent="0.2">
      <c r="A198" s="1234"/>
      <c r="D198" s="1196">
        <v>2011</v>
      </c>
      <c r="E198" s="1673">
        <v>68243.153829153685</v>
      </c>
      <c r="F198" s="1674"/>
      <c r="G198" s="1674"/>
      <c r="H198" s="1674"/>
      <c r="I198" s="1674">
        <f>E198/5</f>
        <v>13648.630765830738</v>
      </c>
      <c r="J198" s="1674">
        <f>I198</f>
        <v>13648.630765830738</v>
      </c>
      <c r="K198" s="1674">
        <f>J198</f>
        <v>13648.630765830738</v>
      </c>
      <c r="L198" s="1674">
        <f>K198</f>
        <v>13648.630765830738</v>
      </c>
      <c r="M198" s="1674">
        <f>L198</f>
        <v>13648.630765830738</v>
      </c>
      <c r="N198" s="1674"/>
      <c r="O198" s="1674"/>
      <c r="P198" s="1713"/>
      <c r="Q198" s="1686"/>
      <c r="R198" s="1676"/>
      <c r="S198" s="1676"/>
      <c r="T198" s="1676"/>
      <c r="U198" s="1676"/>
      <c r="V198" s="1676"/>
      <c r="W198" s="1676"/>
      <c r="X198" s="1676"/>
      <c r="Y198" s="1676"/>
      <c r="Z198" s="1676"/>
      <c r="AA198" s="1676"/>
      <c r="AB198" s="1676"/>
      <c r="AC198" s="1676"/>
      <c r="AD198" s="1676"/>
      <c r="AE198" s="1676"/>
      <c r="AF198" s="1676"/>
      <c r="AG198" s="1676"/>
      <c r="AH198" s="1676"/>
      <c r="AI198" s="1676"/>
      <c r="AJ198" s="1676"/>
      <c r="AK198" s="1676"/>
      <c r="AL198" s="1676"/>
      <c r="AM198" s="1676"/>
      <c r="AN198" s="1676"/>
      <c r="AO198" s="1676"/>
      <c r="AP198" s="1676"/>
      <c r="AQ198" s="1676"/>
      <c r="AR198" s="1676"/>
      <c r="AS198" s="1676"/>
      <c r="AT198" s="1676"/>
      <c r="AU198" s="1676"/>
      <c r="AV198" s="1676"/>
      <c r="AW198" s="1676"/>
      <c r="AX198" s="1676"/>
      <c r="AY198" s="1676"/>
      <c r="AZ198" s="1676"/>
      <c r="BA198" s="1676"/>
      <c r="BB198" s="1676"/>
      <c r="BC198" s="1676"/>
      <c r="BD198" s="1676"/>
      <c r="BE198" s="1676"/>
      <c r="BF198" s="1676"/>
      <c r="BG198" s="1676"/>
      <c r="BH198" s="1676"/>
      <c r="BI198" s="1676"/>
      <c r="BJ198" s="1676"/>
      <c r="BK198" s="1676"/>
      <c r="BL198" s="1676"/>
      <c r="BM198" s="1676"/>
      <c r="BN198" s="1676"/>
      <c r="BO198" s="1676"/>
      <c r="BP198" s="1676"/>
      <c r="BQ198" s="1676"/>
      <c r="BR198" s="1676"/>
      <c r="BS198" s="1676"/>
      <c r="BT198" s="1676"/>
      <c r="BU198" s="1676"/>
      <c r="BV198" s="1676"/>
      <c r="BW198" s="1676"/>
      <c r="BX198" s="1676"/>
      <c r="BY198" s="1676"/>
      <c r="BZ198" s="1676"/>
      <c r="CA198" s="1676"/>
      <c r="CB198" s="1676"/>
    </row>
    <row r="199" spans="1:80" s="1196" customFormat="1" x14ac:dyDescent="0.2">
      <c r="A199" s="1234"/>
      <c r="D199" s="1196">
        <v>2012</v>
      </c>
      <c r="E199" s="1673">
        <v>52418.226756005817</v>
      </c>
      <c r="F199" s="1674"/>
      <c r="G199" s="1674"/>
      <c r="H199" s="1674"/>
      <c r="I199" s="1674"/>
      <c r="J199" s="1674">
        <f>E199/5</f>
        <v>10483.645351201163</v>
      </c>
      <c r="K199" s="1674">
        <f>J199</f>
        <v>10483.645351201163</v>
      </c>
      <c r="L199" s="1674">
        <f>K199</f>
        <v>10483.645351201163</v>
      </c>
      <c r="M199" s="1674">
        <f>L199</f>
        <v>10483.645351201163</v>
      </c>
      <c r="N199" s="1674">
        <f>M199</f>
        <v>10483.645351201163</v>
      </c>
      <c r="O199" s="1674"/>
      <c r="P199" s="1713"/>
      <c r="Q199" s="1686"/>
      <c r="R199" s="1676"/>
      <c r="S199" s="1676"/>
      <c r="T199" s="1676"/>
      <c r="U199" s="1676"/>
      <c r="V199" s="1676"/>
      <c r="W199" s="1676"/>
      <c r="X199" s="1676"/>
      <c r="Y199" s="1676"/>
      <c r="Z199" s="1676"/>
      <c r="AA199" s="1676"/>
      <c r="AB199" s="1676"/>
      <c r="AC199" s="1676"/>
      <c r="AD199" s="1676"/>
      <c r="AE199" s="1676"/>
      <c r="AF199" s="1676"/>
      <c r="AG199" s="1676"/>
      <c r="AH199" s="1676"/>
      <c r="AI199" s="1676"/>
      <c r="AJ199" s="1676"/>
      <c r="AK199" s="1676"/>
      <c r="AL199" s="1676"/>
      <c r="AM199" s="1676"/>
      <c r="AN199" s="1676"/>
      <c r="AO199" s="1676"/>
      <c r="AP199" s="1676"/>
      <c r="AQ199" s="1676"/>
      <c r="AR199" s="1676"/>
      <c r="AS199" s="1676"/>
      <c r="AT199" s="1676"/>
      <c r="AU199" s="1676"/>
      <c r="AV199" s="1676"/>
      <c r="AW199" s="1676"/>
      <c r="AX199" s="1676"/>
      <c r="AY199" s="1676"/>
      <c r="AZ199" s="1676"/>
      <c r="BA199" s="1676"/>
      <c r="BB199" s="1676"/>
      <c r="BC199" s="1676"/>
      <c r="BD199" s="1676"/>
      <c r="BE199" s="1676"/>
      <c r="BF199" s="1676"/>
      <c r="BG199" s="1676"/>
      <c r="BH199" s="1676"/>
      <c r="BI199" s="1676"/>
      <c r="BJ199" s="1676"/>
      <c r="BK199" s="1676"/>
      <c r="BL199" s="1676"/>
      <c r="BM199" s="1676"/>
      <c r="BN199" s="1676"/>
      <c r="BO199" s="1676"/>
      <c r="BP199" s="1676"/>
      <c r="BQ199" s="1676"/>
      <c r="BR199" s="1676"/>
      <c r="BS199" s="1676"/>
      <c r="BT199" s="1676"/>
      <c r="BU199" s="1676"/>
      <c r="BV199" s="1676"/>
      <c r="BW199" s="1676"/>
      <c r="BX199" s="1676"/>
      <c r="BY199" s="1676"/>
      <c r="BZ199" s="1676"/>
      <c r="CA199" s="1676"/>
      <c r="CB199" s="1676"/>
    </row>
    <row r="200" spans="1:80" s="1196" customFormat="1" x14ac:dyDescent="0.2">
      <c r="A200" s="1234"/>
      <c r="D200" s="1196">
        <v>2013</v>
      </c>
      <c r="E200" s="1673">
        <v>65499.795078502204</v>
      </c>
      <c r="F200" s="1674"/>
      <c r="G200" s="1674"/>
      <c r="H200" s="1674"/>
      <c r="I200" s="1674"/>
      <c r="J200" s="1674"/>
      <c r="K200" s="1674">
        <f>E200/5</f>
        <v>13099.95901570044</v>
      </c>
      <c r="L200" s="1674">
        <f>K200</f>
        <v>13099.95901570044</v>
      </c>
      <c r="M200" s="1674">
        <f>L200</f>
        <v>13099.95901570044</v>
      </c>
      <c r="N200" s="1674">
        <f>M200</f>
        <v>13099.95901570044</v>
      </c>
      <c r="O200" s="1674">
        <f>N200</f>
        <v>13099.95901570044</v>
      </c>
      <c r="P200" s="1713"/>
      <c r="Q200" s="1686"/>
      <c r="R200" s="1676"/>
      <c r="S200" s="1676"/>
      <c r="T200" s="1676"/>
      <c r="U200" s="1676"/>
      <c r="V200" s="1676"/>
      <c r="W200" s="1676"/>
      <c r="X200" s="1676"/>
      <c r="Y200" s="1676"/>
      <c r="Z200" s="1676"/>
      <c r="AA200" s="1676"/>
      <c r="AB200" s="1676"/>
      <c r="AC200" s="1676"/>
      <c r="AD200" s="1676"/>
      <c r="AE200" s="1676"/>
      <c r="AF200" s="1676"/>
      <c r="AG200" s="1676"/>
      <c r="AH200" s="1676"/>
      <c r="AI200" s="1676"/>
      <c r="AJ200" s="1676"/>
      <c r="AK200" s="1676"/>
      <c r="AL200" s="1676"/>
      <c r="AM200" s="1676"/>
      <c r="AN200" s="1676"/>
      <c r="AO200" s="1676"/>
      <c r="AP200" s="1676"/>
      <c r="AQ200" s="1676"/>
      <c r="AR200" s="1676"/>
      <c r="AS200" s="1676"/>
      <c r="AT200" s="1676"/>
      <c r="AU200" s="1676"/>
      <c r="AV200" s="1676"/>
      <c r="AW200" s="1676"/>
      <c r="AX200" s="1676"/>
      <c r="AY200" s="1676"/>
      <c r="AZ200" s="1676"/>
      <c r="BA200" s="1676"/>
      <c r="BB200" s="1676"/>
      <c r="BC200" s="1676"/>
      <c r="BD200" s="1676"/>
      <c r="BE200" s="1676"/>
      <c r="BF200" s="1676"/>
      <c r="BG200" s="1676"/>
      <c r="BH200" s="1676"/>
      <c r="BI200" s="1676"/>
      <c r="BJ200" s="1676"/>
      <c r="BK200" s="1676"/>
      <c r="BL200" s="1676"/>
      <c r="BM200" s="1676"/>
      <c r="BN200" s="1676"/>
      <c r="BO200" s="1676"/>
      <c r="BP200" s="1676"/>
      <c r="BQ200" s="1676"/>
      <c r="BR200" s="1676"/>
      <c r="BS200" s="1676"/>
      <c r="BT200" s="1676"/>
      <c r="BU200" s="1676"/>
      <c r="BV200" s="1676"/>
      <c r="BW200" s="1676"/>
      <c r="BX200" s="1676"/>
      <c r="BY200" s="1676"/>
      <c r="BZ200" s="1676"/>
      <c r="CA200" s="1676"/>
      <c r="CB200" s="1676"/>
    </row>
    <row r="201" spans="1:80" s="1196" customFormat="1" x14ac:dyDescent="0.2">
      <c r="A201" s="1234"/>
      <c r="D201" s="1196" t="s">
        <v>69</v>
      </c>
      <c r="E201" s="1673">
        <f>SUM(E196:E200)</f>
        <v>241235.59982360248</v>
      </c>
      <c r="F201" s="1674"/>
      <c r="G201" s="1674"/>
      <c r="H201" s="1674"/>
      <c r="I201" s="1674"/>
      <c r="J201" s="1674"/>
      <c r="K201" s="1674"/>
      <c r="L201" s="1674"/>
      <c r="M201" s="1674"/>
      <c r="N201" s="1674"/>
      <c r="O201" s="1674"/>
      <c r="P201" s="1713"/>
      <c r="Q201" s="1686"/>
      <c r="R201" s="1676"/>
      <c r="S201" s="1676"/>
      <c r="T201" s="1676"/>
      <c r="U201" s="1676"/>
      <c r="V201" s="1676"/>
      <c r="W201" s="1676"/>
      <c r="X201" s="1676"/>
      <c r="Y201" s="1676"/>
      <c r="Z201" s="1676"/>
      <c r="AA201" s="1676"/>
      <c r="AB201" s="1676"/>
      <c r="AC201" s="1676"/>
      <c r="AD201" s="1676"/>
      <c r="AE201" s="1676"/>
      <c r="AF201" s="1676"/>
      <c r="AG201" s="1676"/>
      <c r="AH201" s="1676"/>
      <c r="AI201" s="1676"/>
      <c r="AJ201" s="1676"/>
      <c r="AK201" s="1676"/>
      <c r="AL201" s="1676"/>
      <c r="AM201" s="1676"/>
      <c r="AN201" s="1676"/>
      <c r="AO201" s="1676"/>
      <c r="AP201" s="1676"/>
      <c r="AQ201" s="1676"/>
      <c r="AR201" s="1676"/>
      <c r="AS201" s="1676"/>
      <c r="AT201" s="1676"/>
      <c r="AU201" s="1676"/>
      <c r="AV201" s="1676"/>
      <c r="AW201" s="1676"/>
      <c r="AX201" s="1676"/>
      <c r="AY201" s="1676"/>
      <c r="AZ201" s="1676"/>
      <c r="BA201" s="1676"/>
      <c r="BB201" s="1676"/>
      <c r="BC201" s="1676"/>
      <c r="BD201" s="1676"/>
      <c r="BE201" s="1676"/>
      <c r="BF201" s="1676"/>
      <c r="BG201" s="1676"/>
      <c r="BH201" s="1676"/>
      <c r="BI201" s="1676"/>
      <c r="BJ201" s="1676"/>
      <c r="BK201" s="1676"/>
      <c r="BL201" s="1676"/>
      <c r="BM201" s="1676"/>
      <c r="BN201" s="1676"/>
      <c r="BO201" s="1676"/>
      <c r="BP201" s="1676"/>
      <c r="BQ201" s="1676"/>
      <c r="BR201" s="1676"/>
      <c r="BS201" s="1676"/>
      <c r="BT201" s="1676"/>
      <c r="BU201" s="1676"/>
      <c r="BV201" s="1676"/>
      <c r="BW201" s="1676"/>
      <c r="BX201" s="1676"/>
      <c r="BY201" s="1676"/>
      <c r="BZ201" s="1676"/>
      <c r="CA201" s="1676"/>
      <c r="CB201" s="1676"/>
    </row>
    <row r="202" spans="1:80" x14ac:dyDescent="0.2">
      <c r="A202" s="430"/>
      <c r="B202" s="39"/>
      <c r="C202" s="39"/>
      <c r="D202" s="39"/>
      <c r="E202" s="1671"/>
      <c r="F202" s="66"/>
      <c r="G202" s="66"/>
      <c r="H202" s="66"/>
      <c r="I202" s="66"/>
      <c r="J202" s="66"/>
      <c r="K202" s="66"/>
      <c r="L202" s="66"/>
      <c r="M202" s="66"/>
      <c r="N202" s="66"/>
      <c r="O202" s="66"/>
      <c r="P202" s="1712"/>
      <c r="Q202" s="1685"/>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row>
    <row r="203" spans="1:80" s="1196" customFormat="1" x14ac:dyDescent="0.2">
      <c r="A203" s="1234" t="s">
        <v>566</v>
      </c>
      <c r="D203" s="1196">
        <v>2009</v>
      </c>
      <c r="E203" s="1673">
        <v>187579</v>
      </c>
      <c r="F203" s="1674"/>
      <c r="G203" s="1674">
        <f>E203/5</f>
        <v>37515.800000000003</v>
      </c>
      <c r="H203" s="1674">
        <f>G203</f>
        <v>37515.800000000003</v>
      </c>
      <c r="I203" s="1674">
        <f>H203</f>
        <v>37515.800000000003</v>
      </c>
      <c r="J203" s="1674">
        <f>I203</f>
        <v>37515.800000000003</v>
      </c>
      <c r="K203" s="1674">
        <f>J203</f>
        <v>37515.800000000003</v>
      </c>
      <c r="L203" s="1674"/>
      <c r="M203" s="1674"/>
      <c r="N203" s="1674"/>
      <c r="O203" s="1674"/>
      <c r="P203" s="1713"/>
      <c r="Q203" s="1686"/>
      <c r="R203" s="1676"/>
      <c r="S203" s="1676"/>
      <c r="T203" s="1676"/>
      <c r="U203" s="1676"/>
      <c r="V203" s="1676"/>
      <c r="W203" s="1676"/>
      <c r="X203" s="1676"/>
      <c r="Y203" s="1676"/>
      <c r="Z203" s="1676"/>
      <c r="AA203" s="1676"/>
      <c r="AB203" s="1676"/>
      <c r="AC203" s="1676"/>
      <c r="AD203" s="1676"/>
      <c r="AE203" s="1676"/>
      <c r="AF203" s="1676"/>
      <c r="AG203" s="1676"/>
      <c r="AH203" s="1676"/>
      <c r="AI203" s="1676"/>
      <c r="AJ203" s="1676"/>
      <c r="AK203" s="1676"/>
      <c r="AL203" s="1676"/>
      <c r="AM203" s="1676"/>
      <c r="AN203" s="1676"/>
      <c r="AO203" s="1676"/>
      <c r="AP203" s="1676"/>
      <c r="AQ203" s="1676"/>
      <c r="AR203" s="1676"/>
      <c r="AS203" s="1676"/>
      <c r="AT203" s="1676"/>
      <c r="AU203" s="1676"/>
      <c r="AV203" s="1676"/>
      <c r="AW203" s="1676"/>
      <c r="AX203" s="1676"/>
      <c r="AY203" s="1676"/>
      <c r="AZ203" s="1676"/>
      <c r="BA203" s="1676"/>
      <c r="BB203" s="1676"/>
      <c r="BC203" s="1676"/>
      <c r="BD203" s="1676"/>
      <c r="BE203" s="1676"/>
      <c r="BF203" s="1676"/>
      <c r="BG203" s="1676"/>
      <c r="BH203" s="1676"/>
      <c r="BI203" s="1676"/>
      <c r="BJ203" s="1676"/>
      <c r="BK203" s="1676"/>
      <c r="BL203" s="1676"/>
      <c r="BM203" s="1676"/>
      <c r="BN203" s="1676"/>
      <c r="BO203" s="1676"/>
      <c r="BP203" s="1676"/>
      <c r="BQ203" s="1676"/>
      <c r="BR203" s="1676"/>
      <c r="BS203" s="1676"/>
      <c r="BT203" s="1676"/>
      <c r="BU203" s="1676"/>
      <c r="BV203" s="1676"/>
      <c r="BW203" s="1676"/>
      <c r="BX203" s="1676"/>
      <c r="BY203" s="1676"/>
      <c r="BZ203" s="1676"/>
      <c r="CA203" s="1676"/>
      <c r="CB203" s="1676"/>
    </row>
    <row r="204" spans="1:80" s="1196" customFormat="1" x14ac:dyDescent="0.2">
      <c r="A204" s="1234"/>
      <c r="D204" s="1196">
        <v>2010</v>
      </c>
      <c r="E204" s="1673">
        <v>167911</v>
      </c>
      <c r="F204" s="1674"/>
      <c r="G204" s="1674"/>
      <c r="H204" s="1674">
        <f>E204/5</f>
        <v>33582.199999999997</v>
      </c>
      <c r="I204" s="1674">
        <f>H204</f>
        <v>33582.199999999997</v>
      </c>
      <c r="J204" s="1674">
        <f>I204</f>
        <v>33582.199999999997</v>
      </c>
      <c r="K204" s="1674">
        <f>J204</f>
        <v>33582.199999999997</v>
      </c>
      <c r="L204" s="1674">
        <f>K204</f>
        <v>33582.199999999997</v>
      </c>
      <c r="M204" s="1674"/>
      <c r="N204" s="1674"/>
      <c r="O204" s="1674"/>
      <c r="P204" s="1713"/>
      <c r="Q204" s="1686"/>
      <c r="R204" s="1676"/>
      <c r="S204" s="1676"/>
      <c r="T204" s="1676"/>
      <c r="U204" s="1676"/>
      <c r="V204" s="1676"/>
      <c r="W204" s="1676"/>
      <c r="X204" s="1676"/>
      <c r="Y204" s="1676"/>
      <c r="Z204" s="1676"/>
      <c r="AA204" s="1676"/>
      <c r="AB204" s="1676"/>
      <c r="AC204" s="1676"/>
      <c r="AD204" s="1676"/>
      <c r="AE204" s="1676"/>
      <c r="AF204" s="1676"/>
      <c r="AG204" s="1676"/>
      <c r="AH204" s="1676"/>
      <c r="AI204" s="1676"/>
      <c r="AJ204" s="1676"/>
      <c r="AK204" s="1676"/>
      <c r="AL204" s="1676"/>
      <c r="AM204" s="1676"/>
      <c r="AN204" s="1676"/>
      <c r="AO204" s="1676"/>
      <c r="AP204" s="1676"/>
      <c r="AQ204" s="1676"/>
      <c r="AR204" s="1676"/>
      <c r="AS204" s="1676"/>
      <c r="AT204" s="1676"/>
      <c r="AU204" s="1676"/>
      <c r="AV204" s="1676"/>
      <c r="AW204" s="1676"/>
      <c r="AX204" s="1676"/>
      <c r="AY204" s="1676"/>
      <c r="AZ204" s="1676"/>
      <c r="BA204" s="1676"/>
      <c r="BB204" s="1676"/>
      <c r="BC204" s="1676"/>
      <c r="BD204" s="1676"/>
      <c r="BE204" s="1676"/>
      <c r="BF204" s="1676"/>
      <c r="BG204" s="1676"/>
      <c r="BH204" s="1676"/>
      <c r="BI204" s="1676"/>
      <c r="BJ204" s="1676"/>
      <c r="BK204" s="1676"/>
      <c r="BL204" s="1676"/>
      <c r="BM204" s="1676"/>
      <c r="BN204" s="1676"/>
      <c r="BO204" s="1676"/>
      <c r="BP204" s="1676"/>
      <c r="BQ204" s="1676"/>
      <c r="BR204" s="1676"/>
      <c r="BS204" s="1676"/>
      <c r="BT204" s="1676"/>
      <c r="BU204" s="1676"/>
      <c r="BV204" s="1676"/>
      <c r="BW204" s="1676"/>
      <c r="BX204" s="1676"/>
      <c r="BY204" s="1676"/>
      <c r="BZ204" s="1676"/>
      <c r="CA204" s="1676"/>
      <c r="CB204" s="1676"/>
    </row>
    <row r="205" spans="1:80" s="1196" customFormat="1" x14ac:dyDescent="0.2">
      <c r="A205" s="1234"/>
      <c r="D205" s="1196">
        <v>2011</v>
      </c>
      <c r="E205" s="1673">
        <v>21880</v>
      </c>
      <c r="F205" s="1674"/>
      <c r="G205" s="1674"/>
      <c r="H205" s="1674"/>
      <c r="I205" s="1674">
        <f>E205/5</f>
        <v>4376</v>
      </c>
      <c r="J205" s="1674">
        <f>I205</f>
        <v>4376</v>
      </c>
      <c r="K205" s="1674">
        <f>J205</f>
        <v>4376</v>
      </c>
      <c r="L205" s="1674">
        <f>K205</f>
        <v>4376</v>
      </c>
      <c r="M205" s="1674">
        <f>L205</f>
        <v>4376</v>
      </c>
      <c r="N205" s="1674"/>
      <c r="O205" s="1674"/>
      <c r="P205" s="1713"/>
      <c r="Q205" s="1686"/>
      <c r="R205" s="1676"/>
      <c r="S205" s="1676"/>
      <c r="T205" s="1676"/>
      <c r="U205" s="1676"/>
      <c r="V205" s="1676"/>
      <c r="W205" s="1676"/>
      <c r="X205" s="1676"/>
      <c r="Y205" s="1676"/>
      <c r="Z205" s="1676"/>
      <c r="AA205" s="1676"/>
      <c r="AB205" s="1676"/>
      <c r="AC205" s="1676"/>
      <c r="AD205" s="1676"/>
      <c r="AE205" s="1676"/>
      <c r="AF205" s="1676"/>
      <c r="AG205" s="1676"/>
      <c r="AH205" s="1676"/>
      <c r="AI205" s="1676"/>
      <c r="AJ205" s="1676"/>
      <c r="AK205" s="1676"/>
      <c r="AL205" s="1676"/>
      <c r="AM205" s="1676"/>
      <c r="AN205" s="1676"/>
      <c r="AO205" s="1676"/>
      <c r="AP205" s="1676"/>
      <c r="AQ205" s="1676"/>
      <c r="AR205" s="1676"/>
      <c r="AS205" s="1676"/>
      <c r="AT205" s="1676"/>
      <c r="AU205" s="1676"/>
      <c r="AV205" s="1676"/>
      <c r="AW205" s="1676"/>
      <c r="AX205" s="1676"/>
      <c r="AY205" s="1676"/>
      <c r="AZ205" s="1676"/>
      <c r="BA205" s="1676"/>
      <c r="BB205" s="1676"/>
      <c r="BC205" s="1676"/>
      <c r="BD205" s="1676"/>
      <c r="BE205" s="1676"/>
      <c r="BF205" s="1676"/>
      <c r="BG205" s="1676"/>
      <c r="BH205" s="1676"/>
      <c r="BI205" s="1676"/>
      <c r="BJ205" s="1676"/>
      <c r="BK205" s="1676"/>
      <c r="BL205" s="1676"/>
      <c r="BM205" s="1676"/>
      <c r="BN205" s="1676"/>
      <c r="BO205" s="1676"/>
      <c r="BP205" s="1676"/>
      <c r="BQ205" s="1676"/>
      <c r="BR205" s="1676"/>
      <c r="BS205" s="1676"/>
      <c r="BT205" s="1676"/>
      <c r="BU205" s="1676"/>
      <c r="BV205" s="1676"/>
      <c r="BW205" s="1676"/>
      <c r="BX205" s="1676"/>
      <c r="BY205" s="1676"/>
      <c r="BZ205" s="1676"/>
      <c r="CA205" s="1676"/>
      <c r="CB205" s="1676"/>
    </row>
    <row r="206" spans="1:80" s="1196" customFormat="1" x14ac:dyDescent="0.2">
      <c r="A206" s="1234"/>
      <c r="D206" s="1196">
        <v>2012</v>
      </c>
      <c r="E206" s="1673">
        <v>0</v>
      </c>
      <c r="F206" s="1674"/>
      <c r="G206" s="1674"/>
      <c r="H206" s="1674"/>
      <c r="I206" s="1674"/>
      <c r="J206" s="1674">
        <f>E206/5</f>
        <v>0</v>
      </c>
      <c r="K206" s="1674">
        <f>J206</f>
        <v>0</v>
      </c>
      <c r="L206" s="1674">
        <f>K206</f>
        <v>0</v>
      </c>
      <c r="M206" s="1674">
        <f>L206</f>
        <v>0</v>
      </c>
      <c r="N206" s="1674">
        <f>M206</f>
        <v>0</v>
      </c>
      <c r="O206" s="1674"/>
      <c r="P206" s="1713"/>
      <c r="Q206" s="1686"/>
      <c r="R206" s="1676"/>
      <c r="S206" s="1676"/>
      <c r="T206" s="1676"/>
      <c r="U206" s="1676"/>
      <c r="V206" s="1676"/>
      <c r="W206" s="1676"/>
      <c r="X206" s="1676"/>
      <c r="Y206" s="1676"/>
      <c r="Z206" s="1676"/>
      <c r="AA206" s="1676"/>
      <c r="AB206" s="1676"/>
      <c r="AC206" s="1676"/>
      <c r="AD206" s="1676"/>
      <c r="AE206" s="1676"/>
      <c r="AF206" s="1676"/>
      <c r="AG206" s="1676"/>
      <c r="AH206" s="1676"/>
      <c r="AI206" s="1676"/>
      <c r="AJ206" s="1676"/>
      <c r="AK206" s="1676"/>
      <c r="AL206" s="1676"/>
      <c r="AM206" s="1676"/>
      <c r="AN206" s="1676"/>
      <c r="AO206" s="1676"/>
      <c r="AP206" s="1676"/>
      <c r="AQ206" s="1676"/>
      <c r="AR206" s="1676"/>
      <c r="AS206" s="1676"/>
      <c r="AT206" s="1676"/>
      <c r="AU206" s="1676"/>
      <c r="AV206" s="1676"/>
      <c r="AW206" s="1676"/>
      <c r="AX206" s="1676"/>
      <c r="AY206" s="1676"/>
      <c r="AZ206" s="1676"/>
      <c r="BA206" s="1676"/>
      <c r="BB206" s="1676"/>
      <c r="BC206" s="1676"/>
      <c r="BD206" s="1676"/>
      <c r="BE206" s="1676"/>
      <c r="BF206" s="1676"/>
      <c r="BG206" s="1676"/>
      <c r="BH206" s="1676"/>
      <c r="BI206" s="1676"/>
      <c r="BJ206" s="1676"/>
      <c r="BK206" s="1676"/>
      <c r="BL206" s="1676"/>
      <c r="BM206" s="1676"/>
      <c r="BN206" s="1676"/>
      <c r="BO206" s="1676"/>
      <c r="BP206" s="1676"/>
      <c r="BQ206" s="1676"/>
      <c r="BR206" s="1676"/>
      <c r="BS206" s="1676"/>
      <c r="BT206" s="1676"/>
      <c r="BU206" s="1676"/>
      <c r="BV206" s="1676"/>
      <c r="BW206" s="1676"/>
      <c r="BX206" s="1676"/>
      <c r="BY206" s="1676"/>
      <c r="BZ206" s="1676"/>
      <c r="CA206" s="1676"/>
      <c r="CB206" s="1676"/>
    </row>
    <row r="207" spans="1:80" s="1196" customFormat="1" x14ac:dyDescent="0.2">
      <c r="A207" s="1234"/>
      <c r="D207" s="1196">
        <v>2013</v>
      </c>
      <c r="E207" s="1673">
        <v>0</v>
      </c>
      <c r="F207" s="1674"/>
      <c r="G207" s="1674"/>
      <c r="H207" s="1674"/>
      <c r="I207" s="1674"/>
      <c r="J207" s="1674"/>
      <c r="K207" s="1674">
        <f>E207/5</f>
        <v>0</v>
      </c>
      <c r="L207" s="1674">
        <f>K207</f>
        <v>0</v>
      </c>
      <c r="M207" s="1674">
        <f>L207</f>
        <v>0</v>
      </c>
      <c r="N207" s="1674">
        <f>M207</f>
        <v>0</v>
      </c>
      <c r="O207" s="1674">
        <f>N207</f>
        <v>0</v>
      </c>
      <c r="P207" s="1713"/>
      <c r="Q207" s="1686"/>
      <c r="R207" s="1676"/>
      <c r="S207" s="1676"/>
      <c r="T207" s="1676"/>
      <c r="U207" s="1676"/>
      <c r="V207" s="1676"/>
      <c r="W207" s="1676"/>
      <c r="X207" s="1676"/>
      <c r="Y207" s="1676"/>
      <c r="Z207" s="1676"/>
      <c r="AA207" s="1676"/>
      <c r="AB207" s="1676"/>
      <c r="AC207" s="1676"/>
      <c r="AD207" s="1676"/>
      <c r="AE207" s="1676"/>
      <c r="AF207" s="1676"/>
      <c r="AG207" s="1676"/>
      <c r="AH207" s="1676"/>
      <c r="AI207" s="1676"/>
      <c r="AJ207" s="1676"/>
      <c r="AK207" s="1676"/>
      <c r="AL207" s="1676"/>
      <c r="AM207" s="1676"/>
      <c r="AN207" s="1676"/>
      <c r="AO207" s="1676"/>
      <c r="AP207" s="1676"/>
      <c r="AQ207" s="1676"/>
      <c r="AR207" s="1676"/>
      <c r="AS207" s="1676"/>
      <c r="AT207" s="1676"/>
      <c r="AU207" s="1676"/>
      <c r="AV207" s="1676"/>
      <c r="AW207" s="1676"/>
      <c r="AX207" s="1676"/>
      <c r="AY207" s="1676"/>
      <c r="AZ207" s="1676"/>
      <c r="BA207" s="1676"/>
      <c r="BB207" s="1676"/>
      <c r="BC207" s="1676"/>
      <c r="BD207" s="1676"/>
      <c r="BE207" s="1676"/>
      <c r="BF207" s="1676"/>
      <c r="BG207" s="1676"/>
      <c r="BH207" s="1676"/>
      <c r="BI207" s="1676"/>
      <c r="BJ207" s="1676"/>
      <c r="BK207" s="1676"/>
      <c r="BL207" s="1676"/>
      <c r="BM207" s="1676"/>
      <c r="BN207" s="1676"/>
      <c r="BO207" s="1676"/>
      <c r="BP207" s="1676"/>
      <c r="BQ207" s="1676"/>
      <c r="BR207" s="1676"/>
      <c r="BS207" s="1676"/>
      <c r="BT207" s="1676"/>
      <c r="BU207" s="1676"/>
      <c r="BV207" s="1676"/>
      <c r="BW207" s="1676"/>
      <c r="BX207" s="1676"/>
      <c r="BY207" s="1676"/>
      <c r="BZ207" s="1676"/>
      <c r="CA207" s="1676"/>
      <c r="CB207" s="1676"/>
    </row>
    <row r="208" spans="1:80" s="1196" customFormat="1" x14ac:dyDescent="0.2">
      <c r="A208" s="1234"/>
      <c r="D208" s="1196" t="s">
        <v>69</v>
      </c>
      <c r="E208" s="1673">
        <f>SUM(E203:E207)</f>
        <v>377370</v>
      </c>
      <c r="F208" s="1674"/>
      <c r="G208" s="1674"/>
      <c r="H208" s="1674"/>
      <c r="I208" s="1674"/>
      <c r="J208" s="1674"/>
      <c r="K208" s="1674"/>
      <c r="L208" s="1674"/>
      <c r="M208" s="1674"/>
      <c r="N208" s="1674"/>
      <c r="O208" s="1674"/>
      <c r="P208" s="1713"/>
      <c r="Q208" s="1686"/>
      <c r="R208" s="1676"/>
      <c r="S208" s="1676"/>
      <c r="T208" s="1676"/>
      <c r="U208" s="1676"/>
      <c r="V208" s="1676"/>
      <c r="W208" s="1676"/>
      <c r="X208" s="1676"/>
      <c r="Y208" s="1676"/>
      <c r="Z208" s="1676"/>
      <c r="AA208" s="1676"/>
      <c r="AB208" s="1676"/>
      <c r="AC208" s="1676"/>
      <c r="AD208" s="1676"/>
      <c r="AE208" s="1676"/>
      <c r="AF208" s="1676"/>
      <c r="AG208" s="1676"/>
      <c r="AH208" s="1676"/>
      <c r="AI208" s="1676"/>
      <c r="AJ208" s="1676"/>
      <c r="AK208" s="1676"/>
      <c r="AL208" s="1676"/>
      <c r="AM208" s="1676"/>
      <c r="AN208" s="1676"/>
      <c r="AO208" s="1676"/>
      <c r="AP208" s="1676"/>
      <c r="AQ208" s="1676"/>
      <c r="AR208" s="1676"/>
      <c r="AS208" s="1676"/>
      <c r="AT208" s="1676"/>
      <c r="AU208" s="1676"/>
      <c r="AV208" s="1676"/>
      <c r="AW208" s="1676"/>
      <c r="AX208" s="1676"/>
      <c r="AY208" s="1676"/>
      <c r="AZ208" s="1676"/>
      <c r="BA208" s="1676"/>
      <c r="BB208" s="1676"/>
      <c r="BC208" s="1676"/>
      <c r="BD208" s="1676"/>
      <c r="BE208" s="1676"/>
      <c r="BF208" s="1676"/>
      <c r="BG208" s="1676"/>
      <c r="BH208" s="1676"/>
      <c r="BI208" s="1676"/>
      <c r="BJ208" s="1676"/>
      <c r="BK208" s="1676"/>
      <c r="BL208" s="1676"/>
      <c r="BM208" s="1676"/>
      <c r="BN208" s="1676"/>
      <c r="BO208" s="1676"/>
      <c r="BP208" s="1676"/>
      <c r="BQ208" s="1676"/>
      <c r="BR208" s="1676"/>
      <c r="BS208" s="1676"/>
      <c r="BT208" s="1676"/>
      <c r="BU208" s="1676"/>
      <c r="BV208" s="1676"/>
      <c r="BW208" s="1676"/>
      <c r="BX208" s="1676"/>
      <c r="BY208" s="1676"/>
      <c r="BZ208" s="1676"/>
      <c r="CA208" s="1676"/>
      <c r="CB208" s="1676"/>
    </row>
    <row r="209" spans="1:80" x14ac:dyDescent="0.2">
      <c r="A209" s="430"/>
      <c r="B209" s="39"/>
      <c r="C209" s="39"/>
      <c r="D209" s="39"/>
      <c r="E209" s="1671"/>
      <c r="F209" s="66"/>
      <c r="G209" s="66"/>
      <c r="H209" s="66"/>
      <c r="I209" s="66"/>
      <c r="J209" s="66"/>
      <c r="K209" s="66"/>
      <c r="L209" s="66"/>
      <c r="M209" s="66"/>
      <c r="N209" s="66"/>
      <c r="O209" s="66"/>
      <c r="P209" s="1712"/>
      <c r="Q209" s="1685"/>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c r="BZ209" s="288"/>
      <c r="CA209" s="288"/>
      <c r="CB209" s="288"/>
    </row>
    <row r="210" spans="1:80" s="1196" customFormat="1" x14ac:dyDescent="0.2">
      <c r="A210" s="1234" t="s">
        <v>385</v>
      </c>
      <c r="D210" s="1196">
        <v>2009</v>
      </c>
      <c r="E210" s="1673">
        <v>48244</v>
      </c>
      <c r="F210" s="1674"/>
      <c r="G210" s="1674">
        <f>E210/5</f>
        <v>9648.7999999999993</v>
      </c>
      <c r="H210" s="1674">
        <f>G210</f>
        <v>9648.7999999999993</v>
      </c>
      <c r="I210" s="1674">
        <f>H210</f>
        <v>9648.7999999999993</v>
      </c>
      <c r="J210" s="1674">
        <f>I210</f>
        <v>9648.7999999999993</v>
      </c>
      <c r="K210" s="1674">
        <f>J210</f>
        <v>9648.7999999999993</v>
      </c>
      <c r="L210" s="1674"/>
      <c r="M210" s="1674"/>
      <c r="N210" s="1674"/>
      <c r="O210" s="1674"/>
      <c r="P210" s="1713"/>
      <c r="Q210" s="1686"/>
      <c r="R210" s="1676"/>
      <c r="S210" s="1676"/>
      <c r="T210" s="1676"/>
      <c r="U210" s="1676"/>
      <c r="V210" s="1676"/>
      <c r="W210" s="1676"/>
      <c r="X210" s="1676"/>
      <c r="Y210" s="1676"/>
      <c r="Z210" s="1676"/>
      <c r="AA210" s="1676"/>
      <c r="AB210" s="1676"/>
      <c r="AC210" s="1676"/>
      <c r="AD210" s="1676"/>
      <c r="AE210" s="1676"/>
      <c r="AF210" s="1676"/>
      <c r="AG210" s="1676"/>
      <c r="AH210" s="1676"/>
      <c r="AI210" s="1676"/>
      <c r="AJ210" s="1676"/>
      <c r="AK210" s="1676"/>
      <c r="AL210" s="1676"/>
      <c r="AM210" s="1676"/>
      <c r="AN210" s="1676"/>
      <c r="AO210" s="1676"/>
      <c r="AP210" s="1676"/>
      <c r="AQ210" s="1676"/>
      <c r="AR210" s="1676"/>
      <c r="AS210" s="1676"/>
      <c r="AT210" s="1676"/>
      <c r="AU210" s="1676"/>
      <c r="AV210" s="1676"/>
      <c r="AW210" s="1676"/>
      <c r="AX210" s="1676"/>
      <c r="AY210" s="1676"/>
      <c r="AZ210" s="1676"/>
      <c r="BA210" s="1676"/>
      <c r="BB210" s="1676"/>
      <c r="BC210" s="1676"/>
      <c r="BD210" s="1676"/>
      <c r="BE210" s="1676"/>
      <c r="BF210" s="1676"/>
      <c r="BG210" s="1676"/>
      <c r="BH210" s="1676"/>
      <c r="BI210" s="1676"/>
      <c r="BJ210" s="1676"/>
      <c r="BK210" s="1676"/>
      <c r="BL210" s="1676"/>
      <c r="BM210" s="1676"/>
      <c r="BN210" s="1676"/>
      <c r="BO210" s="1676"/>
      <c r="BP210" s="1676"/>
      <c r="BQ210" s="1676"/>
      <c r="BR210" s="1676"/>
      <c r="BS210" s="1676"/>
      <c r="BT210" s="1676"/>
      <c r="BU210" s="1676"/>
      <c r="BV210" s="1676"/>
      <c r="BW210" s="1676"/>
      <c r="BX210" s="1676"/>
      <c r="BY210" s="1676"/>
      <c r="BZ210" s="1676"/>
      <c r="CA210" s="1676"/>
      <c r="CB210" s="1676"/>
    </row>
    <row r="211" spans="1:80" s="1196" customFormat="1" x14ac:dyDescent="0.2">
      <c r="A211" s="1234"/>
      <c r="D211" s="1196">
        <v>2010</v>
      </c>
      <c r="E211" s="1673">
        <v>68967</v>
      </c>
      <c r="F211" s="1674"/>
      <c r="G211" s="1674"/>
      <c r="H211" s="1674">
        <f>E211/5</f>
        <v>13793.4</v>
      </c>
      <c r="I211" s="1674">
        <f>H211</f>
        <v>13793.4</v>
      </c>
      <c r="J211" s="1674">
        <f>I211</f>
        <v>13793.4</v>
      </c>
      <c r="K211" s="1674">
        <f>J211</f>
        <v>13793.4</v>
      </c>
      <c r="L211" s="1674">
        <f>K211</f>
        <v>13793.4</v>
      </c>
      <c r="M211" s="1674"/>
      <c r="N211" s="1674"/>
      <c r="O211" s="1674"/>
      <c r="P211" s="1713"/>
      <c r="Q211" s="1686"/>
      <c r="R211" s="1676"/>
      <c r="S211" s="1676"/>
      <c r="T211" s="1676"/>
      <c r="U211" s="1676"/>
      <c r="V211" s="1676"/>
      <c r="W211" s="1676"/>
      <c r="X211" s="1676"/>
      <c r="Y211" s="1676"/>
      <c r="Z211" s="1676"/>
      <c r="AA211" s="1676"/>
      <c r="AB211" s="1676"/>
      <c r="AC211" s="1676"/>
      <c r="AD211" s="1676"/>
      <c r="AE211" s="1676"/>
      <c r="AF211" s="1676"/>
      <c r="AG211" s="1676"/>
      <c r="AH211" s="1676"/>
      <c r="AI211" s="1676"/>
      <c r="AJ211" s="1676"/>
      <c r="AK211" s="1676"/>
      <c r="AL211" s="1676"/>
      <c r="AM211" s="1676"/>
      <c r="AN211" s="1676"/>
      <c r="AO211" s="1676"/>
      <c r="AP211" s="1676"/>
      <c r="AQ211" s="1676"/>
      <c r="AR211" s="1676"/>
      <c r="AS211" s="1676"/>
      <c r="AT211" s="1676"/>
      <c r="AU211" s="1676"/>
      <c r="AV211" s="1676"/>
      <c r="AW211" s="1676"/>
      <c r="AX211" s="1676"/>
      <c r="AY211" s="1676"/>
      <c r="AZ211" s="1676"/>
      <c r="BA211" s="1676"/>
      <c r="BB211" s="1676"/>
      <c r="BC211" s="1676"/>
      <c r="BD211" s="1676"/>
      <c r="BE211" s="1676"/>
      <c r="BF211" s="1676"/>
      <c r="BG211" s="1676"/>
      <c r="BH211" s="1676"/>
      <c r="BI211" s="1676"/>
      <c r="BJ211" s="1676"/>
      <c r="BK211" s="1676"/>
      <c r="BL211" s="1676"/>
      <c r="BM211" s="1676"/>
      <c r="BN211" s="1676"/>
      <c r="BO211" s="1676"/>
      <c r="BP211" s="1676"/>
      <c r="BQ211" s="1676"/>
      <c r="BR211" s="1676"/>
      <c r="BS211" s="1676"/>
      <c r="BT211" s="1676"/>
      <c r="BU211" s="1676"/>
      <c r="BV211" s="1676"/>
      <c r="BW211" s="1676"/>
      <c r="BX211" s="1676"/>
      <c r="BY211" s="1676"/>
      <c r="BZ211" s="1676"/>
      <c r="CA211" s="1676"/>
      <c r="CB211" s="1676"/>
    </row>
    <row r="212" spans="1:80" s="1196" customFormat="1" x14ac:dyDescent="0.2">
      <c r="A212" s="1234"/>
      <c r="D212" s="1196">
        <v>2011</v>
      </c>
      <c r="E212" s="1673">
        <v>43239</v>
      </c>
      <c r="F212" s="1674"/>
      <c r="G212" s="1674"/>
      <c r="H212" s="1674"/>
      <c r="I212" s="1674">
        <f>E212/5</f>
        <v>8647.7999999999993</v>
      </c>
      <c r="J212" s="1674">
        <f>I212</f>
        <v>8647.7999999999993</v>
      </c>
      <c r="K212" s="1674">
        <f>J212</f>
        <v>8647.7999999999993</v>
      </c>
      <c r="L212" s="1674">
        <f>K212</f>
        <v>8647.7999999999993</v>
      </c>
      <c r="M212" s="1674">
        <f>L212</f>
        <v>8647.7999999999993</v>
      </c>
      <c r="N212" s="1674"/>
      <c r="O212" s="1674"/>
      <c r="P212" s="1713"/>
      <c r="Q212" s="1686"/>
      <c r="R212" s="1676"/>
      <c r="S212" s="1676"/>
      <c r="T212" s="1676"/>
      <c r="U212" s="1676"/>
      <c r="V212" s="1676"/>
      <c r="W212" s="1676"/>
      <c r="X212" s="1676"/>
      <c r="Y212" s="1676"/>
      <c r="Z212" s="1676"/>
      <c r="AA212" s="1676"/>
      <c r="AB212" s="1676"/>
      <c r="AC212" s="1676"/>
      <c r="AD212" s="1676"/>
      <c r="AE212" s="1676"/>
      <c r="AF212" s="1676"/>
      <c r="AG212" s="1676"/>
      <c r="AH212" s="1676"/>
      <c r="AI212" s="1676"/>
      <c r="AJ212" s="1676"/>
      <c r="AK212" s="1676"/>
      <c r="AL212" s="1676"/>
      <c r="AM212" s="1676"/>
      <c r="AN212" s="1676"/>
      <c r="AO212" s="1676"/>
      <c r="AP212" s="1676"/>
      <c r="AQ212" s="1676"/>
      <c r="AR212" s="1676"/>
      <c r="AS212" s="1676"/>
      <c r="AT212" s="1676"/>
      <c r="AU212" s="1676"/>
      <c r="AV212" s="1676"/>
      <c r="AW212" s="1676"/>
      <c r="AX212" s="1676"/>
      <c r="AY212" s="1676"/>
      <c r="AZ212" s="1676"/>
      <c r="BA212" s="1676"/>
      <c r="BB212" s="1676"/>
      <c r="BC212" s="1676"/>
      <c r="BD212" s="1676"/>
      <c r="BE212" s="1676"/>
      <c r="BF212" s="1676"/>
      <c r="BG212" s="1676"/>
      <c r="BH212" s="1676"/>
      <c r="BI212" s="1676"/>
      <c r="BJ212" s="1676"/>
      <c r="BK212" s="1676"/>
      <c r="BL212" s="1676"/>
      <c r="BM212" s="1676"/>
      <c r="BN212" s="1676"/>
      <c r="BO212" s="1676"/>
      <c r="BP212" s="1676"/>
      <c r="BQ212" s="1676"/>
      <c r="BR212" s="1676"/>
      <c r="BS212" s="1676"/>
      <c r="BT212" s="1676"/>
      <c r="BU212" s="1676"/>
      <c r="BV212" s="1676"/>
      <c r="BW212" s="1676"/>
      <c r="BX212" s="1676"/>
      <c r="BY212" s="1676"/>
      <c r="BZ212" s="1676"/>
      <c r="CA212" s="1676"/>
      <c r="CB212" s="1676"/>
    </row>
    <row r="213" spans="1:80" s="1196" customFormat="1" x14ac:dyDescent="0.2">
      <c r="A213" s="1234"/>
      <c r="D213" s="1196">
        <v>2012</v>
      </c>
      <c r="E213" s="1673">
        <v>37467</v>
      </c>
      <c r="F213" s="1674"/>
      <c r="G213" s="1674"/>
      <c r="H213" s="1674"/>
      <c r="I213" s="1674"/>
      <c r="J213" s="1674">
        <f>E213/5</f>
        <v>7493.4</v>
      </c>
      <c r="K213" s="1674">
        <f>J213</f>
        <v>7493.4</v>
      </c>
      <c r="L213" s="1674">
        <f>K213</f>
        <v>7493.4</v>
      </c>
      <c r="M213" s="1674">
        <f>L213</f>
        <v>7493.4</v>
      </c>
      <c r="N213" s="1674">
        <f>M213</f>
        <v>7493.4</v>
      </c>
      <c r="O213" s="1674"/>
      <c r="P213" s="1713"/>
      <c r="Q213" s="1686"/>
      <c r="R213" s="1676"/>
      <c r="S213" s="1676"/>
      <c r="T213" s="1676"/>
      <c r="U213" s="1676"/>
      <c r="V213" s="1676"/>
      <c r="W213" s="1676"/>
      <c r="X213" s="1676"/>
      <c r="Y213" s="1676"/>
      <c r="Z213" s="1676"/>
      <c r="AA213" s="1676"/>
      <c r="AB213" s="1676"/>
      <c r="AC213" s="1676"/>
      <c r="AD213" s="1676"/>
      <c r="AE213" s="1676"/>
      <c r="AF213" s="1676"/>
      <c r="AG213" s="1676"/>
      <c r="AH213" s="1676"/>
      <c r="AI213" s="1676"/>
      <c r="AJ213" s="1676"/>
      <c r="AK213" s="1676"/>
      <c r="AL213" s="1676"/>
      <c r="AM213" s="1676"/>
      <c r="AN213" s="1676"/>
      <c r="AO213" s="1676"/>
      <c r="AP213" s="1676"/>
      <c r="AQ213" s="1676"/>
      <c r="AR213" s="1676"/>
      <c r="AS213" s="1676"/>
      <c r="AT213" s="1676"/>
      <c r="AU213" s="1676"/>
      <c r="AV213" s="1676"/>
      <c r="AW213" s="1676"/>
      <c r="AX213" s="1676"/>
      <c r="AY213" s="1676"/>
      <c r="AZ213" s="1676"/>
      <c r="BA213" s="1676"/>
      <c r="BB213" s="1676"/>
      <c r="BC213" s="1676"/>
      <c r="BD213" s="1676"/>
      <c r="BE213" s="1676"/>
      <c r="BF213" s="1676"/>
      <c r="BG213" s="1676"/>
      <c r="BH213" s="1676"/>
      <c r="BI213" s="1676"/>
      <c r="BJ213" s="1676"/>
      <c r="BK213" s="1676"/>
      <c r="BL213" s="1676"/>
      <c r="BM213" s="1676"/>
      <c r="BN213" s="1676"/>
      <c r="BO213" s="1676"/>
      <c r="BP213" s="1676"/>
      <c r="BQ213" s="1676"/>
      <c r="BR213" s="1676"/>
      <c r="BS213" s="1676"/>
      <c r="BT213" s="1676"/>
      <c r="BU213" s="1676"/>
      <c r="BV213" s="1676"/>
      <c r="BW213" s="1676"/>
      <c r="BX213" s="1676"/>
      <c r="BY213" s="1676"/>
      <c r="BZ213" s="1676"/>
      <c r="CA213" s="1676"/>
      <c r="CB213" s="1676"/>
    </row>
    <row r="214" spans="1:80" s="1196" customFormat="1" x14ac:dyDescent="0.2">
      <c r="A214" s="1234"/>
      <c r="D214" s="1196">
        <v>2013</v>
      </c>
      <c r="E214" s="1673">
        <v>33613</v>
      </c>
      <c r="F214" s="1674"/>
      <c r="G214" s="1674"/>
      <c r="H214" s="1674"/>
      <c r="I214" s="1674"/>
      <c r="J214" s="1674"/>
      <c r="K214" s="1674">
        <f>E214/5</f>
        <v>6722.6</v>
      </c>
      <c r="L214" s="1674">
        <f>K214</f>
        <v>6722.6</v>
      </c>
      <c r="M214" s="1674">
        <f>L214</f>
        <v>6722.6</v>
      </c>
      <c r="N214" s="1674">
        <f>M214</f>
        <v>6722.6</v>
      </c>
      <c r="O214" s="1674">
        <f>N214</f>
        <v>6722.6</v>
      </c>
      <c r="P214" s="1713"/>
      <c r="Q214" s="1686"/>
      <c r="R214" s="1676"/>
      <c r="S214" s="1676"/>
      <c r="T214" s="1676"/>
      <c r="U214" s="1676"/>
      <c r="V214" s="1676"/>
      <c r="W214" s="1676"/>
      <c r="X214" s="1676"/>
      <c r="Y214" s="1676"/>
      <c r="Z214" s="1676"/>
      <c r="AA214" s="1676"/>
      <c r="AB214" s="1676"/>
      <c r="AC214" s="1676"/>
      <c r="AD214" s="1676"/>
      <c r="AE214" s="1676"/>
      <c r="AF214" s="1676"/>
      <c r="AG214" s="1676"/>
      <c r="AH214" s="1676"/>
      <c r="AI214" s="1676"/>
      <c r="AJ214" s="1676"/>
      <c r="AK214" s="1676"/>
      <c r="AL214" s="1676"/>
      <c r="AM214" s="1676"/>
      <c r="AN214" s="1676"/>
      <c r="AO214" s="1676"/>
      <c r="AP214" s="1676"/>
      <c r="AQ214" s="1676"/>
      <c r="AR214" s="1676"/>
      <c r="AS214" s="1676"/>
      <c r="AT214" s="1676"/>
      <c r="AU214" s="1676"/>
      <c r="AV214" s="1676"/>
      <c r="AW214" s="1676"/>
      <c r="AX214" s="1676"/>
      <c r="AY214" s="1676"/>
      <c r="AZ214" s="1676"/>
      <c r="BA214" s="1676"/>
      <c r="BB214" s="1676"/>
      <c r="BC214" s="1676"/>
      <c r="BD214" s="1676"/>
      <c r="BE214" s="1676"/>
      <c r="BF214" s="1676"/>
      <c r="BG214" s="1676"/>
      <c r="BH214" s="1676"/>
      <c r="BI214" s="1676"/>
      <c r="BJ214" s="1676"/>
      <c r="BK214" s="1676"/>
      <c r="BL214" s="1676"/>
      <c r="BM214" s="1676"/>
      <c r="BN214" s="1676"/>
      <c r="BO214" s="1676"/>
      <c r="BP214" s="1676"/>
      <c r="BQ214" s="1676"/>
      <c r="BR214" s="1676"/>
      <c r="BS214" s="1676"/>
      <c r="BT214" s="1676"/>
      <c r="BU214" s="1676"/>
      <c r="BV214" s="1676"/>
      <c r="BW214" s="1676"/>
      <c r="BX214" s="1676"/>
      <c r="BY214" s="1676"/>
      <c r="BZ214" s="1676"/>
      <c r="CA214" s="1676"/>
      <c r="CB214" s="1676"/>
    </row>
    <row r="215" spans="1:80" s="1196" customFormat="1" x14ac:dyDescent="0.2">
      <c r="A215" s="1234"/>
      <c r="D215" s="1196" t="s">
        <v>69</v>
      </c>
      <c r="E215" s="1673">
        <f>SUM(E210:E214)</f>
        <v>231530</v>
      </c>
      <c r="F215" s="1674"/>
      <c r="G215" s="1674"/>
      <c r="H215" s="1674"/>
      <c r="I215" s="1674"/>
      <c r="J215" s="1674"/>
      <c r="K215" s="1674"/>
      <c r="L215" s="1674"/>
      <c r="M215" s="1674"/>
      <c r="N215" s="1674"/>
      <c r="O215" s="1674"/>
      <c r="P215" s="1713"/>
      <c r="Q215" s="1686"/>
      <c r="R215" s="1676"/>
      <c r="S215" s="1676"/>
      <c r="T215" s="1676"/>
      <c r="U215" s="1676"/>
      <c r="V215" s="1676"/>
      <c r="W215" s="1676"/>
      <c r="X215" s="1676"/>
      <c r="Y215" s="1676"/>
      <c r="Z215" s="1676"/>
      <c r="AA215" s="1676"/>
      <c r="AB215" s="1676"/>
      <c r="AC215" s="1676"/>
      <c r="AD215" s="1676"/>
      <c r="AE215" s="1676"/>
      <c r="AF215" s="1676"/>
      <c r="AG215" s="1676"/>
      <c r="AH215" s="1676"/>
      <c r="AI215" s="1676"/>
      <c r="AJ215" s="1676"/>
      <c r="AK215" s="1676"/>
      <c r="AL215" s="1676"/>
      <c r="AM215" s="1676"/>
      <c r="AN215" s="1676"/>
      <c r="AO215" s="1676"/>
      <c r="AP215" s="1676"/>
      <c r="AQ215" s="1676"/>
      <c r="AR215" s="1676"/>
      <c r="AS215" s="1676"/>
      <c r="AT215" s="1676"/>
      <c r="AU215" s="1676"/>
      <c r="AV215" s="1676"/>
      <c r="AW215" s="1676"/>
      <c r="AX215" s="1676"/>
      <c r="AY215" s="1676"/>
      <c r="AZ215" s="1676"/>
      <c r="BA215" s="1676"/>
      <c r="BB215" s="1676"/>
      <c r="BC215" s="1676"/>
      <c r="BD215" s="1676"/>
      <c r="BE215" s="1676"/>
      <c r="BF215" s="1676"/>
      <c r="BG215" s="1676"/>
      <c r="BH215" s="1676"/>
      <c r="BI215" s="1676"/>
      <c r="BJ215" s="1676"/>
      <c r="BK215" s="1676"/>
      <c r="BL215" s="1676"/>
      <c r="BM215" s="1676"/>
      <c r="BN215" s="1676"/>
      <c r="BO215" s="1676"/>
      <c r="BP215" s="1676"/>
      <c r="BQ215" s="1676"/>
      <c r="BR215" s="1676"/>
      <c r="BS215" s="1676"/>
      <c r="BT215" s="1676"/>
      <c r="BU215" s="1676"/>
      <c r="BV215" s="1676"/>
      <c r="BW215" s="1676"/>
      <c r="BX215" s="1676"/>
      <c r="BY215" s="1676"/>
      <c r="BZ215" s="1676"/>
      <c r="CA215" s="1676"/>
      <c r="CB215" s="1676"/>
    </row>
    <row r="216" spans="1:80" s="39" customFormat="1" x14ac:dyDescent="0.2">
      <c r="A216" s="430"/>
      <c r="D216" s="1196">
        <v>2008</v>
      </c>
      <c r="E216" s="2709">
        <f>SUM(E181,E188,E196,E203,E210)</f>
        <v>453556</v>
      </c>
      <c r="F216" s="2710"/>
      <c r="G216" s="2710">
        <f>SUM(G181:G210)</f>
        <v>90711.2</v>
      </c>
      <c r="H216" s="2710"/>
      <c r="I216" s="2710"/>
      <c r="J216" s="2710"/>
      <c r="K216" s="2710"/>
      <c r="L216" s="2710"/>
      <c r="M216" s="2710"/>
      <c r="N216" s="2710"/>
      <c r="O216" s="2710"/>
      <c r="P216" s="123"/>
      <c r="Q216" s="2711"/>
      <c r="R216" s="2712"/>
      <c r="S216" s="2712"/>
      <c r="T216" s="2712"/>
      <c r="U216" s="2712"/>
      <c r="V216" s="2712"/>
      <c r="W216" s="2712"/>
      <c r="X216" s="2712"/>
      <c r="Y216" s="2712"/>
      <c r="Z216" s="2712"/>
      <c r="AA216" s="2712"/>
      <c r="AB216" s="2712"/>
      <c r="AC216" s="2712"/>
      <c r="AD216" s="2712"/>
      <c r="AE216" s="2712"/>
      <c r="AF216" s="2712"/>
      <c r="AG216" s="2712"/>
      <c r="AH216" s="2712"/>
      <c r="AI216" s="2712"/>
      <c r="AJ216" s="2712"/>
      <c r="AK216" s="2712"/>
      <c r="AL216" s="2712"/>
      <c r="AM216" s="2712"/>
      <c r="AN216" s="2712"/>
      <c r="AO216" s="2712"/>
      <c r="AP216" s="2712"/>
      <c r="AQ216" s="2712"/>
      <c r="AR216" s="2712"/>
      <c r="AS216" s="2712"/>
      <c r="AT216" s="2712"/>
      <c r="AU216" s="2712"/>
      <c r="AV216" s="2712"/>
      <c r="AW216" s="2712"/>
      <c r="AX216" s="2712"/>
      <c r="AY216" s="2712"/>
      <c r="AZ216" s="2712"/>
      <c r="BA216" s="2712"/>
      <c r="BB216" s="2712"/>
      <c r="BC216" s="2712"/>
      <c r="BD216" s="2712"/>
      <c r="BE216" s="2712"/>
      <c r="BF216" s="2712"/>
      <c r="BG216" s="2712"/>
      <c r="BH216" s="2712"/>
      <c r="BI216" s="2712"/>
      <c r="BJ216" s="2712"/>
      <c r="BK216" s="2712"/>
      <c r="BL216" s="2712"/>
      <c r="BM216" s="2712"/>
      <c r="BN216" s="2712"/>
      <c r="BO216" s="2712"/>
      <c r="BP216" s="2712"/>
      <c r="BQ216" s="2712"/>
      <c r="BR216" s="2712"/>
      <c r="BS216" s="2712"/>
      <c r="BT216" s="2712"/>
      <c r="BU216" s="2712"/>
      <c r="BV216" s="2712"/>
      <c r="BW216" s="2712"/>
      <c r="BX216" s="2712"/>
      <c r="BY216" s="2712"/>
      <c r="BZ216" s="2712"/>
      <c r="CA216" s="2712"/>
      <c r="CB216" s="2712"/>
    </row>
    <row r="217" spans="1:80" x14ac:dyDescent="0.2">
      <c r="A217" s="430"/>
      <c r="B217" s="39"/>
      <c r="C217" s="39"/>
      <c r="D217" s="39"/>
      <c r="E217" s="1671"/>
      <c r="F217" s="66"/>
      <c r="G217" s="66"/>
      <c r="H217" s="66"/>
      <c r="I217" s="66"/>
      <c r="J217" s="66"/>
      <c r="K217" s="66"/>
      <c r="L217" s="66"/>
      <c r="M217" s="66"/>
      <c r="N217" s="66"/>
      <c r="O217" s="66"/>
      <c r="P217" s="1712"/>
      <c r="Q217" s="1685"/>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288"/>
      <c r="AN217" s="288"/>
      <c r="AO217" s="288"/>
      <c r="AP217" s="288"/>
      <c r="AQ217" s="288"/>
      <c r="AR217" s="288"/>
      <c r="AS217" s="288"/>
      <c r="AT217" s="288"/>
      <c r="AU217" s="288"/>
      <c r="AV217" s="288"/>
      <c r="AW217" s="288"/>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c r="BZ217" s="288"/>
      <c r="CA217" s="288"/>
      <c r="CB217" s="288"/>
    </row>
    <row r="218" spans="1:80" s="1276" customFormat="1" x14ac:dyDescent="0.2">
      <c r="A218" s="1271" t="s">
        <v>383</v>
      </c>
      <c r="D218" s="1276">
        <v>2010</v>
      </c>
      <c r="E218" s="1677">
        <v>465893</v>
      </c>
      <c r="F218" s="1678"/>
      <c r="H218" s="1678">
        <f>E218/5</f>
        <v>93178.6</v>
      </c>
      <c r="I218" s="1678">
        <f>H218</f>
        <v>93178.6</v>
      </c>
      <c r="J218" s="1678">
        <f>I218</f>
        <v>93178.6</v>
      </c>
      <c r="K218" s="1678">
        <f>J218</f>
        <v>93178.6</v>
      </c>
      <c r="L218" s="1678">
        <f>K218</f>
        <v>93178.6</v>
      </c>
      <c r="M218" s="1678"/>
      <c r="N218" s="1678"/>
      <c r="O218" s="1678"/>
      <c r="P218" s="1714"/>
      <c r="Q218" s="1687"/>
      <c r="R218" s="1679"/>
      <c r="S218" s="1679"/>
      <c r="T218" s="1679"/>
      <c r="U218" s="1679"/>
      <c r="V218" s="1679"/>
      <c r="W218" s="1679"/>
      <c r="X218" s="1679"/>
      <c r="Y218" s="1679"/>
      <c r="Z218" s="1679"/>
      <c r="AA218" s="1679"/>
      <c r="AB218" s="1679"/>
      <c r="AC218" s="1679"/>
      <c r="AD218" s="1679"/>
      <c r="AE218" s="1679"/>
      <c r="AF218" s="1679"/>
      <c r="AG218" s="1679"/>
      <c r="AH218" s="1679"/>
      <c r="AI218" s="1679"/>
      <c r="AJ218" s="1679"/>
      <c r="AK218" s="1679"/>
      <c r="AL218" s="1679"/>
      <c r="AM218" s="1679"/>
      <c r="AN218" s="1679"/>
      <c r="AO218" s="1679"/>
      <c r="AP218" s="1679"/>
      <c r="AQ218" s="1679"/>
      <c r="AR218" s="1679"/>
      <c r="AS218" s="1679"/>
      <c r="AT218" s="1679"/>
      <c r="AU218" s="1679"/>
      <c r="AV218" s="1679"/>
      <c r="AW218" s="1679"/>
      <c r="AX218" s="1679"/>
      <c r="AY218" s="1679"/>
      <c r="AZ218" s="1679"/>
      <c r="BA218" s="1679"/>
      <c r="BB218" s="1679"/>
      <c r="BC218" s="1679"/>
      <c r="BD218" s="1679"/>
      <c r="BE218" s="1679"/>
      <c r="BF218" s="1679"/>
      <c r="BG218" s="1679"/>
      <c r="BH218" s="1679"/>
      <c r="BI218" s="1679"/>
      <c r="BJ218" s="1679"/>
      <c r="BK218" s="1679"/>
      <c r="BL218" s="1679"/>
      <c r="BM218" s="1679"/>
      <c r="BN218" s="1679"/>
      <c r="BO218" s="1679"/>
      <c r="BP218" s="1679"/>
      <c r="BQ218" s="1679"/>
      <c r="BR218" s="1679"/>
      <c r="BS218" s="1679"/>
      <c r="BT218" s="1679"/>
      <c r="BU218" s="1679"/>
      <c r="BV218" s="1679"/>
      <c r="BW218" s="1679"/>
      <c r="BX218" s="1679"/>
      <c r="BY218" s="1679"/>
      <c r="BZ218" s="1679"/>
      <c r="CA218" s="1679"/>
      <c r="CB218" s="1679"/>
    </row>
    <row r="219" spans="1:80" s="1276" customFormat="1" x14ac:dyDescent="0.2">
      <c r="A219" s="1271"/>
      <c r="D219" s="1276">
        <v>2011</v>
      </c>
      <c r="E219" s="1677">
        <v>164966</v>
      </c>
      <c r="F219" s="1678"/>
      <c r="H219" s="1678"/>
      <c r="I219" s="1678">
        <f>E219/5</f>
        <v>32993.199999999997</v>
      </c>
      <c r="J219" s="1678">
        <f>I219</f>
        <v>32993.199999999997</v>
      </c>
      <c r="K219" s="1678">
        <f>J219</f>
        <v>32993.199999999997</v>
      </c>
      <c r="L219" s="1678">
        <f>K219</f>
        <v>32993.199999999997</v>
      </c>
      <c r="M219" s="1678">
        <f>L219</f>
        <v>32993.199999999997</v>
      </c>
      <c r="N219" s="1678"/>
      <c r="O219" s="1678"/>
      <c r="P219" s="1714"/>
      <c r="Q219" s="1687"/>
      <c r="R219" s="1679"/>
      <c r="S219" s="1679"/>
      <c r="T219" s="1679"/>
      <c r="U219" s="1679"/>
      <c r="V219" s="1679"/>
      <c r="W219" s="1679"/>
      <c r="X219" s="1679"/>
      <c r="Y219" s="1679"/>
      <c r="Z219" s="1679"/>
      <c r="AA219" s="1679"/>
      <c r="AB219" s="1679"/>
      <c r="AC219" s="1679"/>
      <c r="AD219" s="1679"/>
      <c r="AE219" s="1679"/>
      <c r="AF219" s="1679"/>
      <c r="AG219" s="1679"/>
      <c r="AH219" s="1679"/>
      <c r="AI219" s="1679"/>
      <c r="AJ219" s="1679"/>
      <c r="AK219" s="1679"/>
      <c r="AL219" s="1679"/>
      <c r="AM219" s="1679"/>
      <c r="AN219" s="1679"/>
      <c r="AO219" s="1679"/>
      <c r="AP219" s="1679"/>
      <c r="AQ219" s="1679"/>
      <c r="AR219" s="1679"/>
      <c r="AS219" s="1679"/>
      <c r="AT219" s="1679"/>
      <c r="AU219" s="1679"/>
      <c r="AV219" s="1679"/>
      <c r="AW219" s="1679"/>
      <c r="AX219" s="1679"/>
      <c r="AY219" s="1679"/>
      <c r="AZ219" s="1679"/>
      <c r="BA219" s="1679"/>
      <c r="BB219" s="1679"/>
      <c r="BC219" s="1679"/>
      <c r="BD219" s="1679"/>
      <c r="BE219" s="1679"/>
      <c r="BF219" s="1679"/>
      <c r="BG219" s="1679"/>
      <c r="BH219" s="1679"/>
      <c r="BI219" s="1679"/>
      <c r="BJ219" s="1679"/>
      <c r="BK219" s="1679"/>
      <c r="BL219" s="1679"/>
      <c r="BM219" s="1679"/>
      <c r="BN219" s="1679"/>
      <c r="BO219" s="1679"/>
      <c r="BP219" s="1679"/>
      <c r="BQ219" s="1679"/>
      <c r="BR219" s="1679"/>
      <c r="BS219" s="1679"/>
      <c r="BT219" s="1679"/>
      <c r="BU219" s="1679"/>
      <c r="BV219" s="1679"/>
      <c r="BW219" s="1679"/>
      <c r="BX219" s="1679"/>
      <c r="BY219" s="1679"/>
      <c r="BZ219" s="1679"/>
      <c r="CA219" s="1679"/>
      <c r="CB219" s="1679"/>
    </row>
    <row r="220" spans="1:80" s="1276" customFormat="1" x14ac:dyDescent="0.2">
      <c r="A220" s="1271"/>
      <c r="D220" s="1276">
        <v>2012</v>
      </c>
      <c r="E220" s="1677">
        <v>0</v>
      </c>
      <c r="F220" s="1678"/>
      <c r="H220" s="1678"/>
      <c r="I220" s="1678"/>
      <c r="J220" s="1678">
        <f>E220/5</f>
        <v>0</v>
      </c>
      <c r="K220" s="1678">
        <f>J220</f>
        <v>0</v>
      </c>
      <c r="L220" s="1678">
        <f>K220</f>
        <v>0</v>
      </c>
      <c r="M220" s="1678">
        <f>L220</f>
        <v>0</v>
      </c>
      <c r="N220" s="1678">
        <f>M220</f>
        <v>0</v>
      </c>
      <c r="O220" s="1678"/>
      <c r="P220" s="1714"/>
      <c r="Q220" s="1687"/>
      <c r="R220" s="1679"/>
      <c r="S220" s="1679"/>
      <c r="T220" s="1679"/>
      <c r="U220" s="1679"/>
      <c r="V220" s="1679"/>
      <c r="W220" s="1679"/>
      <c r="X220" s="1679"/>
      <c r="Y220" s="1679"/>
      <c r="Z220" s="1679"/>
      <c r="AA220" s="1679"/>
      <c r="AB220" s="1679"/>
      <c r="AC220" s="1679"/>
      <c r="AD220" s="1679"/>
      <c r="AE220" s="1679"/>
      <c r="AF220" s="1679"/>
      <c r="AG220" s="1679"/>
      <c r="AH220" s="1679"/>
      <c r="AI220" s="1679"/>
      <c r="AJ220" s="1679"/>
      <c r="AK220" s="1679"/>
      <c r="AL220" s="1679"/>
      <c r="AM220" s="1679"/>
      <c r="AN220" s="1679"/>
      <c r="AO220" s="1679"/>
      <c r="AP220" s="1679"/>
      <c r="AQ220" s="1679"/>
      <c r="AR220" s="1679"/>
      <c r="AS220" s="1679"/>
      <c r="AT220" s="1679"/>
      <c r="AU220" s="1679"/>
      <c r="AV220" s="1679"/>
      <c r="AW220" s="1679"/>
      <c r="AX220" s="1679"/>
      <c r="AY220" s="1679"/>
      <c r="AZ220" s="1679"/>
      <c r="BA220" s="1679"/>
      <c r="BB220" s="1679"/>
      <c r="BC220" s="1679"/>
      <c r="BD220" s="1679"/>
      <c r="BE220" s="1679"/>
      <c r="BF220" s="1679"/>
      <c r="BG220" s="1679"/>
      <c r="BH220" s="1679"/>
      <c r="BI220" s="1679"/>
      <c r="BJ220" s="1679"/>
      <c r="BK220" s="1679"/>
      <c r="BL220" s="1679"/>
      <c r="BM220" s="1679"/>
      <c r="BN220" s="1679"/>
      <c r="BO220" s="1679"/>
      <c r="BP220" s="1679"/>
      <c r="BQ220" s="1679"/>
      <c r="BR220" s="1679"/>
      <c r="BS220" s="1679"/>
      <c r="BT220" s="1679"/>
      <c r="BU220" s="1679"/>
      <c r="BV220" s="1679"/>
      <c r="BW220" s="1679"/>
      <c r="BX220" s="1679"/>
      <c r="BY220" s="1679"/>
      <c r="BZ220" s="1679"/>
      <c r="CA220" s="1679"/>
      <c r="CB220" s="1679"/>
    </row>
    <row r="221" spans="1:80" s="1276" customFormat="1" x14ac:dyDescent="0.2">
      <c r="A221" s="1271"/>
      <c r="D221" s="1276">
        <v>2013</v>
      </c>
      <c r="E221" s="1677">
        <v>0</v>
      </c>
      <c r="F221" s="1678"/>
      <c r="H221" s="1678"/>
      <c r="I221" s="1678"/>
      <c r="J221" s="1678"/>
      <c r="K221" s="1678">
        <f>E221/5</f>
        <v>0</v>
      </c>
      <c r="L221" s="1678">
        <f>K221</f>
        <v>0</v>
      </c>
      <c r="M221" s="1678">
        <f>L221</f>
        <v>0</v>
      </c>
      <c r="N221" s="1678">
        <f>M221</f>
        <v>0</v>
      </c>
      <c r="O221" s="1678">
        <f>N221</f>
        <v>0</v>
      </c>
      <c r="P221" s="1714"/>
      <c r="Q221" s="1687"/>
      <c r="R221" s="1679"/>
      <c r="S221" s="1679"/>
      <c r="T221" s="1679"/>
      <c r="U221" s="1679"/>
      <c r="V221" s="1679"/>
      <c r="W221" s="1679"/>
      <c r="X221" s="1679"/>
      <c r="Y221" s="1679"/>
      <c r="Z221" s="1679"/>
      <c r="AA221" s="1679"/>
      <c r="AB221" s="1679"/>
      <c r="AC221" s="1679"/>
      <c r="AD221" s="1679"/>
      <c r="AE221" s="1679"/>
      <c r="AF221" s="1679"/>
      <c r="AG221" s="1679"/>
      <c r="AH221" s="1679"/>
      <c r="AI221" s="1679"/>
      <c r="AJ221" s="1679"/>
      <c r="AK221" s="1679"/>
      <c r="AL221" s="1679"/>
      <c r="AM221" s="1679"/>
      <c r="AN221" s="1679"/>
      <c r="AO221" s="1679"/>
      <c r="AP221" s="1679"/>
      <c r="AQ221" s="1679"/>
      <c r="AR221" s="1679"/>
      <c r="AS221" s="1679"/>
      <c r="AT221" s="1679"/>
      <c r="AU221" s="1679"/>
      <c r="AV221" s="1679"/>
      <c r="AW221" s="1679"/>
      <c r="AX221" s="1679"/>
      <c r="AY221" s="1679"/>
      <c r="AZ221" s="1679"/>
      <c r="BA221" s="1679"/>
      <c r="BB221" s="1679"/>
      <c r="BC221" s="1679"/>
      <c r="BD221" s="1679"/>
      <c r="BE221" s="1679"/>
      <c r="BF221" s="1679"/>
      <c r="BG221" s="1679"/>
      <c r="BH221" s="1679"/>
      <c r="BI221" s="1679"/>
      <c r="BJ221" s="1679"/>
      <c r="BK221" s="1679"/>
      <c r="BL221" s="1679"/>
      <c r="BM221" s="1679"/>
      <c r="BN221" s="1679"/>
      <c r="BO221" s="1679"/>
      <c r="BP221" s="1679"/>
      <c r="BQ221" s="1679"/>
      <c r="BR221" s="1679"/>
      <c r="BS221" s="1679"/>
      <c r="BT221" s="1679"/>
      <c r="BU221" s="1679"/>
      <c r="BV221" s="1679"/>
      <c r="BW221" s="1679"/>
      <c r="BX221" s="1679"/>
      <c r="BY221" s="1679"/>
      <c r="BZ221" s="1679"/>
      <c r="CA221" s="1679"/>
      <c r="CB221" s="1679"/>
    </row>
    <row r="222" spans="1:80" s="1276" customFormat="1" x14ac:dyDescent="0.2">
      <c r="A222" s="1271"/>
      <c r="D222" s="1276">
        <v>2014</v>
      </c>
      <c r="E222" s="1677">
        <v>0</v>
      </c>
      <c r="F222" s="1678"/>
      <c r="H222" s="1678"/>
      <c r="I222" s="1678"/>
      <c r="J222" s="1678"/>
      <c r="K222" s="1678"/>
      <c r="L222" s="1678">
        <f>E222/5</f>
        <v>0</v>
      </c>
      <c r="M222" s="1678">
        <f>L222</f>
        <v>0</v>
      </c>
      <c r="N222" s="1678">
        <f>M222</f>
        <v>0</v>
      </c>
      <c r="O222" s="1678">
        <f>N222</f>
        <v>0</v>
      </c>
      <c r="P222" s="1714">
        <f>O222</f>
        <v>0</v>
      </c>
      <c r="Q222" s="1687"/>
      <c r="R222" s="1679"/>
      <c r="S222" s="1679"/>
      <c r="T222" s="1679"/>
      <c r="U222" s="1679"/>
      <c r="V222" s="1679"/>
      <c r="W222" s="1679"/>
      <c r="X222" s="1679"/>
      <c r="Y222" s="1679"/>
      <c r="Z222" s="1679"/>
      <c r="AA222" s="1679"/>
      <c r="AB222" s="1679"/>
      <c r="AC222" s="1679"/>
      <c r="AD222" s="1679"/>
      <c r="AE222" s="1679"/>
      <c r="AF222" s="1679"/>
      <c r="AG222" s="1679"/>
      <c r="AH222" s="1679"/>
      <c r="AI222" s="1679"/>
      <c r="AJ222" s="1679"/>
      <c r="AK222" s="1679"/>
      <c r="AL222" s="1679"/>
      <c r="AM222" s="1679"/>
      <c r="AN222" s="1679"/>
      <c r="AO222" s="1679"/>
      <c r="AP222" s="1679"/>
      <c r="AQ222" s="1679"/>
      <c r="AR222" s="1679"/>
      <c r="AS222" s="1679"/>
      <c r="AT222" s="1679"/>
      <c r="AU222" s="1679"/>
      <c r="AV222" s="1679"/>
      <c r="AW222" s="1679"/>
      <c r="AX222" s="1679"/>
      <c r="AY222" s="1679"/>
      <c r="AZ222" s="1679"/>
      <c r="BA222" s="1679"/>
      <c r="BB222" s="1679"/>
      <c r="BC222" s="1679"/>
      <c r="BD222" s="1679"/>
      <c r="BE222" s="1679"/>
      <c r="BF222" s="1679"/>
      <c r="BG222" s="1679"/>
      <c r="BH222" s="1679"/>
      <c r="BI222" s="1679"/>
      <c r="BJ222" s="1679"/>
      <c r="BK222" s="1679"/>
      <c r="BL222" s="1679"/>
      <c r="BM222" s="1679"/>
      <c r="BN222" s="1679"/>
      <c r="BO222" s="1679"/>
      <c r="BP222" s="1679"/>
      <c r="BQ222" s="1679"/>
      <c r="BR222" s="1679"/>
      <c r="BS222" s="1679"/>
      <c r="BT222" s="1679"/>
      <c r="BU222" s="1679"/>
      <c r="BV222" s="1679"/>
      <c r="BW222" s="1679"/>
      <c r="BX222" s="1679"/>
      <c r="BY222" s="1679"/>
      <c r="BZ222" s="1679"/>
      <c r="CA222" s="1679"/>
      <c r="CB222" s="1679"/>
    </row>
    <row r="223" spans="1:80" s="1276" customFormat="1" x14ac:dyDescent="0.2">
      <c r="A223" s="1271"/>
      <c r="D223" s="1276" t="s">
        <v>69</v>
      </c>
      <c r="E223" s="1677">
        <f>SUM(E218:E222)</f>
        <v>630859</v>
      </c>
      <c r="F223" s="1678"/>
      <c r="G223" s="1678"/>
      <c r="H223" s="1678"/>
      <c r="I223" s="1678"/>
      <c r="J223" s="1678"/>
      <c r="K223" s="1678"/>
      <c r="L223" s="1678"/>
      <c r="M223" s="1678"/>
      <c r="N223" s="1678"/>
      <c r="O223" s="1678"/>
      <c r="P223" s="1714"/>
      <c r="Q223" s="1687"/>
      <c r="R223" s="1679"/>
      <c r="S223" s="1679"/>
      <c r="T223" s="1679"/>
      <c r="U223" s="1679"/>
      <c r="V223" s="1679"/>
      <c r="W223" s="1679"/>
      <c r="X223" s="1679"/>
      <c r="Y223" s="1679"/>
      <c r="Z223" s="1679"/>
      <c r="AA223" s="1679"/>
      <c r="AB223" s="1679"/>
      <c r="AC223" s="1679"/>
      <c r="AD223" s="1679"/>
      <c r="AE223" s="1679"/>
      <c r="AF223" s="1679"/>
      <c r="AG223" s="1679"/>
      <c r="AH223" s="1679"/>
      <c r="AI223" s="1679"/>
      <c r="AJ223" s="1679"/>
      <c r="AK223" s="1679"/>
      <c r="AL223" s="1679"/>
      <c r="AM223" s="1679"/>
      <c r="AN223" s="1679"/>
      <c r="AO223" s="1679"/>
      <c r="AP223" s="1679"/>
      <c r="AQ223" s="1679"/>
      <c r="AR223" s="1679"/>
      <c r="AS223" s="1679"/>
      <c r="AT223" s="1679"/>
      <c r="AU223" s="1679"/>
      <c r="AV223" s="1679"/>
      <c r="AW223" s="1679"/>
      <c r="AX223" s="1679"/>
      <c r="AY223" s="1679"/>
      <c r="AZ223" s="1679"/>
      <c r="BA223" s="1679"/>
      <c r="BB223" s="1679"/>
      <c r="BC223" s="1679"/>
      <c r="BD223" s="1679"/>
      <c r="BE223" s="1679"/>
      <c r="BF223" s="1679"/>
      <c r="BG223" s="1679"/>
      <c r="BH223" s="1679"/>
      <c r="BI223" s="1679"/>
      <c r="BJ223" s="1679"/>
      <c r="BK223" s="1679"/>
      <c r="BL223" s="1679"/>
      <c r="BM223" s="1679"/>
      <c r="BN223" s="1679"/>
      <c r="BO223" s="1679"/>
      <c r="BP223" s="1679"/>
      <c r="BQ223" s="1679"/>
      <c r="BR223" s="1679"/>
      <c r="BS223" s="1679"/>
      <c r="BT223" s="1679"/>
      <c r="BU223" s="1679"/>
      <c r="BV223" s="1679"/>
      <c r="BW223" s="1679"/>
      <c r="BX223" s="1679"/>
      <c r="BY223" s="1679"/>
      <c r="BZ223" s="1679"/>
      <c r="CA223" s="1679"/>
      <c r="CB223" s="1679"/>
    </row>
    <row r="224" spans="1:80" x14ac:dyDescent="0.2">
      <c r="A224" s="430"/>
      <c r="B224" s="39"/>
      <c r="C224" s="39"/>
      <c r="D224" s="39"/>
      <c r="E224" s="1671"/>
      <c r="F224" s="66"/>
      <c r="G224" s="66"/>
      <c r="H224" s="66"/>
      <c r="I224" s="66"/>
      <c r="J224" s="66"/>
      <c r="K224" s="66"/>
      <c r="L224" s="66"/>
      <c r="M224" s="66"/>
      <c r="N224" s="66"/>
      <c r="O224" s="66"/>
      <c r="P224" s="1712"/>
      <c r="Q224" s="1685"/>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288"/>
      <c r="AN224" s="288"/>
      <c r="AO224" s="288"/>
      <c r="AP224" s="288"/>
      <c r="AQ224" s="288"/>
      <c r="AR224" s="288"/>
      <c r="AS224" s="288"/>
      <c r="AT224" s="288"/>
      <c r="AU224" s="288"/>
      <c r="AV224" s="288"/>
      <c r="AW224" s="288"/>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288"/>
      <c r="BZ224" s="288"/>
      <c r="CA224" s="288"/>
      <c r="CB224" s="288"/>
    </row>
    <row r="225" spans="1:80" s="1276" customFormat="1" x14ac:dyDescent="0.2">
      <c r="A225" s="1271" t="s">
        <v>563</v>
      </c>
      <c r="D225" s="1276">
        <v>2010</v>
      </c>
      <c r="E225" s="1677">
        <v>0</v>
      </c>
      <c r="F225" s="1678"/>
      <c r="H225" s="1678">
        <f>E225/5</f>
        <v>0</v>
      </c>
      <c r="I225" s="1678">
        <f>H225</f>
        <v>0</v>
      </c>
      <c r="J225" s="1678">
        <f>I225</f>
        <v>0</v>
      </c>
      <c r="K225" s="1678">
        <f>J225</f>
        <v>0</v>
      </c>
      <c r="L225" s="1678">
        <f>K225</f>
        <v>0</v>
      </c>
      <c r="M225" s="1678"/>
      <c r="N225" s="1678"/>
      <c r="O225" s="1678"/>
      <c r="P225" s="1714"/>
      <c r="Q225" s="1687"/>
      <c r="R225" s="1679"/>
      <c r="S225" s="1679"/>
      <c r="T225" s="1679"/>
      <c r="U225" s="1679"/>
      <c r="V225" s="1679"/>
      <c r="W225" s="1679"/>
      <c r="X225" s="1679"/>
      <c r="Y225" s="1679"/>
      <c r="Z225" s="1679"/>
      <c r="AA225" s="1679"/>
      <c r="AB225" s="1679"/>
      <c r="AC225" s="1679"/>
      <c r="AD225" s="1679"/>
      <c r="AE225" s="1679"/>
      <c r="AF225" s="1679"/>
      <c r="AG225" s="1679"/>
      <c r="AH225" s="1679"/>
      <c r="AI225" s="1679"/>
      <c r="AJ225" s="1679"/>
      <c r="AK225" s="1679"/>
      <c r="AL225" s="1679"/>
      <c r="AM225" s="1679"/>
      <c r="AN225" s="1679"/>
      <c r="AO225" s="1679"/>
      <c r="AP225" s="1679"/>
      <c r="AQ225" s="1679"/>
      <c r="AR225" s="1679"/>
      <c r="AS225" s="1679"/>
      <c r="AT225" s="1679"/>
      <c r="AU225" s="1679"/>
      <c r="AV225" s="1679"/>
      <c r="AW225" s="1679"/>
      <c r="AX225" s="1679"/>
      <c r="AY225" s="1679"/>
      <c r="AZ225" s="1679"/>
      <c r="BA225" s="1679"/>
      <c r="BB225" s="1679"/>
      <c r="BC225" s="1679"/>
      <c r="BD225" s="1679"/>
      <c r="BE225" s="1679"/>
      <c r="BF225" s="1679"/>
      <c r="BG225" s="1679"/>
      <c r="BH225" s="1679"/>
      <c r="BI225" s="1679"/>
      <c r="BJ225" s="1679"/>
      <c r="BK225" s="1679"/>
      <c r="BL225" s="1679"/>
      <c r="BM225" s="1679"/>
      <c r="BN225" s="1679"/>
      <c r="BO225" s="1679"/>
      <c r="BP225" s="1679"/>
      <c r="BQ225" s="1679"/>
      <c r="BR225" s="1679"/>
      <c r="BS225" s="1679"/>
      <c r="BT225" s="1679"/>
      <c r="BU225" s="1679"/>
      <c r="BV225" s="1679"/>
      <c r="BW225" s="1679"/>
      <c r="BX225" s="1679"/>
      <c r="BY225" s="1679"/>
      <c r="BZ225" s="1679"/>
      <c r="CA225" s="1679"/>
      <c r="CB225" s="1679"/>
    </row>
    <row r="226" spans="1:80" s="1276" customFormat="1" x14ac:dyDescent="0.2">
      <c r="A226" s="1271"/>
      <c r="D226" s="1276">
        <v>2011</v>
      </c>
      <c r="E226" s="1677">
        <v>646089.06265846244</v>
      </c>
      <c r="F226" s="1678"/>
      <c r="H226" s="1678"/>
      <c r="I226" s="1678">
        <f>E226/5</f>
        <v>129217.81253169249</v>
      </c>
      <c r="J226" s="1678">
        <f>I226</f>
        <v>129217.81253169249</v>
      </c>
      <c r="K226" s="1678">
        <f>J226</f>
        <v>129217.81253169249</v>
      </c>
      <c r="L226" s="1678">
        <f>K226</f>
        <v>129217.81253169249</v>
      </c>
      <c r="M226" s="1678">
        <f>L226</f>
        <v>129217.81253169249</v>
      </c>
      <c r="N226" s="1678"/>
      <c r="O226" s="1678"/>
      <c r="P226" s="1714"/>
      <c r="Q226" s="1687"/>
      <c r="R226" s="1679"/>
      <c r="S226" s="1679"/>
      <c r="T226" s="1679"/>
      <c r="U226" s="1679"/>
      <c r="V226" s="1679"/>
      <c r="W226" s="1679"/>
      <c r="X226" s="1679"/>
      <c r="Y226" s="1679"/>
      <c r="Z226" s="1679"/>
      <c r="AA226" s="1679"/>
      <c r="AB226" s="1679"/>
      <c r="AC226" s="1679"/>
      <c r="AD226" s="1679"/>
      <c r="AE226" s="1679"/>
      <c r="AF226" s="1679"/>
      <c r="AG226" s="1679"/>
      <c r="AH226" s="1679"/>
      <c r="AI226" s="1679"/>
      <c r="AJ226" s="1679"/>
      <c r="AK226" s="1679"/>
      <c r="AL226" s="1679"/>
      <c r="AM226" s="1679"/>
      <c r="AN226" s="1679"/>
      <c r="AO226" s="1679"/>
      <c r="AP226" s="1679"/>
      <c r="AQ226" s="1679"/>
      <c r="AR226" s="1679"/>
      <c r="AS226" s="1679"/>
      <c r="AT226" s="1679"/>
      <c r="AU226" s="1679"/>
      <c r="AV226" s="1679"/>
      <c r="AW226" s="1679"/>
      <c r="AX226" s="1679"/>
      <c r="AY226" s="1679"/>
      <c r="AZ226" s="1679"/>
      <c r="BA226" s="1679"/>
      <c r="BB226" s="1679"/>
      <c r="BC226" s="1679"/>
      <c r="BD226" s="1679"/>
      <c r="BE226" s="1679"/>
      <c r="BF226" s="1679"/>
      <c r="BG226" s="1679"/>
      <c r="BH226" s="1679"/>
      <c r="BI226" s="1679"/>
      <c r="BJ226" s="1679"/>
      <c r="BK226" s="1679"/>
      <c r="BL226" s="1679"/>
      <c r="BM226" s="1679"/>
      <c r="BN226" s="1679"/>
      <c r="BO226" s="1679"/>
      <c r="BP226" s="1679"/>
      <c r="BQ226" s="1679"/>
      <c r="BR226" s="1679"/>
      <c r="BS226" s="1679"/>
      <c r="BT226" s="1679"/>
      <c r="BU226" s="1679"/>
      <c r="BV226" s="1679"/>
      <c r="BW226" s="1679"/>
      <c r="BX226" s="1679"/>
      <c r="BY226" s="1679"/>
      <c r="BZ226" s="1679"/>
      <c r="CA226" s="1679"/>
      <c r="CB226" s="1679"/>
    </row>
    <row r="227" spans="1:80" s="1276" customFormat="1" x14ac:dyDescent="0.2">
      <c r="A227" s="1271"/>
      <c r="D227" s="1276">
        <v>2012</v>
      </c>
      <c r="E227" s="1677">
        <v>56410.377572675054</v>
      </c>
      <c r="F227" s="1678"/>
      <c r="H227" s="1678"/>
      <c r="I227" s="1678"/>
      <c r="J227" s="1678">
        <f>E227/5</f>
        <v>11282.07551453501</v>
      </c>
      <c r="K227" s="1678">
        <f>J227</f>
        <v>11282.07551453501</v>
      </c>
      <c r="L227" s="1678">
        <f>K227</f>
        <v>11282.07551453501</v>
      </c>
      <c r="M227" s="1678">
        <f>L227</f>
        <v>11282.07551453501</v>
      </c>
      <c r="N227" s="1678">
        <f>M227</f>
        <v>11282.07551453501</v>
      </c>
      <c r="O227" s="1678"/>
      <c r="P227" s="1714"/>
      <c r="Q227" s="1687"/>
      <c r="R227" s="1679"/>
      <c r="S227" s="1679"/>
      <c r="T227" s="1679"/>
      <c r="U227" s="1679"/>
      <c r="V227" s="1679"/>
      <c r="W227" s="1679"/>
      <c r="X227" s="1679"/>
      <c r="Y227" s="1679"/>
      <c r="Z227" s="1679"/>
      <c r="AA227" s="1679"/>
      <c r="AB227" s="1679"/>
      <c r="AC227" s="1679"/>
      <c r="AD227" s="1679"/>
      <c r="AE227" s="1679"/>
      <c r="AF227" s="1679"/>
      <c r="AG227" s="1679"/>
      <c r="AH227" s="1679"/>
      <c r="AI227" s="1679"/>
      <c r="AJ227" s="1679"/>
      <c r="AK227" s="1679"/>
      <c r="AL227" s="1679"/>
      <c r="AM227" s="1679"/>
      <c r="AN227" s="1679"/>
      <c r="AO227" s="1679"/>
      <c r="AP227" s="1679"/>
      <c r="AQ227" s="1679"/>
      <c r="AR227" s="1679"/>
      <c r="AS227" s="1679"/>
      <c r="AT227" s="1679"/>
      <c r="AU227" s="1679"/>
      <c r="AV227" s="1679"/>
      <c r="AW227" s="1679"/>
      <c r="AX227" s="1679"/>
      <c r="AY227" s="1679"/>
      <c r="AZ227" s="1679"/>
      <c r="BA227" s="1679"/>
      <c r="BB227" s="1679"/>
      <c r="BC227" s="1679"/>
      <c r="BD227" s="1679"/>
      <c r="BE227" s="1679"/>
      <c r="BF227" s="1679"/>
      <c r="BG227" s="1679"/>
      <c r="BH227" s="1679"/>
      <c r="BI227" s="1679"/>
      <c r="BJ227" s="1679"/>
      <c r="BK227" s="1679"/>
      <c r="BL227" s="1679"/>
      <c r="BM227" s="1679"/>
      <c r="BN227" s="1679"/>
      <c r="BO227" s="1679"/>
      <c r="BP227" s="1679"/>
      <c r="BQ227" s="1679"/>
      <c r="BR227" s="1679"/>
      <c r="BS227" s="1679"/>
      <c r="BT227" s="1679"/>
      <c r="BU227" s="1679"/>
      <c r="BV227" s="1679"/>
      <c r="BW227" s="1679"/>
      <c r="BX227" s="1679"/>
      <c r="BY227" s="1679"/>
      <c r="BZ227" s="1679"/>
      <c r="CA227" s="1679"/>
      <c r="CB227" s="1679"/>
    </row>
    <row r="228" spans="1:80" s="1276" customFormat="1" x14ac:dyDescent="0.2">
      <c r="A228" s="1271"/>
      <c r="D228" s="1276">
        <v>2013</v>
      </c>
      <c r="E228" s="1677">
        <v>217690.12068371457</v>
      </c>
      <c r="F228" s="1678"/>
      <c r="H228" s="1678"/>
      <c r="I228" s="1678"/>
      <c r="J228" s="1678"/>
      <c r="K228" s="1678">
        <f>E228/5</f>
        <v>43538.024136742912</v>
      </c>
      <c r="L228" s="1678">
        <f>K228</f>
        <v>43538.024136742912</v>
      </c>
      <c r="M228" s="1678">
        <f>L228</f>
        <v>43538.024136742912</v>
      </c>
      <c r="N228" s="1678">
        <f>M228</f>
        <v>43538.024136742912</v>
      </c>
      <c r="O228" s="1678">
        <f>N228</f>
        <v>43538.024136742912</v>
      </c>
      <c r="P228" s="1714"/>
      <c r="Q228" s="1687"/>
      <c r="R228" s="1679"/>
      <c r="S228" s="1679"/>
      <c r="T228" s="1679"/>
      <c r="U228" s="1679"/>
      <c r="V228" s="1679"/>
      <c r="W228" s="1679"/>
      <c r="X228" s="1679"/>
      <c r="Y228" s="1679"/>
      <c r="Z228" s="1679"/>
      <c r="AA228" s="1679"/>
      <c r="AB228" s="1679"/>
      <c r="AC228" s="1679"/>
      <c r="AD228" s="1679"/>
      <c r="AE228" s="1679"/>
      <c r="AF228" s="1679"/>
      <c r="AG228" s="1679"/>
      <c r="AH228" s="1679"/>
      <c r="AI228" s="1679"/>
      <c r="AJ228" s="1679"/>
      <c r="AK228" s="1679"/>
      <c r="AL228" s="1679"/>
      <c r="AM228" s="1679"/>
      <c r="AN228" s="1679"/>
      <c r="AO228" s="1679"/>
      <c r="AP228" s="1679"/>
      <c r="AQ228" s="1679"/>
      <c r="AR228" s="1679"/>
      <c r="AS228" s="1679"/>
      <c r="AT228" s="1679"/>
      <c r="AU228" s="1679"/>
      <c r="AV228" s="1679"/>
      <c r="AW228" s="1679"/>
      <c r="AX228" s="1679"/>
      <c r="AY228" s="1679"/>
      <c r="AZ228" s="1679"/>
      <c r="BA228" s="1679"/>
      <c r="BB228" s="1679"/>
      <c r="BC228" s="1679"/>
      <c r="BD228" s="1679"/>
      <c r="BE228" s="1679"/>
      <c r="BF228" s="1679"/>
      <c r="BG228" s="1679"/>
      <c r="BH228" s="1679"/>
      <c r="BI228" s="1679"/>
      <c r="BJ228" s="1679"/>
      <c r="BK228" s="1679"/>
      <c r="BL228" s="1679"/>
      <c r="BM228" s="1679"/>
      <c r="BN228" s="1679"/>
      <c r="BO228" s="1679"/>
      <c r="BP228" s="1679"/>
      <c r="BQ228" s="1679"/>
      <c r="BR228" s="1679"/>
      <c r="BS228" s="1679"/>
      <c r="BT228" s="1679"/>
      <c r="BU228" s="1679"/>
      <c r="BV228" s="1679"/>
      <c r="BW228" s="1679"/>
      <c r="BX228" s="1679"/>
      <c r="BY228" s="1679"/>
      <c r="BZ228" s="1679"/>
      <c r="CA228" s="1679"/>
      <c r="CB228" s="1679"/>
    </row>
    <row r="229" spans="1:80" s="1276" customFormat="1" x14ac:dyDescent="0.2">
      <c r="A229" s="1271"/>
      <c r="D229" s="1276">
        <v>2014</v>
      </c>
      <c r="E229" s="1677">
        <v>280964.76190583705</v>
      </c>
      <c r="F229" s="1678"/>
      <c r="H229" s="1678"/>
      <c r="I229" s="1678"/>
      <c r="J229" s="1678"/>
      <c r="K229" s="1678"/>
      <c r="L229" s="1678">
        <f>E229/5</f>
        <v>56192.952381167408</v>
      </c>
      <c r="M229" s="1678">
        <f>L229</f>
        <v>56192.952381167408</v>
      </c>
      <c r="N229" s="1678">
        <f>M229</f>
        <v>56192.952381167408</v>
      </c>
      <c r="O229" s="1678">
        <f>N229</f>
        <v>56192.952381167408</v>
      </c>
      <c r="P229" s="1714">
        <f>O229</f>
        <v>56192.952381167408</v>
      </c>
      <c r="Q229" s="1687"/>
      <c r="R229" s="1679"/>
      <c r="S229" s="1679"/>
      <c r="T229" s="1679"/>
      <c r="U229" s="1679"/>
      <c r="V229" s="1679"/>
      <c r="W229" s="1679"/>
      <c r="X229" s="1679"/>
      <c r="Y229" s="1679"/>
      <c r="Z229" s="1679"/>
      <c r="AA229" s="1679"/>
      <c r="AB229" s="1679"/>
      <c r="AC229" s="1679"/>
      <c r="AD229" s="1679"/>
      <c r="AE229" s="1679"/>
      <c r="AF229" s="1679"/>
      <c r="AG229" s="1679"/>
      <c r="AH229" s="1679"/>
      <c r="AI229" s="1679"/>
      <c r="AJ229" s="1679"/>
      <c r="AK229" s="1679"/>
      <c r="AL229" s="1679"/>
      <c r="AM229" s="1679"/>
      <c r="AN229" s="1679"/>
      <c r="AO229" s="1679"/>
      <c r="AP229" s="1679"/>
      <c r="AQ229" s="1679"/>
      <c r="AR229" s="1679"/>
      <c r="AS229" s="1679"/>
      <c r="AT229" s="1679"/>
      <c r="AU229" s="1679"/>
      <c r="AV229" s="1679"/>
      <c r="AW229" s="1679"/>
      <c r="AX229" s="1679"/>
      <c r="AY229" s="1679"/>
      <c r="AZ229" s="1679"/>
      <c r="BA229" s="1679"/>
      <c r="BB229" s="1679"/>
      <c r="BC229" s="1679"/>
      <c r="BD229" s="1679"/>
      <c r="BE229" s="1679"/>
      <c r="BF229" s="1679"/>
      <c r="BG229" s="1679"/>
      <c r="BH229" s="1679"/>
      <c r="BI229" s="1679"/>
      <c r="BJ229" s="1679"/>
      <c r="BK229" s="1679"/>
      <c r="BL229" s="1679"/>
      <c r="BM229" s="1679"/>
      <c r="BN229" s="1679"/>
      <c r="BO229" s="1679"/>
      <c r="BP229" s="1679"/>
      <c r="BQ229" s="1679"/>
      <c r="BR229" s="1679"/>
      <c r="BS229" s="1679"/>
      <c r="BT229" s="1679"/>
      <c r="BU229" s="1679"/>
      <c r="BV229" s="1679"/>
      <c r="BW229" s="1679"/>
      <c r="BX229" s="1679"/>
      <c r="BY229" s="1679"/>
      <c r="BZ229" s="1679"/>
      <c r="CA229" s="1679"/>
      <c r="CB229" s="1679"/>
    </row>
    <row r="230" spans="1:80" s="1276" customFormat="1" x14ac:dyDescent="0.2">
      <c r="A230" s="1271"/>
      <c r="D230" s="1276" t="s">
        <v>69</v>
      </c>
      <c r="E230" s="1677">
        <f>SUM(E225:E229)</f>
        <v>1201154.3228206891</v>
      </c>
      <c r="F230" s="1678"/>
      <c r="G230" s="1678"/>
      <c r="H230" s="1678"/>
      <c r="I230" s="1678"/>
      <c r="J230" s="1678"/>
      <c r="K230" s="1678"/>
      <c r="L230" s="1678"/>
      <c r="M230" s="1678"/>
      <c r="N230" s="1678"/>
      <c r="O230" s="1678"/>
      <c r="P230" s="1714"/>
      <c r="Q230" s="1687"/>
      <c r="R230" s="1679"/>
      <c r="S230" s="1679"/>
      <c r="T230" s="1679"/>
      <c r="U230" s="1679"/>
      <c r="V230" s="1679"/>
      <c r="W230" s="1679"/>
      <c r="X230" s="1679"/>
      <c r="Y230" s="1679"/>
      <c r="Z230" s="1679"/>
      <c r="AA230" s="1679"/>
      <c r="AB230" s="1679"/>
      <c r="AC230" s="1679"/>
      <c r="AD230" s="1679"/>
      <c r="AE230" s="1679"/>
      <c r="AF230" s="1679"/>
      <c r="AG230" s="1679"/>
      <c r="AH230" s="1679"/>
      <c r="AI230" s="1679"/>
      <c r="AJ230" s="1679"/>
      <c r="AK230" s="1679"/>
      <c r="AL230" s="1679"/>
      <c r="AM230" s="1679"/>
      <c r="AN230" s="1679"/>
      <c r="AO230" s="1679"/>
      <c r="AP230" s="1679"/>
      <c r="AQ230" s="1679"/>
      <c r="AR230" s="1679"/>
      <c r="AS230" s="1679"/>
      <c r="AT230" s="1679"/>
      <c r="AU230" s="1679"/>
      <c r="AV230" s="1679"/>
      <c r="AW230" s="1679"/>
      <c r="AX230" s="1679"/>
      <c r="AY230" s="1679"/>
      <c r="AZ230" s="1679"/>
      <c r="BA230" s="1679"/>
      <c r="BB230" s="1679"/>
      <c r="BC230" s="1679"/>
      <c r="BD230" s="1679"/>
      <c r="BE230" s="1679"/>
      <c r="BF230" s="1679"/>
      <c r="BG230" s="1679"/>
      <c r="BH230" s="1679"/>
      <c r="BI230" s="1679"/>
      <c r="BJ230" s="1679"/>
      <c r="BK230" s="1679"/>
      <c r="BL230" s="1679"/>
      <c r="BM230" s="1679"/>
      <c r="BN230" s="1679"/>
      <c r="BO230" s="1679"/>
      <c r="BP230" s="1679"/>
      <c r="BQ230" s="1679"/>
      <c r="BR230" s="1679"/>
      <c r="BS230" s="1679"/>
      <c r="BT230" s="1679"/>
      <c r="BU230" s="1679"/>
      <c r="BV230" s="1679"/>
      <c r="BW230" s="1679"/>
      <c r="BX230" s="1679"/>
      <c r="BY230" s="1679"/>
      <c r="BZ230" s="1679"/>
      <c r="CA230" s="1679"/>
      <c r="CB230" s="1679"/>
    </row>
    <row r="231" spans="1:80" x14ac:dyDescent="0.2">
      <c r="A231" s="430"/>
      <c r="B231" s="39"/>
      <c r="C231" s="39"/>
      <c r="D231" s="39"/>
      <c r="E231" s="1671"/>
      <c r="F231" s="66"/>
      <c r="G231" s="66"/>
      <c r="H231" s="66"/>
      <c r="I231" s="66"/>
      <c r="J231" s="66"/>
      <c r="K231" s="66"/>
      <c r="L231" s="66"/>
      <c r="M231" s="66"/>
      <c r="N231" s="66"/>
      <c r="O231" s="66"/>
      <c r="P231" s="1712"/>
      <c r="Q231" s="1685"/>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288"/>
      <c r="AT231" s="288"/>
      <c r="AU231" s="288"/>
      <c r="AV231" s="288"/>
      <c r="AW231" s="288"/>
      <c r="AX231" s="288"/>
      <c r="AY231" s="288"/>
      <c r="AZ231" s="288"/>
      <c r="BA231" s="288"/>
      <c r="BB231" s="288"/>
      <c r="BC231" s="288"/>
      <c r="BD231" s="288"/>
      <c r="BE231" s="288"/>
      <c r="BF231" s="288"/>
      <c r="BG231" s="288"/>
      <c r="BH231" s="288"/>
      <c r="BI231" s="288"/>
      <c r="BJ231" s="288"/>
      <c r="BK231" s="288"/>
      <c r="BL231" s="288"/>
      <c r="BM231" s="288"/>
      <c r="BN231" s="288"/>
      <c r="BO231" s="288"/>
      <c r="BP231" s="288"/>
      <c r="BQ231" s="288"/>
      <c r="BR231" s="288"/>
      <c r="BS231" s="288"/>
      <c r="BT231" s="288"/>
      <c r="BU231" s="288"/>
      <c r="BV231" s="288"/>
      <c r="BW231" s="288"/>
      <c r="BX231" s="288"/>
      <c r="BY231" s="288"/>
      <c r="BZ231" s="288"/>
      <c r="CA231" s="288"/>
      <c r="CB231" s="288"/>
    </row>
    <row r="232" spans="1:80" s="1276" customFormat="1" x14ac:dyDescent="0.2">
      <c r="A232" s="1271" t="s">
        <v>635</v>
      </c>
      <c r="D232" s="1276">
        <v>2010</v>
      </c>
      <c r="E232" s="1677">
        <v>84793</v>
      </c>
      <c r="F232" s="1678"/>
      <c r="G232" s="1678"/>
      <c r="H232" s="1678">
        <f>E232/5</f>
        <v>16958.599999999999</v>
      </c>
      <c r="I232" s="1678">
        <f>H232</f>
        <v>16958.599999999999</v>
      </c>
      <c r="J232" s="1678">
        <f>I232</f>
        <v>16958.599999999999</v>
      </c>
      <c r="K232" s="1678">
        <f>J232</f>
        <v>16958.599999999999</v>
      </c>
      <c r="L232" s="1678">
        <f>H232</f>
        <v>16958.599999999999</v>
      </c>
      <c r="M232" s="1678"/>
      <c r="N232" s="1678"/>
      <c r="O232" s="1678"/>
      <c r="P232" s="1714"/>
      <c r="Q232" s="1687"/>
      <c r="R232" s="1679"/>
      <c r="S232" s="1679"/>
      <c r="T232" s="1679"/>
      <c r="U232" s="1679"/>
      <c r="V232" s="1679"/>
      <c r="W232" s="1679"/>
      <c r="X232" s="1679"/>
      <c r="Y232" s="1679"/>
      <c r="Z232" s="1679"/>
      <c r="AA232" s="1679"/>
      <c r="AB232" s="1679"/>
      <c r="AC232" s="1679"/>
      <c r="AD232" s="1679"/>
      <c r="AE232" s="1679"/>
      <c r="AF232" s="1679"/>
      <c r="AG232" s="1679"/>
      <c r="AH232" s="1679"/>
      <c r="AI232" s="1679"/>
      <c r="AJ232" s="1679"/>
      <c r="AK232" s="1679"/>
      <c r="AL232" s="1679"/>
      <c r="AM232" s="1679"/>
      <c r="AN232" s="1679"/>
      <c r="AO232" s="1679"/>
      <c r="AP232" s="1679"/>
      <c r="AQ232" s="1679"/>
      <c r="AR232" s="1679"/>
      <c r="AS232" s="1679"/>
      <c r="AT232" s="1679"/>
      <c r="AU232" s="1679"/>
      <c r="AV232" s="1679"/>
      <c r="AW232" s="1679"/>
      <c r="AX232" s="1679"/>
      <c r="AY232" s="1679"/>
      <c r="AZ232" s="1679"/>
      <c r="BA232" s="1679"/>
      <c r="BB232" s="1679"/>
      <c r="BC232" s="1679"/>
      <c r="BD232" s="1679"/>
      <c r="BE232" s="1679"/>
      <c r="BF232" s="1679"/>
      <c r="BG232" s="1679"/>
      <c r="BH232" s="1679"/>
      <c r="BI232" s="1679"/>
      <c r="BJ232" s="1679"/>
      <c r="BK232" s="1679"/>
      <c r="BL232" s="1679"/>
      <c r="BM232" s="1679"/>
      <c r="BN232" s="1679"/>
      <c r="BO232" s="1679"/>
      <c r="BP232" s="1679"/>
      <c r="BQ232" s="1679"/>
      <c r="BR232" s="1679"/>
      <c r="BS232" s="1679"/>
      <c r="BT232" s="1679"/>
      <c r="BU232" s="1679"/>
      <c r="BV232" s="1679"/>
      <c r="BW232" s="1679"/>
      <c r="BX232" s="1679"/>
      <c r="BY232" s="1679"/>
      <c r="BZ232" s="1679"/>
      <c r="CA232" s="1679"/>
      <c r="CB232" s="1679"/>
    </row>
    <row r="233" spans="1:80" s="1276" customFormat="1" x14ac:dyDescent="0.2">
      <c r="A233" s="1271"/>
      <c r="D233" s="1276">
        <v>2011</v>
      </c>
      <c r="E233" s="1677">
        <v>18508</v>
      </c>
      <c r="F233" s="1678"/>
      <c r="G233" s="1678"/>
      <c r="H233" s="1678"/>
      <c r="I233" s="1678">
        <f>E233/5</f>
        <v>3701.6</v>
      </c>
      <c r="J233" s="1678">
        <f>I233</f>
        <v>3701.6</v>
      </c>
      <c r="K233" s="1678">
        <f>J233</f>
        <v>3701.6</v>
      </c>
      <c r="L233" s="1678">
        <f>K233</f>
        <v>3701.6</v>
      </c>
      <c r="M233" s="1678">
        <f>L233</f>
        <v>3701.6</v>
      </c>
      <c r="N233" s="1678"/>
      <c r="O233" s="1678"/>
      <c r="P233" s="1714"/>
      <c r="Q233" s="1687"/>
      <c r="R233" s="1679"/>
      <c r="S233" s="1679"/>
      <c r="T233" s="1679"/>
      <c r="U233" s="1679"/>
      <c r="V233" s="1679"/>
      <c r="W233" s="1679"/>
      <c r="X233" s="1679"/>
      <c r="Y233" s="1679"/>
      <c r="Z233" s="1679"/>
      <c r="AA233" s="1679"/>
      <c r="AB233" s="1679"/>
      <c r="AC233" s="1679"/>
      <c r="AD233" s="1679"/>
      <c r="AE233" s="1679"/>
      <c r="AF233" s="1679"/>
      <c r="AG233" s="1679"/>
      <c r="AH233" s="1679"/>
      <c r="AI233" s="1679"/>
      <c r="AJ233" s="1679"/>
      <c r="AK233" s="1679"/>
      <c r="AL233" s="1679"/>
      <c r="AM233" s="1679"/>
      <c r="AN233" s="1679"/>
      <c r="AO233" s="1679"/>
      <c r="AP233" s="1679"/>
      <c r="AQ233" s="1679"/>
      <c r="AR233" s="1679"/>
      <c r="AS233" s="1679"/>
      <c r="AT233" s="1679"/>
      <c r="AU233" s="1679"/>
      <c r="AV233" s="1679"/>
      <c r="AW233" s="1679"/>
      <c r="AX233" s="1679"/>
      <c r="AY233" s="1679"/>
      <c r="AZ233" s="1679"/>
      <c r="BA233" s="1679"/>
      <c r="BB233" s="1679"/>
      <c r="BC233" s="1679"/>
      <c r="BD233" s="1679"/>
      <c r="BE233" s="1679"/>
      <c r="BF233" s="1679"/>
      <c r="BG233" s="1679"/>
      <c r="BH233" s="1679"/>
      <c r="BI233" s="1679"/>
      <c r="BJ233" s="1679"/>
      <c r="BK233" s="1679"/>
      <c r="BL233" s="1679"/>
      <c r="BM233" s="1679"/>
      <c r="BN233" s="1679"/>
      <c r="BO233" s="1679"/>
      <c r="BP233" s="1679"/>
      <c r="BQ233" s="1679"/>
      <c r="BR233" s="1679"/>
      <c r="BS233" s="1679"/>
      <c r="BT233" s="1679"/>
      <c r="BU233" s="1679"/>
      <c r="BV233" s="1679"/>
      <c r="BW233" s="1679"/>
      <c r="BX233" s="1679"/>
      <c r="BY233" s="1679"/>
      <c r="BZ233" s="1679"/>
      <c r="CA233" s="1679"/>
      <c r="CB233" s="1679"/>
    </row>
    <row r="234" spans="1:80" s="1276" customFormat="1" x14ac:dyDescent="0.2">
      <c r="A234" s="1271"/>
      <c r="D234" s="1276">
        <v>2012</v>
      </c>
      <c r="E234" s="1677">
        <v>0</v>
      </c>
      <c r="F234" s="1678"/>
      <c r="G234" s="1678"/>
      <c r="H234" s="1678"/>
      <c r="I234" s="1678"/>
      <c r="J234" s="1678">
        <f>E234/5</f>
        <v>0</v>
      </c>
      <c r="K234" s="1678">
        <f>J234</f>
        <v>0</v>
      </c>
      <c r="L234" s="1678">
        <f>K234</f>
        <v>0</v>
      </c>
      <c r="M234" s="1678">
        <f>L234</f>
        <v>0</v>
      </c>
      <c r="N234" s="1678">
        <f>M234</f>
        <v>0</v>
      </c>
      <c r="O234" s="1678"/>
      <c r="P234" s="1714"/>
      <c r="Q234" s="1687"/>
      <c r="R234" s="1679"/>
      <c r="S234" s="1679"/>
      <c r="T234" s="1679"/>
      <c r="U234" s="1679"/>
      <c r="V234" s="1679"/>
      <c r="W234" s="1679"/>
      <c r="X234" s="1679"/>
      <c r="Y234" s="1679"/>
      <c r="Z234" s="1679"/>
      <c r="AA234" s="1679"/>
      <c r="AB234" s="1679"/>
      <c r="AC234" s="1679"/>
      <c r="AD234" s="1679"/>
      <c r="AE234" s="1679"/>
      <c r="AF234" s="1679"/>
      <c r="AG234" s="1679"/>
      <c r="AH234" s="1679"/>
      <c r="AI234" s="1679"/>
      <c r="AJ234" s="1679"/>
      <c r="AK234" s="1679"/>
      <c r="AL234" s="1679"/>
      <c r="AM234" s="1679"/>
      <c r="AN234" s="1679"/>
      <c r="AO234" s="1679"/>
      <c r="AP234" s="1679"/>
      <c r="AQ234" s="1679"/>
      <c r="AR234" s="1679"/>
      <c r="AS234" s="1679"/>
      <c r="AT234" s="1679"/>
      <c r="AU234" s="1679"/>
      <c r="AV234" s="1679"/>
      <c r="AW234" s="1679"/>
      <c r="AX234" s="1679"/>
      <c r="AY234" s="1679"/>
      <c r="AZ234" s="1679"/>
      <c r="BA234" s="1679"/>
      <c r="BB234" s="1679"/>
      <c r="BC234" s="1679"/>
      <c r="BD234" s="1679"/>
      <c r="BE234" s="1679"/>
      <c r="BF234" s="1679"/>
      <c r="BG234" s="1679"/>
      <c r="BH234" s="1679"/>
      <c r="BI234" s="1679"/>
      <c r="BJ234" s="1679"/>
      <c r="BK234" s="1679"/>
      <c r="BL234" s="1679"/>
      <c r="BM234" s="1679"/>
      <c r="BN234" s="1679"/>
      <c r="BO234" s="1679"/>
      <c r="BP234" s="1679"/>
      <c r="BQ234" s="1679"/>
      <c r="BR234" s="1679"/>
      <c r="BS234" s="1679"/>
      <c r="BT234" s="1679"/>
      <c r="BU234" s="1679"/>
      <c r="BV234" s="1679"/>
      <c r="BW234" s="1679"/>
      <c r="BX234" s="1679"/>
      <c r="BY234" s="1679"/>
      <c r="BZ234" s="1679"/>
      <c r="CA234" s="1679"/>
      <c r="CB234" s="1679"/>
    </row>
    <row r="235" spans="1:80" s="1276" customFormat="1" x14ac:dyDescent="0.2">
      <c r="A235" s="1271"/>
      <c r="D235" s="1276">
        <v>2013</v>
      </c>
      <c r="E235" s="1677">
        <v>0</v>
      </c>
      <c r="F235" s="1678"/>
      <c r="G235" s="1678"/>
      <c r="H235" s="1678"/>
      <c r="I235" s="1678"/>
      <c r="J235" s="1678"/>
      <c r="K235" s="1678">
        <f>E235/5</f>
        <v>0</v>
      </c>
      <c r="L235" s="1678">
        <f>K235</f>
        <v>0</v>
      </c>
      <c r="M235" s="1678">
        <f>L235</f>
        <v>0</v>
      </c>
      <c r="N235" s="1678">
        <f>M235</f>
        <v>0</v>
      </c>
      <c r="O235" s="1678">
        <f>N235</f>
        <v>0</v>
      </c>
      <c r="P235" s="1714"/>
      <c r="Q235" s="1687"/>
      <c r="R235" s="1679"/>
      <c r="S235" s="1679"/>
      <c r="T235" s="1679"/>
      <c r="U235" s="1679"/>
      <c r="V235" s="1679"/>
      <c r="W235" s="1679"/>
      <c r="X235" s="1679"/>
      <c r="Y235" s="1679"/>
      <c r="Z235" s="1679"/>
      <c r="AA235" s="1679"/>
      <c r="AB235" s="1679"/>
      <c r="AC235" s="1679"/>
      <c r="AD235" s="1679"/>
      <c r="AE235" s="1679"/>
      <c r="AF235" s="1679"/>
      <c r="AG235" s="1679"/>
      <c r="AH235" s="1679"/>
      <c r="AI235" s="1679"/>
      <c r="AJ235" s="1679"/>
      <c r="AK235" s="1679"/>
      <c r="AL235" s="1679"/>
      <c r="AM235" s="1679"/>
      <c r="AN235" s="1679"/>
      <c r="AO235" s="1679"/>
      <c r="AP235" s="1679"/>
      <c r="AQ235" s="1679"/>
      <c r="AR235" s="1679"/>
      <c r="AS235" s="1679"/>
      <c r="AT235" s="1679"/>
      <c r="AU235" s="1679"/>
      <c r="AV235" s="1679"/>
      <c r="AW235" s="1679"/>
      <c r="AX235" s="1679"/>
      <c r="AY235" s="1679"/>
      <c r="AZ235" s="1679"/>
      <c r="BA235" s="1679"/>
      <c r="BB235" s="1679"/>
      <c r="BC235" s="1679"/>
      <c r="BD235" s="1679"/>
      <c r="BE235" s="1679"/>
      <c r="BF235" s="1679"/>
      <c r="BG235" s="1679"/>
      <c r="BH235" s="1679"/>
      <c r="BI235" s="1679"/>
      <c r="BJ235" s="1679"/>
      <c r="BK235" s="1679"/>
      <c r="BL235" s="1679"/>
      <c r="BM235" s="1679"/>
      <c r="BN235" s="1679"/>
      <c r="BO235" s="1679"/>
      <c r="BP235" s="1679"/>
      <c r="BQ235" s="1679"/>
      <c r="BR235" s="1679"/>
      <c r="BS235" s="1679"/>
      <c r="BT235" s="1679"/>
      <c r="BU235" s="1679"/>
      <c r="BV235" s="1679"/>
      <c r="BW235" s="1679"/>
      <c r="BX235" s="1679"/>
      <c r="BY235" s="1679"/>
      <c r="BZ235" s="1679"/>
      <c r="CA235" s="1679"/>
      <c r="CB235" s="1679"/>
    </row>
    <row r="236" spans="1:80" s="1276" customFormat="1" x14ac:dyDescent="0.2">
      <c r="A236" s="1271"/>
      <c r="D236" s="1276">
        <v>2014</v>
      </c>
      <c r="E236" s="1677">
        <v>0</v>
      </c>
      <c r="F236" s="1678"/>
      <c r="G236" s="1678"/>
      <c r="H236" s="1678"/>
      <c r="I236" s="1678"/>
      <c r="J236" s="1678"/>
      <c r="K236" s="1678"/>
      <c r="L236" s="1678">
        <f>E236/5</f>
        <v>0</v>
      </c>
      <c r="M236" s="1678">
        <f>L236</f>
        <v>0</v>
      </c>
      <c r="N236" s="1678">
        <f>M236</f>
        <v>0</v>
      </c>
      <c r="O236" s="1678">
        <f>N236</f>
        <v>0</v>
      </c>
      <c r="P236" s="1714">
        <f>O236</f>
        <v>0</v>
      </c>
      <c r="Q236" s="1687"/>
      <c r="R236" s="1679"/>
      <c r="S236" s="1679"/>
      <c r="T236" s="1679"/>
      <c r="U236" s="1679"/>
      <c r="V236" s="1679"/>
      <c r="W236" s="1679"/>
      <c r="X236" s="1679"/>
      <c r="Y236" s="1679"/>
      <c r="Z236" s="1679"/>
      <c r="AA236" s="1679"/>
      <c r="AB236" s="1679"/>
      <c r="AC236" s="1679"/>
      <c r="AD236" s="1679"/>
      <c r="AE236" s="1679"/>
      <c r="AF236" s="1679"/>
      <c r="AG236" s="1679"/>
      <c r="AH236" s="1679"/>
      <c r="AI236" s="1679"/>
      <c r="AJ236" s="1679"/>
      <c r="AK236" s="1679"/>
      <c r="AL236" s="1679"/>
      <c r="AM236" s="1679"/>
      <c r="AN236" s="1679"/>
      <c r="AO236" s="1679"/>
      <c r="AP236" s="1679"/>
      <c r="AQ236" s="1679"/>
      <c r="AR236" s="1679"/>
      <c r="AS236" s="1679"/>
      <c r="AT236" s="1679"/>
      <c r="AU236" s="1679"/>
      <c r="AV236" s="1679"/>
      <c r="AW236" s="1679"/>
      <c r="AX236" s="1679"/>
      <c r="AY236" s="1679"/>
      <c r="AZ236" s="1679"/>
      <c r="BA236" s="1679"/>
      <c r="BB236" s="1679"/>
      <c r="BC236" s="1679"/>
      <c r="BD236" s="1679"/>
      <c r="BE236" s="1679"/>
      <c r="BF236" s="1679"/>
      <c r="BG236" s="1679"/>
      <c r="BH236" s="1679"/>
      <c r="BI236" s="1679"/>
      <c r="BJ236" s="1679"/>
      <c r="BK236" s="1679"/>
      <c r="BL236" s="1679"/>
      <c r="BM236" s="1679"/>
      <c r="BN236" s="1679"/>
      <c r="BO236" s="1679"/>
      <c r="BP236" s="1679"/>
      <c r="BQ236" s="1679"/>
      <c r="BR236" s="1679"/>
      <c r="BS236" s="1679"/>
      <c r="BT236" s="1679"/>
      <c r="BU236" s="1679"/>
      <c r="BV236" s="1679"/>
      <c r="BW236" s="1679"/>
      <c r="BX236" s="1679"/>
      <c r="BY236" s="1679"/>
      <c r="BZ236" s="1679"/>
      <c r="CA236" s="1679"/>
      <c r="CB236" s="1679"/>
    </row>
    <row r="237" spans="1:80" s="1276" customFormat="1" x14ac:dyDescent="0.2">
      <c r="A237" s="1271"/>
      <c r="D237" s="1276" t="s">
        <v>69</v>
      </c>
      <c r="E237" s="1677">
        <f>SUM(E232:E236)</f>
        <v>103301</v>
      </c>
      <c r="F237" s="1678"/>
      <c r="G237" s="1678"/>
      <c r="H237" s="1678"/>
      <c r="I237" s="1678"/>
      <c r="J237" s="1678"/>
      <c r="K237" s="1678"/>
      <c r="L237" s="1678"/>
      <c r="M237" s="1678"/>
      <c r="N237" s="1678"/>
      <c r="O237" s="1678"/>
      <c r="P237" s="1714"/>
      <c r="Q237" s="1687"/>
      <c r="R237" s="1679"/>
      <c r="S237" s="1679"/>
      <c r="T237" s="1679"/>
      <c r="U237" s="1679"/>
      <c r="V237" s="1679"/>
      <c r="W237" s="1679"/>
      <c r="X237" s="1679"/>
      <c r="Y237" s="1679"/>
      <c r="Z237" s="1679"/>
      <c r="AA237" s="1679"/>
      <c r="AB237" s="1679"/>
      <c r="AC237" s="1679"/>
      <c r="AD237" s="1679"/>
      <c r="AE237" s="1679"/>
      <c r="AF237" s="1679"/>
      <c r="AG237" s="1679"/>
      <c r="AH237" s="1679"/>
      <c r="AI237" s="1679"/>
      <c r="AJ237" s="1679"/>
      <c r="AK237" s="1679"/>
      <c r="AL237" s="1679"/>
      <c r="AM237" s="1679"/>
      <c r="AN237" s="1679"/>
      <c r="AO237" s="1679"/>
      <c r="AP237" s="1679"/>
      <c r="AQ237" s="1679"/>
      <c r="AR237" s="1679"/>
      <c r="AS237" s="1679"/>
      <c r="AT237" s="1679"/>
      <c r="AU237" s="1679"/>
      <c r="AV237" s="1679"/>
      <c r="AW237" s="1679"/>
      <c r="AX237" s="1679"/>
      <c r="AY237" s="1679"/>
      <c r="AZ237" s="1679"/>
      <c r="BA237" s="1679"/>
      <c r="BB237" s="1679"/>
      <c r="BC237" s="1679"/>
      <c r="BD237" s="1679"/>
      <c r="BE237" s="1679"/>
      <c r="BF237" s="1679"/>
      <c r="BG237" s="1679"/>
      <c r="BH237" s="1679"/>
      <c r="BI237" s="1679"/>
      <c r="BJ237" s="1679"/>
      <c r="BK237" s="1679"/>
      <c r="BL237" s="1679"/>
      <c r="BM237" s="1679"/>
      <c r="BN237" s="1679"/>
      <c r="BO237" s="1679"/>
      <c r="BP237" s="1679"/>
      <c r="BQ237" s="1679"/>
      <c r="BR237" s="1679"/>
      <c r="BS237" s="1679"/>
      <c r="BT237" s="1679"/>
      <c r="BU237" s="1679"/>
      <c r="BV237" s="1679"/>
      <c r="BW237" s="1679"/>
      <c r="BX237" s="1679"/>
      <c r="BY237" s="1679"/>
      <c r="BZ237" s="1679"/>
      <c r="CA237" s="1679"/>
      <c r="CB237" s="1679"/>
    </row>
    <row r="238" spans="1:80" x14ac:dyDescent="0.2">
      <c r="A238" s="430"/>
      <c r="B238" s="39"/>
      <c r="C238" s="39"/>
      <c r="D238" s="39"/>
      <c r="E238" s="1671"/>
      <c r="F238" s="66"/>
      <c r="G238" s="66"/>
      <c r="H238" s="66"/>
      <c r="I238" s="66"/>
      <c r="J238" s="66"/>
      <c r="K238" s="66"/>
      <c r="L238" s="66"/>
      <c r="M238" s="66"/>
      <c r="N238" s="66"/>
      <c r="O238" s="66"/>
      <c r="P238" s="1712"/>
      <c r="Q238" s="1685"/>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288"/>
      <c r="AN238" s="288"/>
      <c r="AO238" s="288"/>
      <c r="AP238" s="288"/>
      <c r="AQ238" s="288"/>
      <c r="AR238" s="288"/>
      <c r="AS238" s="288"/>
      <c r="AT238" s="288"/>
      <c r="AU238" s="288"/>
      <c r="AV238" s="288"/>
      <c r="AW238" s="288"/>
      <c r="AX238" s="288"/>
      <c r="AY238" s="288"/>
      <c r="AZ238" s="288"/>
      <c r="BA238" s="288"/>
      <c r="BB238" s="288"/>
      <c r="BC238" s="288"/>
      <c r="BD238" s="288"/>
      <c r="BE238" s="288"/>
      <c r="BF238" s="288"/>
      <c r="BG238" s="288"/>
      <c r="BH238" s="288"/>
      <c r="BI238" s="288"/>
      <c r="BJ238" s="288"/>
      <c r="BK238" s="288"/>
      <c r="BL238" s="288"/>
      <c r="BM238" s="288"/>
      <c r="BN238" s="288"/>
      <c r="BO238" s="288"/>
      <c r="BP238" s="288"/>
      <c r="BQ238" s="288"/>
      <c r="BR238" s="288"/>
      <c r="BS238" s="288"/>
      <c r="BT238" s="288"/>
      <c r="BU238" s="288"/>
      <c r="BV238" s="288"/>
      <c r="BW238" s="288"/>
      <c r="BX238" s="288"/>
      <c r="BY238" s="288"/>
      <c r="BZ238" s="288"/>
      <c r="CA238" s="288"/>
      <c r="CB238" s="288"/>
    </row>
    <row r="239" spans="1:80" s="1276" customFormat="1" x14ac:dyDescent="0.2">
      <c r="A239" s="1271" t="s">
        <v>822</v>
      </c>
      <c r="D239" s="1276">
        <v>2010</v>
      </c>
      <c r="E239" s="1677">
        <v>82028.885708376489</v>
      </c>
      <c r="F239" s="1678"/>
      <c r="G239" s="1678"/>
      <c r="H239" s="1678">
        <f>E239/5</f>
        <v>16405.777141675298</v>
      </c>
      <c r="I239" s="1678">
        <f>H239</f>
        <v>16405.777141675298</v>
      </c>
      <c r="J239" s="1678">
        <f>I239</f>
        <v>16405.777141675298</v>
      </c>
      <c r="K239" s="1678">
        <f>J239</f>
        <v>16405.777141675298</v>
      </c>
      <c r="L239" s="1678">
        <f>H239</f>
        <v>16405.777141675298</v>
      </c>
      <c r="M239" s="1678"/>
      <c r="N239" s="1678"/>
      <c r="O239" s="1678"/>
      <c r="P239" s="1714"/>
      <c r="Q239" s="1687"/>
      <c r="R239" s="1679"/>
      <c r="S239" s="1679"/>
      <c r="T239" s="1679"/>
      <c r="U239" s="1679"/>
      <c r="V239" s="1679"/>
      <c r="W239" s="1679"/>
      <c r="X239" s="1679"/>
      <c r="Y239" s="1679"/>
      <c r="Z239" s="1679"/>
      <c r="AA239" s="1679"/>
      <c r="AB239" s="1679"/>
      <c r="AC239" s="1679"/>
      <c r="AD239" s="1679"/>
      <c r="AE239" s="1679"/>
      <c r="AF239" s="1679"/>
      <c r="AG239" s="1679"/>
      <c r="AH239" s="1679"/>
      <c r="AI239" s="1679"/>
      <c r="AJ239" s="1679"/>
      <c r="AK239" s="1679"/>
      <c r="AL239" s="1679"/>
      <c r="AM239" s="1679"/>
      <c r="AN239" s="1679"/>
      <c r="AO239" s="1679"/>
      <c r="AP239" s="1679"/>
      <c r="AQ239" s="1679"/>
      <c r="AR239" s="1679"/>
      <c r="AS239" s="1679"/>
      <c r="AT239" s="1679"/>
      <c r="AU239" s="1679"/>
      <c r="AV239" s="1679"/>
      <c r="AW239" s="1679"/>
      <c r="AX239" s="1679"/>
      <c r="AY239" s="1679"/>
      <c r="AZ239" s="1679"/>
      <c r="BA239" s="1679"/>
      <c r="BB239" s="1679"/>
      <c r="BC239" s="1679"/>
      <c r="BD239" s="1679"/>
      <c r="BE239" s="1679"/>
      <c r="BF239" s="1679"/>
      <c r="BG239" s="1679"/>
      <c r="BH239" s="1679"/>
      <c r="BI239" s="1679"/>
      <c r="BJ239" s="1679"/>
      <c r="BK239" s="1679"/>
      <c r="BL239" s="1679"/>
      <c r="BM239" s="1679"/>
      <c r="BN239" s="1679"/>
      <c r="BO239" s="1679"/>
      <c r="BP239" s="1679"/>
      <c r="BQ239" s="1679"/>
      <c r="BR239" s="1679"/>
      <c r="BS239" s="1679"/>
      <c r="BT239" s="1679"/>
      <c r="BU239" s="1679"/>
      <c r="BV239" s="1679"/>
      <c r="BW239" s="1679"/>
      <c r="BX239" s="1679"/>
      <c r="BY239" s="1679"/>
      <c r="BZ239" s="1679"/>
      <c r="CA239" s="1679"/>
      <c r="CB239" s="1679"/>
    </row>
    <row r="240" spans="1:80" s="1276" customFormat="1" x14ac:dyDescent="0.2">
      <c r="A240" s="1271"/>
      <c r="D240" s="1276">
        <v>2011</v>
      </c>
      <c r="E240" s="1677">
        <v>114676.61566659567</v>
      </c>
      <c r="F240" s="1678"/>
      <c r="G240" s="1678"/>
      <c r="H240" s="1678"/>
      <c r="I240" s="1678">
        <f>E240/5</f>
        <v>22935.323133319132</v>
      </c>
      <c r="J240" s="1678">
        <f>I240</f>
        <v>22935.323133319132</v>
      </c>
      <c r="K240" s="1678">
        <f>J240</f>
        <v>22935.323133319132</v>
      </c>
      <c r="L240" s="1678">
        <f>K240</f>
        <v>22935.323133319132</v>
      </c>
      <c r="M240" s="1678">
        <f>L240</f>
        <v>22935.323133319132</v>
      </c>
      <c r="N240" s="1678"/>
      <c r="O240" s="1678"/>
      <c r="P240" s="1714"/>
      <c r="Q240" s="1687"/>
      <c r="R240" s="1679"/>
      <c r="S240" s="1679"/>
      <c r="T240" s="1679"/>
      <c r="U240" s="1679"/>
      <c r="V240" s="1679"/>
      <c r="W240" s="1679"/>
      <c r="X240" s="1679"/>
      <c r="Y240" s="1679"/>
      <c r="Z240" s="1679"/>
      <c r="AA240" s="1679"/>
      <c r="AB240" s="1679"/>
      <c r="AC240" s="1679"/>
      <c r="AD240" s="1679"/>
      <c r="AE240" s="1679"/>
      <c r="AF240" s="1679"/>
      <c r="AG240" s="1679"/>
      <c r="AH240" s="1679"/>
      <c r="AI240" s="1679"/>
      <c r="AJ240" s="1679"/>
      <c r="AK240" s="1679"/>
      <c r="AL240" s="1679"/>
      <c r="AM240" s="1679"/>
      <c r="AN240" s="1679"/>
      <c r="AO240" s="1679"/>
      <c r="AP240" s="1679"/>
      <c r="AQ240" s="1679"/>
      <c r="AR240" s="1679"/>
      <c r="AS240" s="1679"/>
      <c r="AT240" s="1679"/>
      <c r="AU240" s="1679"/>
      <c r="AV240" s="1679"/>
      <c r="AW240" s="1679"/>
      <c r="AX240" s="1679"/>
      <c r="AY240" s="1679"/>
      <c r="AZ240" s="1679"/>
      <c r="BA240" s="1679"/>
      <c r="BB240" s="1679"/>
      <c r="BC240" s="1679"/>
      <c r="BD240" s="1679"/>
      <c r="BE240" s="1679"/>
      <c r="BF240" s="1679"/>
      <c r="BG240" s="1679"/>
      <c r="BH240" s="1679"/>
      <c r="BI240" s="1679"/>
      <c r="BJ240" s="1679"/>
      <c r="BK240" s="1679"/>
      <c r="BL240" s="1679"/>
      <c r="BM240" s="1679"/>
      <c r="BN240" s="1679"/>
      <c r="BO240" s="1679"/>
      <c r="BP240" s="1679"/>
      <c r="BQ240" s="1679"/>
      <c r="BR240" s="1679"/>
      <c r="BS240" s="1679"/>
      <c r="BT240" s="1679"/>
      <c r="BU240" s="1679"/>
      <c r="BV240" s="1679"/>
      <c r="BW240" s="1679"/>
      <c r="BX240" s="1679"/>
      <c r="BY240" s="1679"/>
      <c r="BZ240" s="1679"/>
      <c r="CA240" s="1679"/>
      <c r="CB240" s="1679"/>
    </row>
    <row r="241" spans="1:80" s="1276" customFormat="1" x14ac:dyDescent="0.2">
      <c r="A241" s="1271"/>
      <c r="D241" s="1276">
        <v>2012</v>
      </c>
      <c r="E241" s="1677">
        <v>179793.51079635296</v>
      </c>
      <c r="F241" s="1678"/>
      <c r="G241" s="1678"/>
      <c r="H241" s="1678"/>
      <c r="I241" s="1678"/>
      <c r="J241" s="1678">
        <f>E241/5</f>
        <v>35958.702159270593</v>
      </c>
      <c r="K241" s="1678">
        <f>J241</f>
        <v>35958.702159270593</v>
      </c>
      <c r="L241" s="1678">
        <f>K241</f>
        <v>35958.702159270593</v>
      </c>
      <c r="M241" s="1678">
        <f>L241</f>
        <v>35958.702159270593</v>
      </c>
      <c r="N241" s="1678">
        <f>M241</f>
        <v>35958.702159270593</v>
      </c>
      <c r="O241" s="1678"/>
      <c r="P241" s="1714"/>
      <c r="Q241" s="1687"/>
      <c r="R241" s="1679"/>
      <c r="S241" s="1679"/>
      <c r="T241" s="1679"/>
      <c r="U241" s="1679"/>
      <c r="V241" s="1679"/>
      <c r="W241" s="1679"/>
      <c r="X241" s="1679"/>
      <c r="Y241" s="1679"/>
      <c r="Z241" s="1679"/>
      <c r="AA241" s="1679"/>
      <c r="AB241" s="1679"/>
      <c r="AC241" s="1679"/>
      <c r="AD241" s="1679"/>
      <c r="AE241" s="1679"/>
      <c r="AF241" s="1679"/>
      <c r="AG241" s="1679"/>
      <c r="AH241" s="1679"/>
      <c r="AI241" s="1679"/>
      <c r="AJ241" s="1679"/>
      <c r="AK241" s="1679"/>
      <c r="AL241" s="1679"/>
      <c r="AM241" s="1679"/>
      <c r="AN241" s="1679"/>
      <c r="AO241" s="1679"/>
      <c r="AP241" s="1679"/>
      <c r="AQ241" s="1679"/>
      <c r="AR241" s="1679"/>
      <c r="AS241" s="1679"/>
      <c r="AT241" s="1679"/>
      <c r="AU241" s="1679"/>
      <c r="AV241" s="1679"/>
      <c r="AW241" s="1679"/>
      <c r="AX241" s="1679"/>
      <c r="AY241" s="1679"/>
      <c r="AZ241" s="1679"/>
      <c r="BA241" s="1679"/>
      <c r="BB241" s="1679"/>
      <c r="BC241" s="1679"/>
      <c r="BD241" s="1679"/>
      <c r="BE241" s="1679"/>
      <c r="BF241" s="1679"/>
      <c r="BG241" s="1679"/>
      <c r="BH241" s="1679"/>
      <c r="BI241" s="1679"/>
      <c r="BJ241" s="1679"/>
      <c r="BK241" s="1679"/>
      <c r="BL241" s="1679"/>
      <c r="BM241" s="1679"/>
      <c r="BN241" s="1679"/>
      <c r="BO241" s="1679"/>
      <c r="BP241" s="1679"/>
      <c r="BQ241" s="1679"/>
      <c r="BR241" s="1679"/>
      <c r="BS241" s="1679"/>
      <c r="BT241" s="1679"/>
      <c r="BU241" s="1679"/>
      <c r="BV241" s="1679"/>
      <c r="BW241" s="1679"/>
      <c r="BX241" s="1679"/>
      <c r="BY241" s="1679"/>
      <c r="BZ241" s="1679"/>
      <c r="CA241" s="1679"/>
      <c r="CB241" s="1679"/>
    </row>
    <row r="242" spans="1:80" s="1276" customFormat="1" x14ac:dyDescent="0.2">
      <c r="A242" s="1271"/>
      <c r="D242" s="1276">
        <v>2013</v>
      </c>
      <c r="E242" s="1677">
        <v>177223.47878214315</v>
      </c>
      <c r="F242" s="1678"/>
      <c r="G242" s="1678"/>
      <c r="H242" s="1678"/>
      <c r="I242" s="1678"/>
      <c r="J242" s="1678"/>
      <c r="K242" s="1678">
        <f>E242/5</f>
        <v>35444.695756428628</v>
      </c>
      <c r="L242" s="1678">
        <f>K242</f>
        <v>35444.695756428628</v>
      </c>
      <c r="M242" s="1678">
        <f>L242</f>
        <v>35444.695756428628</v>
      </c>
      <c r="N242" s="1678">
        <f>M242</f>
        <v>35444.695756428628</v>
      </c>
      <c r="O242" s="1678">
        <f>N242</f>
        <v>35444.695756428628</v>
      </c>
      <c r="P242" s="1714"/>
      <c r="Q242" s="1687"/>
      <c r="R242" s="1679"/>
      <c r="S242" s="1679"/>
      <c r="T242" s="1679"/>
      <c r="U242" s="1679"/>
      <c r="V242" s="1679"/>
      <c r="W242" s="1679"/>
      <c r="X242" s="1679"/>
      <c r="Y242" s="1679"/>
      <c r="Z242" s="1679"/>
      <c r="AA242" s="1679"/>
      <c r="AB242" s="1679"/>
      <c r="AC242" s="1679"/>
      <c r="AD242" s="1679"/>
      <c r="AE242" s="1679"/>
      <c r="AF242" s="1679"/>
      <c r="AG242" s="1679"/>
      <c r="AH242" s="1679"/>
      <c r="AI242" s="1679"/>
      <c r="AJ242" s="1679"/>
      <c r="AK242" s="1679"/>
      <c r="AL242" s="1679"/>
      <c r="AM242" s="1679"/>
      <c r="AN242" s="1679"/>
      <c r="AO242" s="1679"/>
      <c r="AP242" s="1679"/>
      <c r="AQ242" s="1679"/>
      <c r="AR242" s="1679"/>
      <c r="AS242" s="1679"/>
      <c r="AT242" s="1679"/>
      <c r="AU242" s="1679"/>
      <c r="AV242" s="1679"/>
      <c r="AW242" s="1679"/>
      <c r="AX242" s="1679"/>
      <c r="AY242" s="1679"/>
      <c r="AZ242" s="1679"/>
      <c r="BA242" s="1679"/>
      <c r="BB242" s="1679"/>
      <c r="BC242" s="1679"/>
      <c r="BD242" s="1679"/>
      <c r="BE242" s="1679"/>
      <c r="BF242" s="1679"/>
      <c r="BG242" s="1679"/>
      <c r="BH242" s="1679"/>
      <c r="BI242" s="1679"/>
      <c r="BJ242" s="1679"/>
      <c r="BK242" s="1679"/>
      <c r="BL242" s="1679"/>
      <c r="BM242" s="1679"/>
      <c r="BN242" s="1679"/>
      <c r="BO242" s="1679"/>
      <c r="BP242" s="1679"/>
      <c r="BQ242" s="1679"/>
      <c r="BR242" s="1679"/>
      <c r="BS242" s="1679"/>
      <c r="BT242" s="1679"/>
      <c r="BU242" s="1679"/>
      <c r="BV242" s="1679"/>
      <c r="BW242" s="1679"/>
      <c r="BX242" s="1679"/>
      <c r="BY242" s="1679"/>
      <c r="BZ242" s="1679"/>
      <c r="CA242" s="1679"/>
      <c r="CB242" s="1679"/>
    </row>
    <row r="243" spans="1:80" s="1276" customFormat="1" x14ac:dyDescent="0.2">
      <c r="A243" s="1271"/>
      <c r="D243" s="1276">
        <v>2014</v>
      </c>
      <c r="E243" s="1677">
        <v>0</v>
      </c>
      <c r="F243" s="1678"/>
      <c r="G243" s="1678"/>
      <c r="H243" s="1678"/>
      <c r="I243" s="1678"/>
      <c r="J243" s="1678"/>
      <c r="K243" s="1678"/>
      <c r="L243" s="1678">
        <f>E243/5</f>
        <v>0</v>
      </c>
      <c r="M243" s="1678">
        <f>L243</f>
        <v>0</v>
      </c>
      <c r="N243" s="1678">
        <f>M243</f>
        <v>0</v>
      </c>
      <c r="O243" s="1678">
        <f>N243</f>
        <v>0</v>
      </c>
      <c r="P243" s="1714">
        <f>O243</f>
        <v>0</v>
      </c>
      <c r="Q243" s="1687"/>
      <c r="R243" s="1679"/>
      <c r="S243" s="1679"/>
      <c r="T243" s="1679"/>
      <c r="U243" s="1679"/>
      <c r="V243" s="1679"/>
      <c r="W243" s="1679"/>
      <c r="X243" s="1679"/>
      <c r="Y243" s="1679"/>
      <c r="Z243" s="1679"/>
      <c r="AA243" s="1679"/>
      <c r="AB243" s="1679"/>
      <c r="AC243" s="1679"/>
      <c r="AD243" s="1679"/>
      <c r="AE243" s="1679"/>
      <c r="AF243" s="1679"/>
      <c r="AG243" s="1679"/>
      <c r="AH243" s="1679"/>
      <c r="AI243" s="1679"/>
      <c r="AJ243" s="1679"/>
      <c r="AK243" s="1679"/>
      <c r="AL243" s="1679"/>
      <c r="AM243" s="1679"/>
      <c r="AN243" s="1679"/>
      <c r="AO243" s="1679"/>
      <c r="AP243" s="1679"/>
      <c r="AQ243" s="1679"/>
      <c r="AR243" s="1679"/>
      <c r="AS243" s="1679"/>
      <c r="AT243" s="1679"/>
      <c r="AU243" s="1679"/>
      <c r="AV243" s="1679"/>
      <c r="AW243" s="1679"/>
      <c r="AX243" s="1679"/>
      <c r="AY243" s="1679"/>
      <c r="AZ243" s="1679"/>
      <c r="BA243" s="1679"/>
      <c r="BB243" s="1679"/>
      <c r="BC243" s="1679"/>
      <c r="BD243" s="1679"/>
      <c r="BE243" s="1679"/>
      <c r="BF243" s="1679"/>
      <c r="BG243" s="1679"/>
      <c r="BH243" s="1679"/>
      <c r="BI243" s="1679"/>
      <c r="BJ243" s="1679"/>
      <c r="BK243" s="1679"/>
      <c r="BL243" s="1679"/>
      <c r="BM243" s="1679"/>
      <c r="BN243" s="1679"/>
      <c r="BO243" s="1679"/>
      <c r="BP243" s="1679"/>
      <c r="BQ243" s="1679"/>
      <c r="BR243" s="1679"/>
      <c r="BS243" s="1679"/>
      <c r="BT243" s="1679"/>
      <c r="BU243" s="1679"/>
      <c r="BV243" s="1679"/>
      <c r="BW243" s="1679"/>
      <c r="BX243" s="1679"/>
      <c r="BY243" s="1679"/>
      <c r="BZ243" s="1679"/>
      <c r="CA243" s="1679"/>
      <c r="CB243" s="1679"/>
    </row>
    <row r="244" spans="1:80" s="1276" customFormat="1" x14ac:dyDescent="0.2">
      <c r="A244" s="1271"/>
      <c r="D244" s="1276" t="s">
        <v>69</v>
      </c>
      <c r="E244" s="1677">
        <f>SUM(E239:E243)</f>
        <v>553722.49095346825</v>
      </c>
      <c r="F244" s="1678"/>
      <c r="G244" s="1678"/>
      <c r="H244" s="1678"/>
      <c r="I244" s="1678"/>
      <c r="J244" s="1678"/>
      <c r="K244" s="1678"/>
      <c r="L244" s="1678"/>
      <c r="M244" s="1678"/>
      <c r="N244" s="1678"/>
      <c r="O244" s="1678"/>
      <c r="P244" s="1714"/>
      <c r="Q244" s="1687"/>
      <c r="R244" s="1679"/>
      <c r="S244" s="1679"/>
      <c r="T244" s="1679"/>
      <c r="U244" s="1679"/>
      <c r="V244" s="1679"/>
      <c r="W244" s="1679"/>
      <c r="X244" s="1679"/>
      <c r="Y244" s="1679"/>
      <c r="Z244" s="1679"/>
      <c r="AA244" s="1679"/>
      <c r="AB244" s="1679"/>
      <c r="AC244" s="1679"/>
      <c r="AD244" s="1679"/>
      <c r="AE244" s="1679"/>
      <c r="AF244" s="1679"/>
      <c r="AG244" s="1679"/>
      <c r="AH244" s="1679"/>
      <c r="AI244" s="1679"/>
      <c r="AJ244" s="1679"/>
      <c r="AK244" s="1679"/>
      <c r="AL244" s="1679"/>
      <c r="AM244" s="1679"/>
      <c r="AN244" s="1679"/>
      <c r="AO244" s="1679"/>
      <c r="AP244" s="1679"/>
      <c r="AQ244" s="1679"/>
      <c r="AR244" s="1679"/>
      <c r="AS244" s="1679"/>
      <c r="AT244" s="1679"/>
      <c r="AU244" s="1679"/>
      <c r="AV244" s="1679"/>
      <c r="AW244" s="1679"/>
      <c r="AX244" s="1679"/>
      <c r="AY244" s="1679"/>
      <c r="AZ244" s="1679"/>
      <c r="BA244" s="1679"/>
      <c r="BB244" s="1679"/>
      <c r="BC244" s="1679"/>
      <c r="BD244" s="1679"/>
      <c r="BE244" s="1679"/>
      <c r="BF244" s="1679"/>
      <c r="BG244" s="1679"/>
      <c r="BH244" s="1679"/>
      <c r="BI244" s="1679"/>
      <c r="BJ244" s="1679"/>
      <c r="BK244" s="1679"/>
      <c r="BL244" s="1679"/>
      <c r="BM244" s="1679"/>
      <c r="BN244" s="1679"/>
      <c r="BO244" s="1679"/>
      <c r="BP244" s="1679"/>
      <c r="BQ244" s="1679"/>
      <c r="BR244" s="1679"/>
      <c r="BS244" s="1679"/>
      <c r="BT244" s="1679"/>
      <c r="BU244" s="1679"/>
      <c r="BV244" s="1679"/>
      <c r="BW244" s="1679"/>
      <c r="BX244" s="1679"/>
      <c r="BY244" s="1679"/>
      <c r="BZ244" s="1679"/>
      <c r="CA244" s="1679"/>
      <c r="CB244" s="1679"/>
    </row>
    <row r="245" spans="1:80" x14ac:dyDescent="0.2">
      <c r="A245" s="430"/>
      <c r="B245" s="39"/>
      <c r="C245" s="39"/>
      <c r="D245" s="39"/>
      <c r="E245" s="1671"/>
      <c r="F245" s="66"/>
      <c r="G245" s="66"/>
      <c r="H245" s="66"/>
      <c r="I245" s="66"/>
      <c r="J245" s="66"/>
      <c r="K245" s="66"/>
      <c r="L245" s="66"/>
      <c r="M245" s="66"/>
      <c r="N245" s="66"/>
      <c r="O245" s="66"/>
      <c r="P245" s="1712"/>
      <c r="Q245" s="1685"/>
      <c r="R245" s="288"/>
      <c r="S245" s="288"/>
      <c r="T245" s="288"/>
      <c r="U245" s="288"/>
      <c r="V245" s="288"/>
      <c r="W245" s="288"/>
      <c r="X245" s="288"/>
      <c r="Y245" s="288"/>
      <c r="Z245" s="288"/>
      <c r="AA245" s="288"/>
      <c r="AB245" s="288"/>
      <c r="AC245" s="288"/>
      <c r="AD245" s="288"/>
      <c r="AE245" s="288"/>
      <c r="AF245" s="288"/>
      <c r="AG245" s="288"/>
      <c r="AH245" s="288"/>
      <c r="AI245" s="288"/>
      <c r="AJ245" s="288"/>
      <c r="AK245" s="288"/>
      <c r="AL245" s="288"/>
      <c r="AM245" s="288"/>
      <c r="AN245" s="288"/>
      <c r="AO245" s="288"/>
      <c r="AP245" s="288"/>
      <c r="AQ245" s="288"/>
      <c r="AR245" s="288"/>
      <c r="AS245" s="288"/>
      <c r="AT245" s="288"/>
      <c r="AU245" s="288"/>
      <c r="AV245" s="288"/>
      <c r="AW245" s="288"/>
      <c r="AX245" s="288"/>
      <c r="AY245" s="288"/>
      <c r="AZ245" s="288"/>
      <c r="BA245" s="288"/>
      <c r="BB245" s="288"/>
      <c r="BC245" s="288"/>
      <c r="BD245" s="288"/>
      <c r="BE245" s="288"/>
      <c r="BF245" s="288"/>
      <c r="BG245" s="288"/>
      <c r="BH245" s="288"/>
      <c r="BI245" s="288"/>
      <c r="BJ245" s="288"/>
      <c r="BK245" s="288"/>
      <c r="BL245" s="288"/>
      <c r="BM245" s="288"/>
      <c r="BN245" s="288"/>
      <c r="BO245" s="288"/>
      <c r="BP245" s="288"/>
      <c r="BQ245" s="288"/>
      <c r="BR245" s="288"/>
      <c r="BS245" s="288"/>
      <c r="BT245" s="288"/>
      <c r="BU245" s="288"/>
      <c r="BV245" s="288"/>
      <c r="BW245" s="288"/>
      <c r="BX245" s="288"/>
      <c r="BY245" s="288"/>
      <c r="BZ245" s="288"/>
      <c r="CA245" s="288"/>
      <c r="CB245" s="288"/>
    </row>
    <row r="246" spans="1:80" s="1276" customFormat="1" x14ac:dyDescent="0.2">
      <c r="A246" s="1271" t="s">
        <v>821</v>
      </c>
      <c r="D246" s="1276">
        <v>2010</v>
      </c>
      <c r="E246" s="1677">
        <v>99672.771405540014</v>
      </c>
      <c r="F246" s="1678"/>
      <c r="G246" s="1678"/>
      <c r="H246" s="1678">
        <f>E246/5</f>
        <v>19934.554281108001</v>
      </c>
      <c r="I246" s="1678">
        <f>H246</f>
        <v>19934.554281108001</v>
      </c>
      <c r="J246" s="1678">
        <f>I246</f>
        <v>19934.554281108001</v>
      </c>
      <c r="K246" s="1678">
        <f>J246</f>
        <v>19934.554281108001</v>
      </c>
      <c r="L246" s="1678">
        <f>H246</f>
        <v>19934.554281108001</v>
      </c>
      <c r="M246" s="1678"/>
      <c r="N246" s="1678"/>
      <c r="O246" s="1678"/>
      <c r="P246" s="1714"/>
      <c r="Q246" s="1687"/>
      <c r="R246" s="1679"/>
      <c r="S246" s="1679"/>
      <c r="T246" s="1679"/>
      <c r="U246" s="1679"/>
      <c r="V246" s="1679"/>
      <c r="W246" s="1679"/>
      <c r="X246" s="1679"/>
      <c r="Y246" s="1679"/>
      <c r="Z246" s="1679"/>
      <c r="AA246" s="1679"/>
      <c r="AB246" s="1679"/>
      <c r="AC246" s="1679"/>
      <c r="AD246" s="1679"/>
      <c r="AE246" s="1679"/>
      <c r="AF246" s="1679"/>
      <c r="AG246" s="1679"/>
      <c r="AH246" s="1679"/>
      <c r="AI246" s="1679"/>
      <c r="AJ246" s="1679"/>
      <c r="AK246" s="1679"/>
      <c r="AL246" s="1679"/>
      <c r="AM246" s="1679"/>
      <c r="AN246" s="1679"/>
      <c r="AO246" s="1679"/>
      <c r="AP246" s="1679"/>
      <c r="AQ246" s="1679"/>
      <c r="AR246" s="1679"/>
      <c r="AS246" s="1679"/>
      <c r="AT246" s="1679"/>
      <c r="AU246" s="1679"/>
      <c r="AV246" s="1679"/>
      <c r="AW246" s="1679"/>
      <c r="AX246" s="1679"/>
      <c r="AY246" s="1679"/>
      <c r="AZ246" s="1679"/>
      <c r="BA246" s="1679"/>
      <c r="BB246" s="1679"/>
      <c r="BC246" s="1679"/>
      <c r="BD246" s="1679"/>
      <c r="BE246" s="1679"/>
      <c r="BF246" s="1679"/>
      <c r="BG246" s="1679"/>
      <c r="BH246" s="1679"/>
      <c r="BI246" s="1679"/>
      <c r="BJ246" s="1679"/>
      <c r="BK246" s="1679"/>
      <c r="BL246" s="1679"/>
      <c r="BM246" s="1679"/>
      <c r="BN246" s="1679"/>
      <c r="BO246" s="1679"/>
      <c r="BP246" s="1679"/>
      <c r="BQ246" s="1679"/>
      <c r="BR246" s="1679"/>
      <c r="BS246" s="1679"/>
      <c r="BT246" s="1679"/>
      <c r="BU246" s="1679"/>
      <c r="BV246" s="1679"/>
      <c r="BW246" s="1679"/>
      <c r="BX246" s="1679"/>
      <c r="BY246" s="1679"/>
      <c r="BZ246" s="1679"/>
      <c r="CA246" s="1679"/>
      <c r="CB246" s="1679"/>
    </row>
    <row r="247" spans="1:80" s="1276" customFormat="1" x14ac:dyDescent="0.2">
      <c r="A247" s="1271"/>
      <c r="D247" s="1276">
        <v>2011</v>
      </c>
      <c r="E247" s="1677">
        <v>118264.05475587817</v>
      </c>
      <c r="F247" s="1678"/>
      <c r="G247" s="1678"/>
      <c r="H247" s="1678"/>
      <c r="I247" s="1678">
        <f>E247/5</f>
        <v>23652.810951175634</v>
      </c>
      <c r="J247" s="1678">
        <f>I247</f>
        <v>23652.810951175634</v>
      </c>
      <c r="K247" s="1678">
        <f>J247</f>
        <v>23652.810951175634</v>
      </c>
      <c r="L247" s="1678">
        <f>K247</f>
        <v>23652.810951175634</v>
      </c>
      <c r="M247" s="1678">
        <f>L247</f>
        <v>23652.810951175634</v>
      </c>
      <c r="N247" s="1678"/>
      <c r="O247" s="1678"/>
      <c r="P247" s="1714"/>
      <c r="Q247" s="1687"/>
      <c r="R247" s="1679"/>
      <c r="S247" s="1679"/>
      <c r="T247" s="1679"/>
      <c r="U247" s="1679"/>
      <c r="V247" s="1679"/>
      <c r="W247" s="1679"/>
      <c r="X247" s="1679"/>
      <c r="Y247" s="1679"/>
      <c r="Z247" s="1679"/>
      <c r="AA247" s="1679"/>
      <c r="AB247" s="1679"/>
      <c r="AC247" s="1679"/>
      <c r="AD247" s="1679"/>
      <c r="AE247" s="1679"/>
      <c r="AF247" s="1679"/>
      <c r="AG247" s="1679"/>
      <c r="AH247" s="1679"/>
      <c r="AI247" s="1679"/>
      <c r="AJ247" s="1679"/>
      <c r="AK247" s="1679"/>
      <c r="AL247" s="1679"/>
      <c r="AM247" s="1679"/>
      <c r="AN247" s="1679"/>
      <c r="AO247" s="1679"/>
      <c r="AP247" s="1679"/>
      <c r="AQ247" s="1679"/>
      <c r="AR247" s="1679"/>
      <c r="AS247" s="1679"/>
      <c r="AT247" s="1679"/>
      <c r="AU247" s="1679"/>
      <c r="AV247" s="1679"/>
      <c r="AW247" s="1679"/>
      <c r="AX247" s="1679"/>
      <c r="AY247" s="1679"/>
      <c r="AZ247" s="1679"/>
      <c r="BA247" s="1679"/>
      <c r="BB247" s="1679"/>
      <c r="BC247" s="1679"/>
      <c r="BD247" s="1679"/>
      <c r="BE247" s="1679"/>
      <c r="BF247" s="1679"/>
      <c r="BG247" s="1679"/>
      <c r="BH247" s="1679"/>
      <c r="BI247" s="1679"/>
      <c r="BJ247" s="1679"/>
      <c r="BK247" s="1679"/>
      <c r="BL247" s="1679"/>
      <c r="BM247" s="1679"/>
      <c r="BN247" s="1679"/>
      <c r="BO247" s="1679"/>
      <c r="BP247" s="1679"/>
      <c r="BQ247" s="1679"/>
      <c r="BR247" s="1679"/>
      <c r="BS247" s="1679"/>
      <c r="BT247" s="1679"/>
      <c r="BU247" s="1679"/>
      <c r="BV247" s="1679"/>
      <c r="BW247" s="1679"/>
      <c r="BX247" s="1679"/>
      <c r="BY247" s="1679"/>
      <c r="BZ247" s="1679"/>
      <c r="CA247" s="1679"/>
      <c r="CB247" s="1679"/>
    </row>
    <row r="248" spans="1:80" s="1276" customFormat="1" x14ac:dyDescent="0.2">
      <c r="A248" s="1271"/>
      <c r="D248" s="1276">
        <v>2012</v>
      </c>
      <c r="E248" s="1677">
        <v>49632.220892103214</v>
      </c>
      <c r="F248" s="1678"/>
      <c r="G248" s="1678"/>
      <c r="H248" s="1678"/>
      <c r="I248" s="1678"/>
      <c r="J248" s="1678">
        <f>E248/5</f>
        <v>9926.4441784206429</v>
      </c>
      <c r="K248" s="1678">
        <f>J248</f>
        <v>9926.4441784206429</v>
      </c>
      <c r="L248" s="1678">
        <f>K248</f>
        <v>9926.4441784206429</v>
      </c>
      <c r="M248" s="1678">
        <f>L248</f>
        <v>9926.4441784206429</v>
      </c>
      <c r="N248" s="1678">
        <f>M248</f>
        <v>9926.4441784206429</v>
      </c>
      <c r="O248" s="1678"/>
      <c r="P248" s="1714"/>
      <c r="Q248" s="1687"/>
      <c r="R248" s="1679"/>
      <c r="S248" s="1679"/>
      <c r="T248" s="1679"/>
      <c r="U248" s="1679"/>
      <c r="V248" s="1679"/>
      <c r="W248" s="1679"/>
      <c r="X248" s="1679"/>
      <c r="Y248" s="1679"/>
      <c r="Z248" s="1679"/>
      <c r="AA248" s="1679"/>
      <c r="AB248" s="1679"/>
      <c r="AC248" s="1679"/>
      <c r="AD248" s="1679"/>
      <c r="AE248" s="1679"/>
      <c r="AF248" s="1679"/>
      <c r="AG248" s="1679"/>
      <c r="AH248" s="1679"/>
      <c r="AI248" s="1679"/>
      <c r="AJ248" s="1679"/>
      <c r="AK248" s="1679"/>
      <c r="AL248" s="1679"/>
      <c r="AM248" s="1679"/>
      <c r="AN248" s="1679"/>
      <c r="AO248" s="1679"/>
      <c r="AP248" s="1679"/>
      <c r="AQ248" s="1679"/>
      <c r="AR248" s="1679"/>
      <c r="AS248" s="1679"/>
      <c r="AT248" s="1679"/>
      <c r="AU248" s="1679"/>
      <c r="AV248" s="1679"/>
      <c r="AW248" s="1679"/>
      <c r="AX248" s="1679"/>
      <c r="AY248" s="1679"/>
      <c r="AZ248" s="1679"/>
      <c r="BA248" s="1679"/>
      <c r="BB248" s="1679"/>
      <c r="BC248" s="1679"/>
      <c r="BD248" s="1679"/>
      <c r="BE248" s="1679"/>
      <c r="BF248" s="1679"/>
      <c r="BG248" s="1679"/>
      <c r="BH248" s="1679"/>
      <c r="BI248" s="1679"/>
      <c r="BJ248" s="1679"/>
      <c r="BK248" s="1679"/>
      <c r="BL248" s="1679"/>
      <c r="BM248" s="1679"/>
      <c r="BN248" s="1679"/>
      <c r="BO248" s="1679"/>
      <c r="BP248" s="1679"/>
      <c r="BQ248" s="1679"/>
      <c r="BR248" s="1679"/>
      <c r="BS248" s="1679"/>
      <c r="BT248" s="1679"/>
      <c r="BU248" s="1679"/>
      <c r="BV248" s="1679"/>
      <c r="BW248" s="1679"/>
      <c r="BX248" s="1679"/>
      <c r="BY248" s="1679"/>
      <c r="BZ248" s="1679"/>
      <c r="CA248" s="1679"/>
      <c r="CB248" s="1679"/>
    </row>
    <row r="249" spans="1:80" s="1276" customFormat="1" x14ac:dyDescent="0.2">
      <c r="A249" s="1271"/>
      <c r="D249" s="1276">
        <v>2013</v>
      </c>
      <c r="E249" s="1677">
        <v>0</v>
      </c>
      <c r="F249" s="1678"/>
      <c r="G249" s="1678"/>
      <c r="H249" s="1678"/>
      <c r="I249" s="1678"/>
      <c r="J249" s="1678"/>
      <c r="K249" s="1678">
        <f>E249/5</f>
        <v>0</v>
      </c>
      <c r="L249" s="1678">
        <f>K249</f>
        <v>0</v>
      </c>
      <c r="M249" s="1678">
        <f>L249</f>
        <v>0</v>
      </c>
      <c r="N249" s="1678">
        <f>M249</f>
        <v>0</v>
      </c>
      <c r="O249" s="1678">
        <f>N249</f>
        <v>0</v>
      </c>
      <c r="P249" s="1714"/>
      <c r="Q249" s="1687"/>
      <c r="R249" s="1679"/>
      <c r="S249" s="1679"/>
      <c r="T249" s="1679"/>
      <c r="U249" s="1679"/>
      <c r="V249" s="1679"/>
      <c r="W249" s="1679"/>
      <c r="X249" s="1679"/>
      <c r="Y249" s="1679"/>
      <c r="Z249" s="1679"/>
      <c r="AA249" s="1679"/>
      <c r="AB249" s="1679"/>
      <c r="AC249" s="1679"/>
      <c r="AD249" s="1679"/>
      <c r="AE249" s="1679"/>
      <c r="AF249" s="1679"/>
      <c r="AG249" s="1679"/>
      <c r="AH249" s="1679"/>
      <c r="AI249" s="1679"/>
      <c r="AJ249" s="1679"/>
      <c r="AK249" s="1679"/>
      <c r="AL249" s="1679"/>
      <c r="AM249" s="1679"/>
      <c r="AN249" s="1679"/>
      <c r="AO249" s="1679"/>
      <c r="AP249" s="1679"/>
      <c r="AQ249" s="1679"/>
      <c r="AR249" s="1679"/>
      <c r="AS249" s="1679"/>
      <c r="AT249" s="1679"/>
      <c r="AU249" s="1679"/>
      <c r="AV249" s="1679"/>
      <c r="AW249" s="1679"/>
      <c r="AX249" s="1679"/>
      <c r="AY249" s="1679"/>
      <c r="AZ249" s="1679"/>
      <c r="BA249" s="1679"/>
      <c r="BB249" s="1679"/>
      <c r="BC249" s="1679"/>
      <c r="BD249" s="1679"/>
      <c r="BE249" s="1679"/>
      <c r="BF249" s="1679"/>
      <c r="BG249" s="1679"/>
      <c r="BH249" s="1679"/>
      <c r="BI249" s="1679"/>
      <c r="BJ249" s="1679"/>
      <c r="BK249" s="1679"/>
      <c r="BL249" s="1679"/>
      <c r="BM249" s="1679"/>
      <c r="BN249" s="1679"/>
      <c r="BO249" s="1679"/>
      <c r="BP249" s="1679"/>
      <c r="BQ249" s="1679"/>
      <c r="BR249" s="1679"/>
      <c r="BS249" s="1679"/>
      <c r="BT249" s="1679"/>
      <c r="BU249" s="1679"/>
      <c r="BV249" s="1679"/>
      <c r="BW249" s="1679"/>
      <c r="BX249" s="1679"/>
      <c r="BY249" s="1679"/>
      <c r="BZ249" s="1679"/>
      <c r="CA249" s="1679"/>
      <c r="CB249" s="1679"/>
    </row>
    <row r="250" spans="1:80" s="1276" customFormat="1" x14ac:dyDescent="0.2">
      <c r="A250" s="1271"/>
      <c r="D250" s="1276">
        <v>2014</v>
      </c>
      <c r="E250" s="1677">
        <v>0</v>
      </c>
      <c r="F250" s="1678"/>
      <c r="G250" s="1678"/>
      <c r="H250" s="1678"/>
      <c r="I250" s="1678"/>
      <c r="J250" s="1678"/>
      <c r="K250" s="1678"/>
      <c r="L250" s="1678">
        <f>E250/5</f>
        <v>0</v>
      </c>
      <c r="M250" s="1678">
        <f>L250</f>
        <v>0</v>
      </c>
      <c r="N250" s="1678">
        <f>M250</f>
        <v>0</v>
      </c>
      <c r="O250" s="1678">
        <f>N250</f>
        <v>0</v>
      </c>
      <c r="P250" s="1714">
        <f>O250</f>
        <v>0</v>
      </c>
      <c r="Q250" s="1687"/>
      <c r="R250" s="1679"/>
      <c r="S250" s="1679"/>
      <c r="T250" s="1679"/>
      <c r="U250" s="1679"/>
      <c r="V250" s="1679"/>
      <c r="W250" s="1679"/>
      <c r="X250" s="1679"/>
      <c r="Y250" s="1679"/>
      <c r="Z250" s="1679"/>
      <c r="AA250" s="1679"/>
      <c r="AB250" s="1679"/>
      <c r="AC250" s="1679"/>
      <c r="AD250" s="1679"/>
      <c r="AE250" s="1679"/>
      <c r="AF250" s="1679"/>
      <c r="AG250" s="1679"/>
      <c r="AH250" s="1679"/>
      <c r="AI250" s="1679"/>
      <c r="AJ250" s="1679"/>
      <c r="AK250" s="1679"/>
      <c r="AL250" s="1679"/>
      <c r="AM250" s="1679"/>
      <c r="AN250" s="1679"/>
      <c r="AO250" s="1679"/>
      <c r="AP250" s="1679"/>
      <c r="AQ250" s="1679"/>
      <c r="AR250" s="1679"/>
      <c r="AS250" s="1679"/>
      <c r="AT250" s="1679"/>
      <c r="AU250" s="1679"/>
      <c r="AV250" s="1679"/>
      <c r="AW250" s="1679"/>
      <c r="AX250" s="1679"/>
      <c r="AY250" s="1679"/>
      <c r="AZ250" s="1679"/>
      <c r="BA250" s="1679"/>
      <c r="BB250" s="1679"/>
      <c r="BC250" s="1679"/>
      <c r="BD250" s="1679"/>
      <c r="BE250" s="1679"/>
      <c r="BF250" s="1679"/>
      <c r="BG250" s="1679"/>
      <c r="BH250" s="1679"/>
      <c r="BI250" s="1679"/>
      <c r="BJ250" s="1679"/>
      <c r="BK250" s="1679"/>
      <c r="BL250" s="1679"/>
      <c r="BM250" s="1679"/>
      <c r="BN250" s="1679"/>
      <c r="BO250" s="1679"/>
      <c r="BP250" s="1679"/>
      <c r="BQ250" s="1679"/>
      <c r="BR250" s="1679"/>
      <c r="BS250" s="1679"/>
      <c r="BT250" s="1679"/>
      <c r="BU250" s="1679"/>
      <c r="BV250" s="1679"/>
      <c r="BW250" s="1679"/>
      <c r="BX250" s="1679"/>
      <c r="BY250" s="1679"/>
      <c r="BZ250" s="1679"/>
      <c r="CA250" s="1679"/>
      <c r="CB250" s="1679"/>
    </row>
    <row r="251" spans="1:80" s="1276" customFormat="1" x14ac:dyDescent="0.2">
      <c r="A251" s="1271"/>
      <c r="D251" s="1276" t="s">
        <v>69</v>
      </c>
      <c r="E251" s="1677">
        <f>SUM(E246:E250)</f>
        <v>267569.04705352138</v>
      </c>
      <c r="F251" s="1678"/>
      <c r="G251" s="1678"/>
      <c r="H251" s="1678"/>
      <c r="I251" s="1678"/>
      <c r="J251" s="1678"/>
      <c r="K251" s="1678"/>
      <c r="L251" s="1678"/>
      <c r="M251" s="1678"/>
      <c r="N251" s="1678"/>
      <c r="O251" s="1678"/>
      <c r="P251" s="1714"/>
      <c r="Q251" s="1687"/>
      <c r="R251" s="1679"/>
      <c r="S251" s="1679"/>
      <c r="T251" s="1679"/>
      <c r="U251" s="1679"/>
      <c r="V251" s="1679"/>
      <c r="W251" s="1679"/>
      <c r="X251" s="1679"/>
      <c r="Y251" s="1679"/>
      <c r="Z251" s="1679"/>
      <c r="AA251" s="1679"/>
      <c r="AB251" s="1679"/>
      <c r="AC251" s="1679"/>
      <c r="AD251" s="1679"/>
      <c r="AE251" s="1679"/>
      <c r="AF251" s="1679"/>
      <c r="AG251" s="1679"/>
      <c r="AH251" s="1679"/>
      <c r="AI251" s="1679"/>
      <c r="AJ251" s="1679"/>
      <c r="AK251" s="1679"/>
      <c r="AL251" s="1679"/>
      <c r="AM251" s="1679"/>
      <c r="AN251" s="1679"/>
      <c r="AO251" s="1679"/>
      <c r="AP251" s="1679"/>
      <c r="AQ251" s="1679"/>
      <c r="AR251" s="1679"/>
      <c r="AS251" s="1679"/>
      <c r="AT251" s="1679"/>
      <c r="AU251" s="1679"/>
      <c r="AV251" s="1679"/>
      <c r="AW251" s="1679"/>
      <c r="AX251" s="1679"/>
      <c r="AY251" s="1679"/>
      <c r="AZ251" s="1679"/>
      <c r="BA251" s="1679"/>
      <c r="BB251" s="1679"/>
      <c r="BC251" s="1679"/>
      <c r="BD251" s="1679"/>
      <c r="BE251" s="1679"/>
      <c r="BF251" s="1679"/>
      <c r="BG251" s="1679"/>
      <c r="BH251" s="1679"/>
      <c r="BI251" s="1679"/>
      <c r="BJ251" s="1679"/>
      <c r="BK251" s="1679"/>
      <c r="BL251" s="1679"/>
      <c r="BM251" s="1679"/>
      <c r="BN251" s="1679"/>
      <c r="BO251" s="1679"/>
      <c r="BP251" s="1679"/>
      <c r="BQ251" s="1679"/>
      <c r="BR251" s="1679"/>
      <c r="BS251" s="1679"/>
      <c r="BT251" s="1679"/>
      <c r="BU251" s="1679"/>
      <c r="BV251" s="1679"/>
      <c r="BW251" s="1679"/>
      <c r="BX251" s="1679"/>
      <c r="BY251" s="1679"/>
      <c r="BZ251" s="1679"/>
      <c r="CA251" s="1679"/>
      <c r="CB251" s="1679"/>
    </row>
    <row r="252" spans="1:80" x14ac:dyDescent="0.2">
      <c r="A252" s="430"/>
      <c r="B252" s="39"/>
      <c r="C252" s="39"/>
      <c r="D252" s="39"/>
      <c r="E252" s="1671"/>
      <c r="F252" s="66"/>
      <c r="G252" s="66"/>
      <c r="H252" s="66"/>
      <c r="I252" s="66"/>
      <c r="J252" s="66"/>
      <c r="K252" s="66"/>
      <c r="L252" s="66"/>
      <c r="M252" s="66"/>
      <c r="N252" s="66"/>
      <c r="O252" s="66"/>
      <c r="P252" s="1712"/>
      <c r="Q252" s="1685"/>
      <c r="R252" s="288"/>
      <c r="S252" s="288"/>
      <c r="T252" s="288"/>
      <c r="U252" s="288"/>
      <c r="V252" s="288"/>
      <c r="W252" s="288"/>
      <c r="X252" s="288"/>
      <c r="Y252" s="288"/>
      <c r="Z252" s="288"/>
      <c r="AA252" s="288"/>
      <c r="AB252" s="288"/>
      <c r="AC252" s="288"/>
      <c r="AD252" s="288"/>
      <c r="AE252" s="288"/>
      <c r="AF252" s="288"/>
      <c r="AG252" s="288"/>
      <c r="AH252" s="288"/>
      <c r="AI252" s="288"/>
      <c r="AJ252" s="288"/>
      <c r="AK252" s="288"/>
      <c r="AL252" s="288"/>
      <c r="AM252" s="288"/>
      <c r="AN252" s="288"/>
      <c r="AO252" s="288"/>
      <c r="AP252" s="288"/>
      <c r="AQ252" s="288"/>
      <c r="AR252" s="288"/>
      <c r="AS252" s="288"/>
      <c r="AT252" s="288"/>
      <c r="AU252" s="288"/>
      <c r="AV252" s="288"/>
      <c r="AW252" s="288"/>
      <c r="AX252" s="288"/>
      <c r="AY252" s="288"/>
      <c r="AZ252" s="288"/>
      <c r="BA252" s="288"/>
      <c r="BB252" s="288"/>
      <c r="BC252" s="288"/>
      <c r="BD252" s="288"/>
      <c r="BE252" s="288"/>
      <c r="BF252" s="288"/>
      <c r="BG252" s="288"/>
      <c r="BH252" s="288"/>
      <c r="BI252" s="288"/>
      <c r="BJ252" s="288"/>
      <c r="BK252" s="288"/>
      <c r="BL252" s="288"/>
      <c r="BM252" s="288"/>
      <c r="BN252" s="288"/>
      <c r="BO252" s="288"/>
      <c r="BP252" s="288"/>
      <c r="BQ252" s="288"/>
      <c r="BR252" s="288"/>
      <c r="BS252" s="288"/>
      <c r="BT252" s="288"/>
      <c r="BU252" s="288"/>
      <c r="BV252" s="288"/>
      <c r="BW252" s="288"/>
      <c r="BX252" s="288"/>
      <c r="BY252" s="288"/>
      <c r="BZ252" s="288"/>
      <c r="CA252" s="288"/>
      <c r="CB252" s="288"/>
    </row>
    <row r="253" spans="1:80" s="1276" customFormat="1" x14ac:dyDescent="0.2">
      <c r="A253" s="1271" t="s">
        <v>722</v>
      </c>
      <c r="D253" s="1276">
        <v>2010</v>
      </c>
      <c r="E253" s="1677">
        <v>295649</v>
      </c>
      <c r="F253" s="1678"/>
      <c r="G253" s="1678"/>
      <c r="H253" s="1678">
        <f>E253/5</f>
        <v>59129.8</v>
      </c>
      <c r="I253" s="1678">
        <f>H253</f>
        <v>59129.8</v>
      </c>
      <c r="J253" s="1678">
        <f>I253</f>
        <v>59129.8</v>
      </c>
      <c r="K253" s="1678">
        <f>J253</f>
        <v>59129.8</v>
      </c>
      <c r="L253" s="1678">
        <f>H253</f>
        <v>59129.8</v>
      </c>
      <c r="M253" s="1678"/>
      <c r="N253" s="1678"/>
      <c r="O253" s="1678"/>
      <c r="P253" s="1714"/>
      <c r="Q253" s="1687"/>
      <c r="R253" s="1679"/>
      <c r="S253" s="1679"/>
      <c r="T253" s="1679"/>
      <c r="U253" s="1679"/>
      <c r="V253" s="1679"/>
      <c r="W253" s="1679"/>
      <c r="X253" s="1679"/>
      <c r="Y253" s="1679"/>
      <c r="Z253" s="1679"/>
      <c r="AA253" s="1679"/>
      <c r="AB253" s="1679"/>
      <c r="AC253" s="1679"/>
      <c r="AD253" s="1679"/>
      <c r="AE253" s="1679"/>
      <c r="AF253" s="1679"/>
      <c r="AG253" s="1679"/>
      <c r="AH253" s="1679"/>
      <c r="AI253" s="1679"/>
      <c r="AJ253" s="1679"/>
      <c r="AK253" s="1679"/>
      <c r="AL253" s="1679"/>
      <c r="AM253" s="1679"/>
      <c r="AN253" s="1679"/>
      <c r="AO253" s="1679"/>
      <c r="AP253" s="1679"/>
      <c r="AQ253" s="1679"/>
      <c r="AR253" s="1679"/>
      <c r="AS253" s="1679"/>
      <c r="AT253" s="1679"/>
      <c r="AU253" s="1679"/>
      <c r="AV253" s="1679"/>
      <c r="AW253" s="1679"/>
      <c r="AX253" s="1679"/>
      <c r="AY253" s="1679"/>
      <c r="AZ253" s="1679"/>
      <c r="BA253" s="1679"/>
      <c r="BB253" s="1679"/>
      <c r="BC253" s="1679"/>
      <c r="BD253" s="1679"/>
      <c r="BE253" s="1679"/>
      <c r="BF253" s="1679"/>
      <c r="BG253" s="1679"/>
      <c r="BH253" s="1679"/>
      <c r="BI253" s="1679"/>
      <c r="BJ253" s="1679"/>
      <c r="BK253" s="1679"/>
      <c r="BL253" s="1679"/>
      <c r="BM253" s="1679"/>
      <c r="BN253" s="1679"/>
      <c r="BO253" s="1679"/>
      <c r="BP253" s="1679"/>
      <c r="BQ253" s="1679"/>
      <c r="BR253" s="1679"/>
      <c r="BS253" s="1679"/>
      <c r="BT253" s="1679"/>
      <c r="BU253" s="1679"/>
      <c r="BV253" s="1679"/>
      <c r="BW253" s="1679"/>
      <c r="BX253" s="1679"/>
      <c r="BY253" s="1679"/>
      <c r="BZ253" s="1679"/>
      <c r="CA253" s="1679"/>
      <c r="CB253" s="1679"/>
    </row>
    <row r="254" spans="1:80" s="1276" customFormat="1" x14ac:dyDescent="0.2">
      <c r="A254" s="1271"/>
      <c r="D254" s="1276">
        <v>2011</v>
      </c>
      <c r="E254" s="1677">
        <v>182234</v>
      </c>
      <c r="F254" s="1678"/>
      <c r="G254" s="1678"/>
      <c r="H254" s="1678"/>
      <c r="I254" s="1678">
        <f>E254/5</f>
        <v>36446.800000000003</v>
      </c>
      <c r="J254" s="1678">
        <f>I254</f>
        <v>36446.800000000003</v>
      </c>
      <c r="K254" s="1678">
        <f>J254</f>
        <v>36446.800000000003</v>
      </c>
      <c r="L254" s="1678">
        <f>K254</f>
        <v>36446.800000000003</v>
      </c>
      <c r="M254" s="1678">
        <f>L254</f>
        <v>36446.800000000003</v>
      </c>
      <c r="N254" s="1678"/>
      <c r="O254" s="1678"/>
      <c r="P254" s="1714"/>
      <c r="Q254" s="1687"/>
      <c r="R254" s="1679"/>
      <c r="S254" s="1679"/>
      <c r="T254" s="1679"/>
      <c r="U254" s="1679"/>
      <c r="V254" s="1679"/>
      <c r="W254" s="1679"/>
      <c r="X254" s="1679"/>
      <c r="Y254" s="1679"/>
      <c r="Z254" s="1679"/>
      <c r="AA254" s="1679"/>
      <c r="AB254" s="1679"/>
      <c r="AC254" s="1679"/>
      <c r="AD254" s="1679"/>
      <c r="AE254" s="1679"/>
      <c r="AF254" s="1679"/>
      <c r="AG254" s="1679"/>
      <c r="AH254" s="1679"/>
      <c r="AI254" s="1679"/>
      <c r="AJ254" s="1679"/>
      <c r="AK254" s="1679"/>
      <c r="AL254" s="1679"/>
      <c r="AM254" s="1679"/>
      <c r="AN254" s="1679"/>
      <c r="AO254" s="1679"/>
      <c r="AP254" s="1679"/>
      <c r="AQ254" s="1679"/>
      <c r="AR254" s="1679"/>
      <c r="AS254" s="1679"/>
      <c r="AT254" s="1679"/>
      <c r="AU254" s="1679"/>
      <c r="AV254" s="1679"/>
      <c r="AW254" s="1679"/>
      <c r="AX254" s="1679"/>
      <c r="AY254" s="1679"/>
      <c r="AZ254" s="1679"/>
      <c r="BA254" s="1679"/>
      <c r="BB254" s="1679"/>
      <c r="BC254" s="1679"/>
      <c r="BD254" s="1679"/>
      <c r="BE254" s="1679"/>
      <c r="BF254" s="1679"/>
      <c r="BG254" s="1679"/>
      <c r="BH254" s="1679"/>
      <c r="BI254" s="1679"/>
      <c r="BJ254" s="1679"/>
      <c r="BK254" s="1679"/>
      <c r="BL254" s="1679"/>
      <c r="BM254" s="1679"/>
      <c r="BN254" s="1679"/>
      <c r="BO254" s="1679"/>
      <c r="BP254" s="1679"/>
      <c r="BQ254" s="1679"/>
      <c r="BR254" s="1679"/>
      <c r="BS254" s="1679"/>
      <c r="BT254" s="1679"/>
      <c r="BU254" s="1679"/>
      <c r="BV254" s="1679"/>
      <c r="BW254" s="1679"/>
      <c r="BX254" s="1679"/>
      <c r="BY254" s="1679"/>
      <c r="BZ254" s="1679"/>
      <c r="CA254" s="1679"/>
      <c r="CB254" s="1679"/>
    </row>
    <row r="255" spans="1:80" s="1276" customFormat="1" x14ac:dyDescent="0.2">
      <c r="A255" s="1271"/>
      <c r="D255" s="1276">
        <v>2012</v>
      </c>
      <c r="E255" s="1677">
        <v>214257</v>
      </c>
      <c r="F255" s="1678"/>
      <c r="G255" s="1678"/>
      <c r="H255" s="1678"/>
      <c r="I255" s="1678"/>
      <c r="J255" s="1678">
        <f>E255/5</f>
        <v>42851.4</v>
      </c>
      <c r="K255" s="1678">
        <f>J255</f>
        <v>42851.4</v>
      </c>
      <c r="L255" s="1678">
        <f>K255</f>
        <v>42851.4</v>
      </c>
      <c r="M255" s="1678">
        <f>L255</f>
        <v>42851.4</v>
      </c>
      <c r="N255" s="1678">
        <f>M255</f>
        <v>42851.4</v>
      </c>
      <c r="O255" s="1678"/>
      <c r="P255" s="1714"/>
      <c r="Q255" s="1687"/>
      <c r="R255" s="1679"/>
      <c r="S255" s="1679"/>
      <c r="T255" s="1679"/>
      <c r="U255" s="1679"/>
      <c r="V255" s="1679"/>
      <c r="W255" s="1679"/>
      <c r="X255" s="1679"/>
      <c r="Y255" s="1679"/>
      <c r="Z255" s="1679"/>
      <c r="AA255" s="1679"/>
      <c r="AB255" s="1679"/>
      <c r="AC255" s="1679"/>
      <c r="AD255" s="1679"/>
      <c r="AE255" s="1679"/>
      <c r="AF255" s="1679"/>
      <c r="AG255" s="1679"/>
      <c r="AH255" s="1679"/>
      <c r="AI255" s="1679"/>
      <c r="AJ255" s="1679"/>
      <c r="AK255" s="1679"/>
      <c r="AL255" s="1679"/>
      <c r="AM255" s="1679"/>
      <c r="AN255" s="1679"/>
      <c r="AO255" s="1679"/>
      <c r="AP255" s="1679"/>
      <c r="AQ255" s="1679"/>
      <c r="AR255" s="1679"/>
      <c r="AS255" s="1679"/>
      <c r="AT255" s="1679"/>
      <c r="AU255" s="1679"/>
      <c r="AV255" s="1679"/>
      <c r="AW255" s="1679"/>
      <c r="AX255" s="1679"/>
      <c r="AY255" s="1679"/>
      <c r="AZ255" s="1679"/>
      <c r="BA255" s="1679"/>
      <c r="BB255" s="1679"/>
      <c r="BC255" s="1679"/>
      <c r="BD255" s="1679"/>
      <c r="BE255" s="1679"/>
      <c r="BF255" s="1679"/>
      <c r="BG255" s="1679"/>
      <c r="BH255" s="1679"/>
      <c r="BI255" s="1679"/>
      <c r="BJ255" s="1679"/>
      <c r="BK255" s="1679"/>
      <c r="BL255" s="1679"/>
      <c r="BM255" s="1679"/>
      <c r="BN255" s="1679"/>
      <c r="BO255" s="1679"/>
      <c r="BP255" s="1679"/>
      <c r="BQ255" s="1679"/>
      <c r="BR255" s="1679"/>
      <c r="BS255" s="1679"/>
      <c r="BT255" s="1679"/>
      <c r="BU255" s="1679"/>
      <c r="BV255" s="1679"/>
      <c r="BW255" s="1679"/>
      <c r="BX255" s="1679"/>
      <c r="BY255" s="1679"/>
      <c r="BZ255" s="1679"/>
      <c r="CA255" s="1679"/>
      <c r="CB255" s="1679"/>
    </row>
    <row r="256" spans="1:80" s="1276" customFormat="1" x14ac:dyDescent="0.2">
      <c r="A256" s="1271"/>
      <c r="D256" s="1276">
        <v>2013</v>
      </c>
      <c r="E256" s="1677">
        <v>715</v>
      </c>
      <c r="F256" s="1678"/>
      <c r="G256" s="1678"/>
      <c r="H256" s="1678"/>
      <c r="I256" s="1678"/>
      <c r="J256" s="1678"/>
      <c r="K256" s="1678">
        <f>E256/5</f>
        <v>143</v>
      </c>
      <c r="L256" s="1678">
        <f>K256</f>
        <v>143</v>
      </c>
      <c r="M256" s="1678">
        <f>L256</f>
        <v>143</v>
      </c>
      <c r="N256" s="1678">
        <f>M256</f>
        <v>143</v>
      </c>
      <c r="O256" s="1678">
        <f>N256</f>
        <v>143</v>
      </c>
      <c r="P256" s="1714"/>
      <c r="Q256" s="1687"/>
      <c r="R256" s="1679"/>
      <c r="S256" s="1679"/>
      <c r="T256" s="1679"/>
      <c r="U256" s="1679"/>
      <c r="V256" s="1679"/>
      <c r="W256" s="1679"/>
      <c r="X256" s="1679"/>
      <c r="Y256" s="1679"/>
      <c r="Z256" s="1679"/>
      <c r="AA256" s="1679"/>
      <c r="AB256" s="1679"/>
      <c r="AC256" s="1679"/>
      <c r="AD256" s="1679"/>
      <c r="AE256" s="1679"/>
      <c r="AF256" s="1679"/>
      <c r="AG256" s="1679"/>
      <c r="AH256" s="1679"/>
      <c r="AI256" s="1679"/>
      <c r="AJ256" s="1679"/>
      <c r="AK256" s="1679"/>
      <c r="AL256" s="1679"/>
      <c r="AM256" s="1679"/>
      <c r="AN256" s="1679"/>
      <c r="AO256" s="1679"/>
      <c r="AP256" s="1679"/>
      <c r="AQ256" s="1679"/>
      <c r="AR256" s="1679"/>
      <c r="AS256" s="1679"/>
      <c r="AT256" s="1679"/>
      <c r="AU256" s="1679"/>
      <c r="AV256" s="1679"/>
      <c r="AW256" s="1679"/>
      <c r="AX256" s="1679"/>
      <c r="AY256" s="1679"/>
      <c r="AZ256" s="1679"/>
      <c r="BA256" s="1679"/>
      <c r="BB256" s="1679"/>
      <c r="BC256" s="1679"/>
      <c r="BD256" s="1679"/>
      <c r="BE256" s="1679"/>
      <c r="BF256" s="1679"/>
      <c r="BG256" s="1679"/>
      <c r="BH256" s="1679"/>
      <c r="BI256" s="1679"/>
      <c r="BJ256" s="1679"/>
      <c r="BK256" s="1679"/>
      <c r="BL256" s="1679"/>
      <c r="BM256" s="1679"/>
      <c r="BN256" s="1679"/>
      <c r="BO256" s="1679"/>
      <c r="BP256" s="1679"/>
      <c r="BQ256" s="1679"/>
      <c r="BR256" s="1679"/>
      <c r="BS256" s="1679"/>
      <c r="BT256" s="1679"/>
      <c r="BU256" s="1679"/>
      <c r="BV256" s="1679"/>
      <c r="BW256" s="1679"/>
      <c r="BX256" s="1679"/>
      <c r="BY256" s="1679"/>
      <c r="BZ256" s="1679"/>
      <c r="CA256" s="1679"/>
      <c r="CB256" s="1679"/>
    </row>
    <row r="257" spans="1:80" s="1276" customFormat="1" x14ac:dyDescent="0.2">
      <c r="A257" s="1271"/>
      <c r="D257" s="1276">
        <v>2014</v>
      </c>
      <c r="E257" s="1677">
        <v>0</v>
      </c>
      <c r="F257" s="1678"/>
      <c r="G257" s="1678"/>
      <c r="H257" s="1678"/>
      <c r="I257" s="1678"/>
      <c r="J257" s="1678"/>
      <c r="K257" s="1678"/>
      <c r="L257" s="1678">
        <f>E257/5</f>
        <v>0</v>
      </c>
      <c r="M257" s="1678">
        <f>L257</f>
        <v>0</v>
      </c>
      <c r="N257" s="1678">
        <f>M257</f>
        <v>0</v>
      </c>
      <c r="O257" s="1678">
        <f>N257</f>
        <v>0</v>
      </c>
      <c r="P257" s="1714">
        <f>O257</f>
        <v>0</v>
      </c>
      <c r="Q257" s="1687"/>
      <c r="R257" s="1679"/>
      <c r="S257" s="1679"/>
      <c r="T257" s="1679"/>
      <c r="U257" s="1679"/>
      <c r="V257" s="1679"/>
      <c r="W257" s="1679"/>
      <c r="X257" s="1679"/>
      <c r="Y257" s="1679"/>
      <c r="Z257" s="1679"/>
      <c r="AA257" s="1679"/>
      <c r="AB257" s="1679"/>
      <c r="AC257" s="1679"/>
      <c r="AD257" s="1679"/>
      <c r="AE257" s="1679"/>
      <c r="AF257" s="1679"/>
      <c r="AG257" s="1679"/>
      <c r="AH257" s="1679"/>
      <c r="AI257" s="1679"/>
      <c r="AJ257" s="1679"/>
      <c r="AK257" s="1679"/>
      <c r="AL257" s="1679"/>
      <c r="AM257" s="1679"/>
      <c r="AN257" s="1679"/>
      <c r="AO257" s="1679"/>
      <c r="AP257" s="1679"/>
      <c r="AQ257" s="1679"/>
      <c r="AR257" s="1679"/>
      <c r="AS257" s="1679"/>
      <c r="AT257" s="1679"/>
      <c r="AU257" s="1679"/>
      <c r="AV257" s="1679"/>
      <c r="AW257" s="1679"/>
      <c r="AX257" s="1679"/>
      <c r="AY257" s="1679"/>
      <c r="AZ257" s="1679"/>
      <c r="BA257" s="1679"/>
      <c r="BB257" s="1679"/>
      <c r="BC257" s="1679"/>
      <c r="BD257" s="1679"/>
      <c r="BE257" s="1679"/>
      <c r="BF257" s="1679"/>
      <c r="BG257" s="1679"/>
      <c r="BH257" s="1679"/>
      <c r="BI257" s="1679"/>
      <c r="BJ257" s="1679"/>
      <c r="BK257" s="1679"/>
      <c r="BL257" s="1679"/>
      <c r="BM257" s="1679"/>
      <c r="BN257" s="1679"/>
      <c r="BO257" s="1679"/>
      <c r="BP257" s="1679"/>
      <c r="BQ257" s="1679"/>
      <c r="BR257" s="1679"/>
      <c r="BS257" s="1679"/>
      <c r="BT257" s="1679"/>
      <c r="BU257" s="1679"/>
      <c r="BV257" s="1679"/>
      <c r="BW257" s="1679"/>
      <c r="BX257" s="1679"/>
      <c r="BY257" s="1679"/>
      <c r="BZ257" s="1679"/>
      <c r="CA257" s="1679"/>
      <c r="CB257" s="1679"/>
    </row>
    <row r="258" spans="1:80" s="1276" customFormat="1" x14ac:dyDescent="0.2">
      <c r="A258" s="1271"/>
      <c r="D258" s="1276" t="s">
        <v>69</v>
      </c>
      <c r="E258" s="1677">
        <f>SUM(E253:E257)</f>
        <v>692855</v>
      </c>
      <c r="F258" s="1678"/>
      <c r="G258" s="1678"/>
      <c r="H258" s="1678"/>
      <c r="I258" s="1678"/>
      <c r="J258" s="1678"/>
      <c r="K258" s="1678"/>
      <c r="L258" s="1678"/>
      <c r="M258" s="1678"/>
      <c r="N258" s="1678"/>
      <c r="O258" s="1678"/>
      <c r="P258" s="1714"/>
      <c r="Q258" s="1687"/>
      <c r="R258" s="1679"/>
      <c r="S258" s="1679"/>
      <c r="T258" s="1679"/>
      <c r="U258" s="1679"/>
      <c r="V258" s="1679"/>
      <c r="W258" s="1679"/>
      <c r="X258" s="1679"/>
      <c r="Y258" s="1679"/>
      <c r="Z258" s="1679"/>
      <c r="AA258" s="1679"/>
      <c r="AB258" s="1679"/>
      <c r="AC258" s="1679"/>
      <c r="AD258" s="1679"/>
      <c r="AE258" s="1679"/>
      <c r="AF258" s="1679"/>
      <c r="AG258" s="1679"/>
      <c r="AH258" s="1679"/>
      <c r="AI258" s="1679"/>
      <c r="AJ258" s="1679"/>
      <c r="AK258" s="1679"/>
      <c r="AL258" s="1679"/>
      <c r="AM258" s="1679"/>
      <c r="AN258" s="1679"/>
      <c r="AO258" s="1679"/>
      <c r="AP258" s="1679"/>
      <c r="AQ258" s="1679"/>
      <c r="AR258" s="1679"/>
      <c r="AS258" s="1679"/>
      <c r="AT258" s="1679"/>
      <c r="AU258" s="1679"/>
      <c r="AV258" s="1679"/>
      <c r="AW258" s="1679"/>
      <c r="AX258" s="1679"/>
      <c r="AY258" s="1679"/>
      <c r="AZ258" s="1679"/>
      <c r="BA258" s="1679"/>
      <c r="BB258" s="1679"/>
      <c r="BC258" s="1679"/>
      <c r="BD258" s="1679"/>
      <c r="BE258" s="1679"/>
      <c r="BF258" s="1679"/>
      <c r="BG258" s="1679"/>
      <c r="BH258" s="1679"/>
      <c r="BI258" s="1679"/>
      <c r="BJ258" s="1679"/>
      <c r="BK258" s="1679"/>
      <c r="BL258" s="1679"/>
      <c r="BM258" s="1679"/>
      <c r="BN258" s="1679"/>
      <c r="BO258" s="1679"/>
      <c r="BP258" s="1679"/>
      <c r="BQ258" s="1679"/>
      <c r="BR258" s="1679"/>
      <c r="BS258" s="1679"/>
      <c r="BT258" s="1679"/>
      <c r="BU258" s="1679"/>
      <c r="BV258" s="1679"/>
      <c r="BW258" s="1679"/>
      <c r="BX258" s="1679"/>
      <c r="BY258" s="1679"/>
      <c r="BZ258" s="1679"/>
      <c r="CA258" s="1679"/>
      <c r="CB258" s="1679"/>
    </row>
    <row r="259" spans="1:80" x14ac:dyDescent="0.2">
      <c r="A259" s="430"/>
      <c r="B259" s="39"/>
      <c r="C259" s="39"/>
      <c r="D259" s="39"/>
      <c r="E259" s="1671"/>
      <c r="F259" s="66"/>
      <c r="G259" s="66"/>
      <c r="H259" s="66"/>
      <c r="I259" s="66"/>
      <c r="J259" s="66"/>
      <c r="K259" s="66"/>
      <c r="L259" s="66"/>
      <c r="M259" s="66"/>
      <c r="N259" s="66"/>
      <c r="O259" s="66"/>
      <c r="P259" s="1712"/>
      <c r="Q259" s="1685"/>
      <c r="R259" s="288"/>
      <c r="S259" s="288"/>
      <c r="T259" s="288"/>
      <c r="U259" s="288"/>
      <c r="V259" s="288"/>
      <c r="W259" s="288"/>
      <c r="X259" s="288"/>
      <c r="Y259" s="288"/>
      <c r="Z259" s="288"/>
      <c r="AA259" s="288"/>
      <c r="AB259" s="288"/>
      <c r="AC259" s="288"/>
      <c r="AD259" s="288"/>
      <c r="AE259" s="288"/>
      <c r="AF259" s="288"/>
      <c r="AG259" s="288"/>
      <c r="AH259" s="288"/>
      <c r="AI259" s="288"/>
      <c r="AJ259" s="288"/>
      <c r="AK259" s="288"/>
      <c r="AL259" s="288"/>
      <c r="AM259" s="288"/>
      <c r="AN259" s="288"/>
      <c r="AO259" s="288"/>
      <c r="AP259" s="288"/>
      <c r="AQ259" s="288"/>
      <c r="AR259" s="288"/>
      <c r="AS259" s="288"/>
      <c r="AT259" s="288"/>
      <c r="AU259" s="288"/>
      <c r="AV259" s="288"/>
      <c r="AW259" s="288"/>
      <c r="AX259" s="288"/>
      <c r="AY259" s="288"/>
      <c r="AZ259" s="288"/>
      <c r="BA259" s="288"/>
      <c r="BB259" s="288"/>
      <c r="BC259" s="288"/>
      <c r="BD259" s="288"/>
      <c r="BE259" s="288"/>
      <c r="BF259" s="288"/>
      <c r="BG259" s="288"/>
      <c r="BH259" s="288"/>
      <c r="BI259" s="288"/>
      <c r="BJ259" s="288"/>
      <c r="BK259" s="288"/>
      <c r="BL259" s="288"/>
      <c r="BM259" s="288"/>
      <c r="BN259" s="288"/>
      <c r="BO259" s="288"/>
      <c r="BP259" s="288"/>
      <c r="BQ259" s="288"/>
      <c r="BR259" s="288"/>
      <c r="BS259" s="288"/>
      <c r="BT259" s="288"/>
      <c r="BU259" s="288"/>
      <c r="BV259" s="288"/>
      <c r="BW259" s="288"/>
      <c r="BX259" s="288"/>
      <c r="BY259" s="288"/>
      <c r="BZ259" s="288"/>
      <c r="CA259" s="288"/>
      <c r="CB259" s="288"/>
    </row>
    <row r="260" spans="1:80" s="1276" customFormat="1" x14ac:dyDescent="0.2">
      <c r="A260" s="1271" t="s">
        <v>760</v>
      </c>
      <c r="D260" s="1276">
        <v>2010</v>
      </c>
      <c r="E260" s="1677">
        <v>179060</v>
      </c>
      <c r="F260" s="1678"/>
      <c r="G260" s="1678"/>
      <c r="H260" s="1678">
        <f>E260/5</f>
        <v>35812</v>
      </c>
      <c r="I260" s="1678">
        <f>H260</f>
        <v>35812</v>
      </c>
      <c r="J260" s="1678">
        <f>I260</f>
        <v>35812</v>
      </c>
      <c r="K260" s="1678">
        <f>J260</f>
        <v>35812</v>
      </c>
      <c r="L260" s="1678">
        <f>H260</f>
        <v>35812</v>
      </c>
      <c r="M260" s="1678"/>
      <c r="N260" s="1678"/>
      <c r="O260" s="1678"/>
      <c r="P260" s="1714"/>
      <c r="Q260" s="1687"/>
      <c r="R260" s="1679"/>
      <c r="S260" s="1679"/>
      <c r="T260" s="1679"/>
      <c r="U260" s="1679"/>
      <c r="V260" s="1679"/>
      <c r="W260" s="1679"/>
      <c r="X260" s="1679"/>
      <c r="Y260" s="1679"/>
      <c r="Z260" s="1679"/>
      <c r="AA260" s="1679"/>
      <c r="AB260" s="1679"/>
      <c r="AC260" s="1679"/>
      <c r="AD260" s="1679"/>
      <c r="AE260" s="1679"/>
      <c r="AF260" s="1679"/>
      <c r="AG260" s="1679"/>
      <c r="AH260" s="1679"/>
      <c r="AI260" s="1679"/>
      <c r="AJ260" s="1679"/>
      <c r="AK260" s="1679"/>
      <c r="AL260" s="1679"/>
      <c r="AM260" s="1679"/>
      <c r="AN260" s="1679"/>
      <c r="AO260" s="1679"/>
      <c r="AP260" s="1679"/>
      <c r="AQ260" s="1679"/>
      <c r="AR260" s="1679"/>
      <c r="AS260" s="1679"/>
      <c r="AT260" s="1679"/>
      <c r="AU260" s="1679"/>
      <c r="AV260" s="1679"/>
      <c r="AW260" s="1679"/>
      <c r="AX260" s="1679"/>
      <c r="AY260" s="1679"/>
      <c r="AZ260" s="1679"/>
      <c r="BA260" s="1679"/>
      <c r="BB260" s="1679"/>
      <c r="BC260" s="1679"/>
      <c r="BD260" s="1679"/>
      <c r="BE260" s="1679"/>
      <c r="BF260" s="1679"/>
      <c r="BG260" s="1679"/>
      <c r="BH260" s="1679"/>
      <c r="BI260" s="1679"/>
      <c r="BJ260" s="1679"/>
      <c r="BK260" s="1679"/>
      <c r="BL260" s="1679"/>
      <c r="BM260" s="1679"/>
      <c r="BN260" s="1679"/>
      <c r="BO260" s="1679"/>
      <c r="BP260" s="1679"/>
      <c r="BQ260" s="1679"/>
      <c r="BR260" s="1679"/>
      <c r="BS260" s="1679"/>
      <c r="BT260" s="1679"/>
      <c r="BU260" s="1679"/>
      <c r="BV260" s="1679"/>
      <c r="BW260" s="1679"/>
      <c r="BX260" s="1679"/>
      <c r="BY260" s="1679"/>
      <c r="BZ260" s="1679"/>
      <c r="CA260" s="1679"/>
      <c r="CB260" s="1679"/>
    </row>
    <row r="261" spans="1:80" s="1276" customFormat="1" x14ac:dyDescent="0.2">
      <c r="A261" s="1271"/>
      <c r="D261" s="1276">
        <v>2011</v>
      </c>
      <c r="E261" s="1677">
        <v>3657</v>
      </c>
      <c r="F261" s="1678"/>
      <c r="G261" s="1678"/>
      <c r="H261" s="1678"/>
      <c r="I261" s="1678">
        <f>E261/5</f>
        <v>731.4</v>
      </c>
      <c r="J261" s="1678">
        <f>I261</f>
        <v>731.4</v>
      </c>
      <c r="K261" s="1678">
        <f>J261</f>
        <v>731.4</v>
      </c>
      <c r="L261" s="1678">
        <f>K261</f>
        <v>731.4</v>
      </c>
      <c r="M261" s="1678">
        <f>L261</f>
        <v>731.4</v>
      </c>
      <c r="N261" s="1678"/>
      <c r="O261" s="1678"/>
      <c r="P261" s="1714"/>
      <c r="Q261" s="1687"/>
      <c r="R261" s="1679"/>
      <c r="S261" s="1679"/>
      <c r="T261" s="1679"/>
      <c r="U261" s="1679"/>
      <c r="V261" s="1679"/>
      <c r="W261" s="1679"/>
      <c r="X261" s="1679"/>
      <c r="Y261" s="1679"/>
      <c r="Z261" s="1679"/>
      <c r="AA261" s="1679"/>
      <c r="AB261" s="1679"/>
      <c r="AC261" s="1679"/>
      <c r="AD261" s="1679"/>
      <c r="AE261" s="1679"/>
      <c r="AF261" s="1679"/>
      <c r="AG261" s="1679"/>
      <c r="AH261" s="1679"/>
      <c r="AI261" s="1679"/>
      <c r="AJ261" s="1679"/>
      <c r="AK261" s="1679"/>
      <c r="AL261" s="1679"/>
      <c r="AM261" s="1679"/>
      <c r="AN261" s="1679"/>
      <c r="AO261" s="1679"/>
      <c r="AP261" s="1679"/>
      <c r="AQ261" s="1679"/>
      <c r="AR261" s="1679"/>
      <c r="AS261" s="1679"/>
      <c r="AT261" s="1679"/>
      <c r="AU261" s="1679"/>
      <c r="AV261" s="1679"/>
      <c r="AW261" s="1679"/>
      <c r="AX261" s="1679"/>
      <c r="AY261" s="1679"/>
      <c r="AZ261" s="1679"/>
      <c r="BA261" s="1679"/>
      <c r="BB261" s="1679"/>
      <c r="BC261" s="1679"/>
      <c r="BD261" s="1679"/>
      <c r="BE261" s="1679"/>
      <c r="BF261" s="1679"/>
      <c r="BG261" s="1679"/>
      <c r="BH261" s="1679"/>
      <c r="BI261" s="1679"/>
      <c r="BJ261" s="1679"/>
      <c r="BK261" s="1679"/>
      <c r="BL261" s="1679"/>
      <c r="BM261" s="1679"/>
      <c r="BN261" s="1679"/>
      <c r="BO261" s="1679"/>
      <c r="BP261" s="1679"/>
      <c r="BQ261" s="1679"/>
      <c r="BR261" s="1679"/>
      <c r="BS261" s="1679"/>
      <c r="BT261" s="1679"/>
      <c r="BU261" s="1679"/>
      <c r="BV261" s="1679"/>
      <c r="BW261" s="1679"/>
      <c r="BX261" s="1679"/>
      <c r="BY261" s="1679"/>
      <c r="BZ261" s="1679"/>
      <c r="CA261" s="1679"/>
      <c r="CB261" s="1679"/>
    </row>
    <row r="262" spans="1:80" s="1276" customFormat="1" x14ac:dyDescent="0.2">
      <c r="A262" s="1271"/>
      <c r="D262" s="1276">
        <v>2012</v>
      </c>
      <c r="E262" s="1677">
        <v>15684</v>
      </c>
      <c r="F262" s="1678"/>
      <c r="G262" s="1678"/>
      <c r="H262" s="1678"/>
      <c r="I262" s="1678"/>
      <c r="J262" s="1678">
        <f>E262/5</f>
        <v>3136.8</v>
      </c>
      <c r="K262" s="1678">
        <f>J262</f>
        <v>3136.8</v>
      </c>
      <c r="L262" s="1678">
        <f>K262</f>
        <v>3136.8</v>
      </c>
      <c r="M262" s="1678">
        <f>L262</f>
        <v>3136.8</v>
      </c>
      <c r="N262" s="1678">
        <f>M262</f>
        <v>3136.8</v>
      </c>
      <c r="O262" s="1678"/>
      <c r="P262" s="1714"/>
      <c r="Q262" s="1687"/>
      <c r="R262" s="1679"/>
      <c r="S262" s="1679"/>
      <c r="T262" s="1679"/>
      <c r="U262" s="1679"/>
      <c r="V262" s="1679"/>
      <c r="W262" s="1679"/>
      <c r="X262" s="1679"/>
      <c r="Y262" s="1679"/>
      <c r="Z262" s="1679"/>
      <c r="AA262" s="1679"/>
      <c r="AB262" s="1679"/>
      <c r="AC262" s="1679"/>
      <c r="AD262" s="1679"/>
      <c r="AE262" s="1679"/>
      <c r="AF262" s="1679"/>
      <c r="AG262" s="1679"/>
      <c r="AH262" s="1679"/>
      <c r="AI262" s="1679"/>
      <c r="AJ262" s="1679"/>
      <c r="AK262" s="1679"/>
      <c r="AL262" s="1679"/>
      <c r="AM262" s="1679"/>
      <c r="AN262" s="1679"/>
      <c r="AO262" s="1679"/>
      <c r="AP262" s="1679"/>
      <c r="AQ262" s="1679"/>
      <c r="AR262" s="1679"/>
      <c r="AS262" s="1679"/>
      <c r="AT262" s="1679"/>
      <c r="AU262" s="1679"/>
      <c r="AV262" s="1679"/>
      <c r="AW262" s="1679"/>
      <c r="AX262" s="1679"/>
      <c r="AY262" s="1679"/>
      <c r="AZ262" s="1679"/>
      <c r="BA262" s="1679"/>
      <c r="BB262" s="1679"/>
      <c r="BC262" s="1679"/>
      <c r="BD262" s="1679"/>
      <c r="BE262" s="1679"/>
      <c r="BF262" s="1679"/>
      <c r="BG262" s="1679"/>
      <c r="BH262" s="1679"/>
      <c r="BI262" s="1679"/>
      <c r="BJ262" s="1679"/>
      <c r="BK262" s="1679"/>
      <c r="BL262" s="1679"/>
      <c r="BM262" s="1679"/>
      <c r="BN262" s="1679"/>
      <c r="BO262" s="1679"/>
      <c r="BP262" s="1679"/>
      <c r="BQ262" s="1679"/>
      <c r="BR262" s="1679"/>
      <c r="BS262" s="1679"/>
      <c r="BT262" s="1679"/>
      <c r="BU262" s="1679"/>
      <c r="BV262" s="1679"/>
      <c r="BW262" s="1679"/>
      <c r="BX262" s="1679"/>
      <c r="BY262" s="1679"/>
      <c r="BZ262" s="1679"/>
      <c r="CA262" s="1679"/>
      <c r="CB262" s="1679"/>
    </row>
    <row r="263" spans="1:80" s="1276" customFormat="1" x14ac:dyDescent="0.2">
      <c r="A263" s="1271"/>
      <c r="D263" s="1276">
        <v>2013</v>
      </c>
      <c r="E263" s="1677">
        <v>11797</v>
      </c>
      <c r="F263" s="1678"/>
      <c r="G263" s="1678"/>
      <c r="H263" s="1678"/>
      <c r="I263" s="1678"/>
      <c r="J263" s="1678"/>
      <c r="K263" s="1678">
        <f>E263/5</f>
        <v>2359.4</v>
      </c>
      <c r="L263" s="1678">
        <f>K263</f>
        <v>2359.4</v>
      </c>
      <c r="M263" s="1678">
        <f>L263</f>
        <v>2359.4</v>
      </c>
      <c r="N263" s="1678">
        <f>M263</f>
        <v>2359.4</v>
      </c>
      <c r="O263" s="1678">
        <f>N263</f>
        <v>2359.4</v>
      </c>
      <c r="P263" s="1714"/>
      <c r="Q263" s="1687"/>
      <c r="R263" s="1679"/>
      <c r="S263" s="1679"/>
      <c r="T263" s="1679"/>
      <c r="U263" s="1679"/>
      <c r="V263" s="1679"/>
      <c r="W263" s="1679"/>
      <c r="X263" s="1679"/>
      <c r="Y263" s="1679"/>
      <c r="Z263" s="1679"/>
      <c r="AA263" s="1679"/>
      <c r="AB263" s="1679"/>
      <c r="AC263" s="1679"/>
      <c r="AD263" s="1679"/>
      <c r="AE263" s="1679"/>
      <c r="AF263" s="1679"/>
      <c r="AG263" s="1679"/>
      <c r="AH263" s="1679"/>
      <c r="AI263" s="1679"/>
      <c r="AJ263" s="1679"/>
      <c r="AK263" s="1679"/>
      <c r="AL263" s="1679"/>
      <c r="AM263" s="1679"/>
      <c r="AN263" s="1679"/>
      <c r="AO263" s="1679"/>
      <c r="AP263" s="1679"/>
      <c r="AQ263" s="1679"/>
      <c r="AR263" s="1679"/>
      <c r="AS263" s="1679"/>
      <c r="AT263" s="1679"/>
      <c r="AU263" s="1679"/>
      <c r="AV263" s="1679"/>
      <c r="AW263" s="1679"/>
      <c r="AX263" s="1679"/>
      <c r="AY263" s="1679"/>
      <c r="AZ263" s="1679"/>
      <c r="BA263" s="1679"/>
      <c r="BB263" s="1679"/>
      <c r="BC263" s="1679"/>
      <c r="BD263" s="1679"/>
      <c r="BE263" s="1679"/>
      <c r="BF263" s="1679"/>
      <c r="BG263" s="1679"/>
      <c r="BH263" s="1679"/>
      <c r="BI263" s="1679"/>
      <c r="BJ263" s="1679"/>
      <c r="BK263" s="1679"/>
      <c r="BL263" s="1679"/>
      <c r="BM263" s="1679"/>
      <c r="BN263" s="1679"/>
      <c r="BO263" s="1679"/>
      <c r="BP263" s="1679"/>
      <c r="BQ263" s="1679"/>
      <c r="BR263" s="1679"/>
      <c r="BS263" s="1679"/>
      <c r="BT263" s="1679"/>
      <c r="BU263" s="1679"/>
      <c r="BV263" s="1679"/>
      <c r="BW263" s="1679"/>
      <c r="BX263" s="1679"/>
      <c r="BY263" s="1679"/>
      <c r="BZ263" s="1679"/>
      <c r="CA263" s="1679"/>
      <c r="CB263" s="1679"/>
    </row>
    <row r="264" spans="1:80" s="1276" customFormat="1" x14ac:dyDescent="0.2">
      <c r="A264" s="1271"/>
      <c r="D264" s="1276">
        <v>2014</v>
      </c>
      <c r="E264" s="1677">
        <v>20215</v>
      </c>
      <c r="F264" s="1678"/>
      <c r="G264" s="1678"/>
      <c r="H264" s="1678"/>
      <c r="I264" s="1678"/>
      <c r="J264" s="1678"/>
      <c r="K264" s="1678"/>
      <c r="L264" s="1678">
        <f>E264/5</f>
        <v>4043</v>
      </c>
      <c r="M264" s="1678">
        <f>L264</f>
        <v>4043</v>
      </c>
      <c r="N264" s="1678">
        <f>M264</f>
        <v>4043</v>
      </c>
      <c r="O264" s="1678">
        <f>N264</f>
        <v>4043</v>
      </c>
      <c r="P264" s="1714">
        <f>O264</f>
        <v>4043</v>
      </c>
      <c r="Q264" s="1687"/>
      <c r="R264" s="1679"/>
      <c r="S264" s="1679"/>
      <c r="T264" s="1679"/>
      <c r="U264" s="1679"/>
      <c r="V264" s="1679"/>
      <c r="W264" s="1679"/>
      <c r="X264" s="1679"/>
      <c r="Y264" s="1679"/>
      <c r="Z264" s="1679"/>
      <c r="AA264" s="1679"/>
      <c r="AB264" s="1679"/>
      <c r="AC264" s="1679"/>
      <c r="AD264" s="1679"/>
      <c r="AE264" s="1679"/>
      <c r="AF264" s="1679"/>
      <c r="AG264" s="1679"/>
      <c r="AH264" s="1679"/>
      <c r="AI264" s="1679"/>
      <c r="AJ264" s="1679"/>
      <c r="AK264" s="1679"/>
      <c r="AL264" s="1679"/>
      <c r="AM264" s="1679"/>
      <c r="AN264" s="1679"/>
      <c r="AO264" s="1679"/>
      <c r="AP264" s="1679"/>
      <c r="AQ264" s="1679"/>
      <c r="AR264" s="1679"/>
      <c r="AS264" s="1679"/>
      <c r="AT264" s="1679"/>
      <c r="AU264" s="1679"/>
      <c r="AV264" s="1679"/>
      <c r="AW264" s="1679"/>
      <c r="AX264" s="1679"/>
      <c r="AY264" s="1679"/>
      <c r="AZ264" s="1679"/>
      <c r="BA264" s="1679"/>
      <c r="BB264" s="1679"/>
      <c r="BC264" s="1679"/>
      <c r="BD264" s="1679"/>
      <c r="BE264" s="1679"/>
      <c r="BF264" s="1679"/>
      <c r="BG264" s="1679"/>
      <c r="BH264" s="1679"/>
      <c r="BI264" s="1679"/>
      <c r="BJ264" s="1679"/>
      <c r="BK264" s="1679"/>
      <c r="BL264" s="1679"/>
      <c r="BM264" s="1679"/>
      <c r="BN264" s="1679"/>
      <c r="BO264" s="1679"/>
      <c r="BP264" s="1679"/>
      <c r="BQ264" s="1679"/>
      <c r="BR264" s="1679"/>
      <c r="BS264" s="1679"/>
      <c r="BT264" s="1679"/>
      <c r="BU264" s="1679"/>
      <c r="BV264" s="1679"/>
      <c r="BW264" s="1679"/>
      <c r="BX264" s="1679"/>
      <c r="BY264" s="1679"/>
      <c r="BZ264" s="1679"/>
      <c r="CA264" s="1679"/>
      <c r="CB264" s="1679"/>
    </row>
    <row r="265" spans="1:80" s="1276" customFormat="1" x14ac:dyDescent="0.2">
      <c r="A265" s="1271"/>
      <c r="D265" s="1276" t="s">
        <v>69</v>
      </c>
      <c r="E265" s="1677">
        <f>SUM(E260:E264)</f>
        <v>230413</v>
      </c>
      <c r="F265" s="1678"/>
      <c r="G265" s="1678"/>
      <c r="H265" s="1678"/>
      <c r="I265" s="1678"/>
      <c r="J265" s="1678"/>
      <c r="K265" s="1678"/>
      <c r="L265" s="1678"/>
      <c r="M265" s="1678"/>
      <c r="N265" s="1678"/>
      <c r="O265" s="1678"/>
      <c r="P265" s="1714"/>
      <c r="Q265" s="1687"/>
      <c r="R265" s="1679"/>
      <c r="S265" s="1679"/>
      <c r="T265" s="1679"/>
      <c r="U265" s="1679"/>
      <c r="V265" s="1679"/>
      <c r="W265" s="1679"/>
      <c r="X265" s="1679"/>
      <c r="Y265" s="1679"/>
      <c r="Z265" s="1679"/>
      <c r="AA265" s="1679"/>
      <c r="AB265" s="1679"/>
      <c r="AC265" s="1679"/>
      <c r="AD265" s="1679"/>
      <c r="AE265" s="1679"/>
      <c r="AF265" s="1679"/>
      <c r="AG265" s="1679"/>
      <c r="AH265" s="1679"/>
      <c r="AI265" s="1679"/>
      <c r="AJ265" s="1679"/>
      <c r="AK265" s="1679"/>
      <c r="AL265" s="1679"/>
      <c r="AM265" s="1679"/>
      <c r="AN265" s="1679"/>
      <c r="AO265" s="1679"/>
      <c r="AP265" s="1679"/>
      <c r="AQ265" s="1679"/>
      <c r="AR265" s="1679"/>
      <c r="AS265" s="1679"/>
      <c r="AT265" s="1679"/>
      <c r="AU265" s="1679"/>
      <c r="AV265" s="1679"/>
      <c r="AW265" s="1679"/>
      <c r="AX265" s="1679"/>
      <c r="AY265" s="1679"/>
      <c r="AZ265" s="1679"/>
      <c r="BA265" s="1679"/>
      <c r="BB265" s="1679"/>
      <c r="BC265" s="1679"/>
      <c r="BD265" s="1679"/>
      <c r="BE265" s="1679"/>
      <c r="BF265" s="1679"/>
      <c r="BG265" s="1679"/>
      <c r="BH265" s="1679"/>
      <c r="BI265" s="1679"/>
      <c r="BJ265" s="1679"/>
      <c r="BK265" s="1679"/>
      <c r="BL265" s="1679"/>
      <c r="BM265" s="1679"/>
      <c r="BN265" s="1679"/>
      <c r="BO265" s="1679"/>
      <c r="BP265" s="1679"/>
      <c r="BQ265" s="1679"/>
      <c r="BR265" s="1679"/>
      <c r="BS265" s="1679"/>
      <c r="BT265" s="1679"/>
      <c r="BU265" s="1679"/>
      <c r="BV265" s="1679"/>
      <c r="BW265" s="1679"/>
      <c r="BX265" s="1679"/>
      <c r="BY265" s="1679"/>
      <c r="BZ265" s="1679"/>
      <c r="CA265" s="1679"/>
      <c r="CB265" s="1679"/>
    </row>
    <row r="266" spans="1:80" x14ac:dyDescent="0.2">
      <c r="A266" s="430"/>
      <c r="B266" s="39"/>
      <c r="C266" s="39"/>
      <c r="D266" s="39"/>
      <c r="E266" s="1671"/>
      <c r="F266" s="66"/>
      <c r="G266" s="66"/>
      <c r="H266" s="66"/>
      <c r="I266" s="66"/>
      <c r="J266" s="66"/>
      <c r="K266" s="66"/>
      <c r="L266" s="66"/>
      <c r="M266" s="66"/>
      <c r="N266" s="66"/>
      <c r="O266" s="66"/>
      <c r="P266" s="1712"/>
      <c r="Q266" s="1685"/>
      <c r="R266" s="288"/>
      <c r="S266" s="288"/>
      <c r="T266" s="288"/>
      <c r="U266" s="288"/>
      <c r="V266" s="288"/>
      <c r="W266" s="288"/>
      <c r="X266" s="288"/>
      <c r="Y266" s="288"/>
      <c r="Z266" s="288"/>
      <c r="AA266" s="288"/>
      <c r="AB266" s="288"/>
      <c r="AC266" s="288"/>
      <c r="AD266" s="288"/>
      <c r="AE266" s="288"/>
      <c r="AF266" s="288"/>
      <c r="AG266" s="288"/>
      <c r="AH266" s="288"/>
      <c r="AI266" s="288"/>
      <c r="AJ266" s="288"/>
      <c r="AK266" s="288"/>
      <c r="AL266" s="288"/>
      <c r="AM266" s="288"/>
      <c r="AN266" s="288"/>
      <c r="AO266" s="288"/>
      <c r="AP266" s="288"/>
      <c r="AQ266" s="288"/>
      <c r="AR266" s="288"/>
      <c r="AS266" s="288"/>
      <c r="AT266" s="288"/>
      <c r="AU266" s="288"/>
      <c r="AV266" s="288"/>
      <c r="AW266" s="288"/>
      <c r="AX266" s="288"/>
      <c r="AY266" s="288"/>
      <c r="AZ266" s="288"/>
      <c r="BA266" s="288"/>
      <c r="BB266" s="288"/>
      <c r="BC266" s="288"/>
      <c r="BD266" s="288"/>
      <c r="BE266" s="288"/>
      <c r="BF266" s="288"/>
      <c r="BG266" s="288"/>
      <c r="BH266" s="288"/>
      <c r="BI266" s="288"/>
      <c r="BJ266" s="288"/>
      <c r="BK266" s="288"/>
      <c r="BL266" s="288"/>
      <c r="BM266" s="288"/>
      <c r="BN266" s="288"/>
      <c r="BO266" s="288"/>
      <c r="BP266" s="288"/>
      <c r="BQ266" s="288"/>
      <c r="BR266" s="288"/>
      <c r="BS266" s="288"/>
      <c r="BT266" s="288"/>
      <c r="BU266" s="288"/>
      <c r="BV266" s="288"/>
      <c r="BW266" s="288"/>
      <c r="BX266" s="288"/>
      <c r="BY266" s="288"/>
      <c r="BZ266" s="288"/>
      <c r="CA266" s="288"/>
      <c r="CB266" s="288"/>
    </row>
    <row r="267" spans="1:80" s="1276" customFormat="1" x14ac:dyDescent="0.2">
      <c r="A267" s="1271" t="s">
        <v>772</v>
      </c>
      <c r="D267" s="1276">
        <v>2010</v>
      </c>
      <c r="E267" s="1677">
        <v>0</v>
      </c>
      <c r="F267" s="1678"/>
      <c r="G267" s="1678"/>
      <c r="H267" s="1678">
        <f>E267/5</f>
        <v>0</v>
      </c>
      <c r="I267" s="1678">
        <f>H267</f>
        <v>0</v>
      </c>
      <c r="J267" s="1678">
        <f>I267</f>
        <v>0</v>
      </c>
      <c r="K267" s="1678">
        <f>J267</f>
        <v>0</v>
      </c>
      <c r="L267" s="1678">
        <f>H267</f>
        <v>0</v>
      </c>
      <c r="M267" s="1678"/>
      <c r="N267" s="1678"/>
      <c r="O267" s="1678"/>
      <c r="P267" s="1714"/>
      <c r="Q267" s="1687"/>
      <c r="R267" s="1679"/>
      <c r="S267" s="1679"/>
      <c r="T267" s="1679"/>
      <c r="U267" s="1679"/>
      <c r="V267" s="1679"/>
      <c r="W267" s="1679"/>
      <c r="X267" s="1679"/>
      <c r="Y267" s="1679"/>
      <c r="Z267" s="1679"/>
      <c r="AA267" s="1679"/>
      <c r="AB267" s="1679"/>
      <c r="AC267" s="1679"/>
      <c r="AD267" s="1679"/>
      <c r="AE267" s="1679"/>
      <c r="AF267" s="1679"/>
      <c r="AG267" s="1679"/>
      <c r="AH267" s="1679"/>
      <c r="AI267" s="1679"/>
      <c r="AJ267" s="1679"/>
      <c r="AK267" s="1679"/>
      <c r="AL267" s="1679"/>
      <c r="AM267" s="1679"/>
      <c r="AN267" s="1679"/>
      <c r="AO267" s="1679"/>
      <c r="AP267" s="1679"/>
      <c r="AQ267" s="1679"/>
      <c r="AR267" s="1679"/>
      <c r="AS267" s="1679"/>
      <c r="AT267" s="1679"/>
      <c r="AU267" s="1679"/>
      <c r="AV267" s="1679"/>
      <c r="AW267" s="1679"/>
      <c r="AX267" s="1679"/>
      <c r="AY267" s="1679"/>
      <c r="AZ267" s="1679"/>
      <c r="BA267" s="1679"/>
      <c r="BB267" s="1679"/>
      <c r="BC267" s="1679"/>
      <c r="BD267" s="1679"/>
      <c r="BE267" s="1679"/>
      <c r="BF267" s="1679"/>
      <c r="BG267" s="1679"/>
      <c r="BH267" s="1679"/>
      <c r="BI267" s="1679"/>
      <c r="BJ267" s="1679"/>
      <c r="BK267" s="1679"/>
      <c r="BL267" s="1679"/>
      <c r="BM267" s="1679"/>
      <c r="BN267" s="1679"/>
      <c r="BO267" s="1679"/>
      <c r="BP267" s="1679"/>
      <c r="BQ267" s="1679"/>
      <c r="BR267" s="1679"/>
      <c r="BS267" s="1679"/>
      <c r="BT267" s="1679"/>
      <c r="BU267" s="1679"/>
      <c r="BV267" s="1679"/>
      <c r="BW267" s="1679"/>
      <c r="BX267" s="1679"/>
      <c r="BY267" s="1679"/>
      <c r="BZ267" s="1679"/>
      <c r="CA267" s="1679"/>
      <c r="CB267" s="1679"/>
    </row>
    <row r="268" spans="1:80" s="1276" customFormat="1" x14ac:dyDescent="0.2">
      <c r="A268" s="1271"/>
      <c r="D268" s="1276">
        <v>2011</v>
      </c>
      <c r="E268" s="1677">
        <v>110771</v>
      </c>
      <c r="F268" s="1678"/>
      <c r="G268" s="1678"/>
      <c r="H268" s="1678"/>
      <c r="I268" s="1678">
        <f>E268/5</f>
        <v>22154.2</v>
      </c>
      <c r="J268" s="1678">
        <f>I268</f>
        <v>22154.2</v>
      </c>
      <c r="K268" s="1678">
        <f>J268</f>
        <v>22154.2</v>
      </c>
      <c r="L268" s="1678">
        <f>K268</f>
        <v>22154.2</v>
      </c>
      <c r="M268" s="1678">
        <f>L268</f>
        <v>22154.2</v>
      </c>
      <c r="N268" s="1678"/>
      <c r="O268" s="1678"/>
      <c r="P268" s="1714"/>
      <c r="Q268" s="1687"/>
      <c r="R268" s="1679"/>
      <c r="S268" s="1679"/>
      <c r="T268" s="1679"/>
      <c r="U268" s="1679"/>
      <c r="V268" s="1679"/>
      <c r="W268" s="1679"/>
      <c r="X268" s="1679"/>
      <c r="Y268" s="1679"/>
      <c r="Z268" s="1679"/>
      <c r="AA268" s="1679"/>
      <c r="AB268" s="1679"/>
      <c r="AC268" s="1679"/>
      <c r="AD268" s="1679"/>
      <c r="AE268" s="1679"/>
      <c r="AF268" s="1679"/>
      <c r="AG268" s="1679"/>
      <c r="AH268" s="1679"/>
      <c r="AI268" s="1679"/>
      <c r="AJ268" s="1679"/>
      <c r="AK268" s="1679"/>
      <c r="AL268" s="1679"/>
      <c r="AM268" s="1679"/>
      <c r="AN268" s="1679"/>
      <c r="AO268" s="1679"/>
      <c r="AP268" s="1679"/>
      <c r="AQ268" s="1679"/>
      <c r="AR268" s="1679"/>
      <c r="AS268" s="1679"/>
      <c r="AT268" s="1679"/>
      <c r="AU268" s="1679"/>
      <c r="AV268" s="1679"/>
      <c r="AW268" s="1679"/>
      <c r="AX268" s="1679"/>
      <c r="AY268" s="1679"/>
      <c r="AZ268" s="1679"/>
      <c r="BA268" s="1679"/>
      <c r="BB268" s="1679"/>
      <c r="BC268" s="1679"/>
      <c r="BD268" s="1679"/>
      <c r="BE268" s="1679"/>
      <c r="BF268" s="1679"/>
      <c r="BG268" s="1679"/>
      <c r="BH268" s="1679"/>
      <c r="BI268" s="1679"/>
      <c r="BJ268" s="1679"/>
      <c r="BK268" s="1679"/>
      <c r="BL268" s="1679"/>
      <c r="BM268" s="1679"/>
      <c r="BN268" s="1679"/>
      <c r="BO268" s="1679"/>
      <c r="BP268" s="1679"/>
      <c r="BQ268" s="1679"/>
      <c r="BR268" s="1679"/>
      <c r="BS268" s="1679"/>
      <c r="BT268" s="1679"/>
      <c r="BU268" s="1679"/>
      <c r="BV268" s="1679"/>
      <c r="BW268" s="1679"/>
      <c r="BX268" s="1679"/>
      <c r="BY268" s="1679"/>
      <c r="BZ268" s="1679"/>
      <c r="CA268" s="1679"/>
      <c r="CB268" s="1679"/>
    </row>
    <row r="269" spans="1:80" s="1276" customFormat="1" x14ac:dyDescent="0.2">
      <c r="A269" s="1271"/>
      <c r="D269" s="1276">
        <v>2012</v>
      </c>
      <c r="E269" s="1677">
        <v>20136.5</v>
      </c>
      <c r="F269" s="1678"/>
      <c r="G269" s="1678"/>
      <c r="H269" s="1678"/>
      <c r="I269" s="1678"/>
      <c r="J269" s="1678">
        <f>E269/5</f>
        <v>4027.3</v>
      </c>
      <c r="K269" s="1678">
        <f>J269</f>
        <v>4027.3</v>
      </c>
      <c r="L269" s="1678">
        <f>K269</f>
        <v>4027.3</v>
      </c>
      <c r="M269" s="1678">
        <f>L269</f>
        <v>4027.3</v>
      </c>
      <c r="N269" s="1678">
        <f>M269</f>
        <v>4027.3</v>
      </c>
      <c r="O269" s="1678"/>
      <c r="P269" s="1714"/>
      <c r="Q269" s="1687"/>
      <c r="R269" s="1679"/>
      <c r="S269" s="1679"/>
      <c r="T269" s="1679"/>
      <c r="U269" s="1679"/>
      <c r="V269" s="1679"/>
      <c r="W269" s="1679"/>
      <c r="X269" s="1679"/>
      <c r="Y269" s="1679"/>
      <c r="Z269" s="1679"/>
      <c r="AA269" s="1679"/>
      <c r="AB269" s="1679"/>
      <c r="AC269" s="1679"/>
      <c r="AD269" s="1679"/>
      <c r="AE269" s="1679"/>
      <c r="AF269" s="1679"/>
      <c r="AG269" s="1679"/>
      <c r="AH269" s="1679"/>
      <c r="AI269" s="1679"/>
      <c r="AJ269" s="1679"/>
      <c r="AK269" s="1679"/>
      <c r="AL269" s="1679"/>
      <c r="AM269" s="1679"/>
      <c r="AN269" s="1679"/>
      <c r="AO269" s="1679"/>
      <c r="AP269" s="1679"/>
      <c r="AQ269" s="1679"/>
      <c r="AR269" s="1679"/>
      <c r="AS269" s="1679"/>
      <c r="AT269" s="1679"/>
      <c r="AU269" s="1679"/>
      <c r="AV269" s="1679"/>
      <c r="AW269" s="1679"/>
      <c r="AX269" s="1679"/>
      <c r="AY269" s="1679"/>
      <c r="AZ269" s="1679"/>
      <c r="BA269" s="1679"/>
      <c r="BB269" s="1679"/>
      <c r="BC269" s="1679"/>
      <c r="BD269" s="1679"/>
      <c r="BE269" s="1679"/>
      <c r="BF269" s="1679"/>
      <c r="BG269" s="1679"/>
      <c r="BH269" s="1679"/>
      <c r="BI269" s="1679"/>
      <c r="BJ269" s="1679"/>
      <c r="BK269" s="1679"/>
      <c r="BL269" s="1679"/>
      <c r="BM269" s="1679"/>
      <c r="BN269" s="1679"/>
      <c r="BO269" s="1679"/>
      <c r="BP269" s="1679"/>
      <c r="BQ269" s="1679"/>
      <c r="BR269" s="1679"/>
      <c r="BS269" s="1679"/>
      <c r="BT269" s="1679"/>
      <c r="BU269" s="1679"/>
      <c r="BV269" s="1679"/>
      <c r="BW269" s="1679"/>
      <c r="BX269" s="1679"/>
      <c r="BY269" s="1679"/>
      <c r="BZ269" s="1679"/>
      <c r="CA269" s="1679"/>
      <c r="CB269" s="1679"/>
    </row>
    <row r="270" spans="1:80" s="1276" customFormat="1" x14ac:dyDescent="0.2">
      <c r="A270" s="1271"/>
      <c r="D270" s="1276">
        <v>2013</v>
      </c>
      <c r="E270" s="1677">
        <v>12528.5</v>
      </c>
      <c r="F270" s="1678"/>
      <c r="G270" s="1678"/>
      <c r="H270" s="1678"/>
      <c r="I270" s="1678"/>
      <c r="J270" s="1678"/>
      <c r="K270" s="1678">
        <f>E270/5</f>
        <v>2505.6999999999998</v>
      </c>
      <c r="L270" s="1678">
        <f>K270</f>
        <v>2505.6999999999998</v>
      </c>
      <c r="M270" s="1678">
        <f>L270</f>
        <v>2505.6999999999998</v>
      </c>
      <c r="N270" s="1678">
        <f>M270</f>
        <v>2505.6999999999998</v>
      </c>
      <c r="O270" s="1678">
        <f>N270</f>
        <v>2505.6999999999998</v>
      </c>
      <c r="P270" s="1714"/>
      <c r="Q270" s="1687"/>
      <c r="R270" s="1679"/>
      <c r="S270" s="1679"/>
      <c r="T270" s="1679"/>
      <c r="U270" s="1679"/>
      <c r="V270" s="1679"/>
      <c r="W270" s="1679"/>
      <c r="X270" s="1679"/>
      <c r="Y270" s="1679"/>
      <c r="Z270" s="1679"/>
      <c r="AA270" s="1679"/>
      <c r="AB270" s="1679"/>
      <c r="AC270" s="1679"/>
      <c r="AD270" s="1679"/>
      <c r="AE270" s="1679"/>
      <c r="AF270" s="1679"/>
      <c r="AG270" s="1679"/>
      <c r="AH270" s="1679"/>
      <c r="AI270" s="1679"/>
      <c r="AJ270" s="1679"/>
      <c r="AK270" s="1679"/>
      <c r="AL270" s="1679"/>
      <c r="AM270" s="1679"/>
      <c r="AN270" s="1679"/>
      <c r="AO270" s="1679"/>
      <c r="AP270" s="1679"/>
      <c r="AQ270" s="1679"/>
      <c r="AR270" s="1679"/>
      <c r="AS270" s="1679"/>
      <c r="AT270" s="1679"/>
      <c r="AU270" s="1679"/>
      <c r="AV270" s="1679"/>
      <c r="AW270" s="1679"/>
      <c r="AX270" s="1679"/>
      <c r="AY270" s="1679"/>
      <c r="AZ270" s="1679"/>
      <c r="BA270" s="1679"/>
      <c r="BB270" s="1679"/>
      <c r="BC270" s="1679"/>
      <c r="BD270" s="1679"/>
      <c r="BE270" s="1679"/>
      <c r="BF270" s="1679"/>
      <c r="BG270" s="1679"/>
      <c r="BH270" s="1679"/>
      <c r="BI270" s="1679"/>
      <c r="BJ270" s="1679"/>
      <c r="BK270" s="1679"/>
      <c r="BL270" s="1679"/>
      <c r="BM270" s="1679"/>
      <c r="BN270" s="1679"/>
      <c r="BO270" s="1679"/>
      <c r="BP270" s="1679"/>
      <c r="BQ270" s="1679"/>
      <c r="BR270" s="1679"/>
      <c r="BS270" s="1679"/>
      <c r="BT270" s="1679"/>
      <c r="BU270" s="1679"/>
      <c r="BV270" s="1679"/>
      <c r="BW270" s="1679"/>
      <c r="BX270" s="1679"/>
      <c r="BY270" s="1679"/>
      <c r="BZ270" s="1679"/>
      <c r="CA270" s="1679"/>
      <c r="CB270" s="1679"/>
    </row>
    <row r="271" spans="1:80" s="1276" customFormat="1" x14ac:dyDescent="0.2">
      <c r="A271" s="1271"/>
      <c r="D271" s="1276">
        <v>2014</v>
      </c>
      <c r="E271" s="1677">
        <v>0</v>
      </c>
      <c r="F271" s="1678"/>
      <c r="G271" s="1678"/>
      <c r="H271" s="1678"/>
      <c r="I271" s="1678"/>
      <c r="J271" s="1678"/>
      <c r="K271" s="1678"/>
      <c r="L271" s="1678">
        <f>E271/5</f>
        <v>0</v>
      </c>
      <c r="M271" s="1678">
        <f>L271</f>
        <v>0</v>
      </c>
      <c r="N271" s="1678">
        <f>M271</f>
        <v>0</v>
      </c>
      <c r="O271" s="1678">
        <f>N271</f>
        <v>0</v>
      </c>
      <c r="P271" s="1714">
        <f>O271</f>
        <v>0</v>
      </c>
      <c r="Q271" s="1687"/>
      <c r="R271" s="1679"/>
      <c r="S271" s="1679"/>
      <c r="T271" s="1679"/>
      <c r="U271" s="1679"/>
      <c r="V271" s="1679"/>
      <c r="W271" s="1679"/>
      <c r="X271" s="1679"/>
      <c r="Y271" s="1679"/>
      <c r="Z271" s="1679"/>
      <c r="AA271" s="1679"/>
      <c r="AB271" s="1679"/>
      <c r="AC271" s="1679"/>
      <c r="AD271" s="1679"/>
      <c r="AE271" s="1679"/>
      <c r="AF271" s="1679"/>
      <c r="AG271" s="1679"/>
      <c r="AH271" s="1679"/>
      <c r="AI271" s="1679"/>
      <c r="AJ271" s="1679"/>
      <c r="AK271" s="1679"/>
      <c r="AL271" s="1679"/>
      <c r="AM271" s="1679"/>
      <c r="AN271" s="1679"/>
      <c r="AO271" s="1679"/>
      <c r="AP271" s="1679"/>
      <c r="AQ271" s="1679"/>
      <c r="AR271" s="1679"/>
      <c r="AS271" s="1679"/>
      <c r="AT271" s="1679"/>
      <c r="AU271" s="1679"/>
      <c r="AV271" s="1679"/>
      <c r="AW271" s="1679"/>
      <c r="AX271" s="1679"/>
      <c r="AY271" s="1679"/>
      <c r="AZ271" s="1679"/>
      <c r="BA271" s="1679"/>
      <c r="BB271" s="1679"/>
      <c r="BC271" s="1679"/>
      <c r="BD271" s="1679"/>
      <c r="BE271" s="1679"/>
      <c r="BF271" s="1679"/>
      <c r="BG271" s="1679"/>
      <c r="BH271" s="1679"/>
      <c r="BI271" s="1679"/>
      <c r="BJ271" s="1679"/>
      <c r="BK271" s="1679"/>
      <c r="BL271" s="1679"/>
      <c r="BM271" s="1679"/>
      <c r="BN271" s="1679"/>
      <c r="BO271" s="1679"/>
      <c r="BP271" s="1679"/>
      <c r="BQ271" s="1679"/>
      <c r="BR271" s="1679"/>
      <c r="BS271" s="1679"/>
      <c r="BT271" s="1679"/>
      <c r="BU271" s="1679"/>
      <c r="BV271" s="1679"/>
      <c r="BW271" s="1679"/>
      <c r="BX271" s="1679"/>
      <c r="BY271" s="1679"/>
      <c r="BZ271" s="1679"/>
      <c r="CA271" s="1679"/>
      <c r="CB271" s="1679"/>
    </row>
    <row r="272" spans="1:80" s="1276" customFormat="1" x14ac:dyDescent="0.2">
      <c r="A272" s="1271"/>
      <c r="D272" s="1276" t="s">
        <v>69</v>
      </c>
      <c r="E272" s="1677">
        <f>SUM(E267:E271)</f>
        <v>143436</v>
      </c>
      <c r="F272" s="1678"/>
      <c r="G272" s="1678"/>
      <c r="H272" s="1678"/>
      <c r="I272" s="1678"/>
      <c r="J272" s="1678"/>
      <c r="K272" s="1678"/>
      <c r="L272" s="1678"/>
      <c r="M272" s="1678"/>
      <c r="N272" s="1678"/>
      <c r="O272" s="1678"/>
      <c r="P272" s="1714"/>
      <c r="Q272" s="1687"/>
      <c r="R272" s="1679"/>
      <c r="S272" s="1679"/>
      <c r="T272" s="1679"/>
      <c r="U272" s="1679"/>
      <c r="V272" s="1679"/>
      <c r="W272" s="1679"/>
      <c r="X272" s="1679"/>
      <c r="Y272" s="1679"/>
      <c r="Z272" s="1679"/>
      <c r="AA272" s="1679"/>
      <c r="AB272" s="1679"/>
      <c r="AC272" s="1679"/>
      <c r="AD272" s="1679"/>
      <c r="AE272" s="1679"/>
      <c r="AF272" s="1679"/>
      <c r="AG272" s="1679"/>
      <c r="AH272" s="1679"/>
      <c r="AI272" s="1679"/>
      <c r="AJ272" s="1679"/>
      <c r="AK272" s="1679"/>
      <c r="AL272" s="1679"/>
      <c r="AM272" s="1679"/>
      <c r="AN272" s="1679"/>
      <c r="AO272" s="1679"/>
      <c r="AP272" s="1679"/>
      <c r="AQ272" s="1679"/>
      <c r="AR272" s="1679"/>
      <c r="AS272" s="1679"/>
      <c r="AT272" s="1679"/>
      <c r="AU272" s="1679"/>
      <c r="AV272" s="1679"/>
      <c r="AW272" s="1679"/>
      <c r="AX272" s="1679"/>
      <c r="AY272" s="1679"/>
      <c r="AZ272" s="1679"/>
      <c r="BA272" s="1679"/>
      <c r="BB272" s="1679"/>
      <c r="BC272" s="1679"/>
      <c r="BD272" s="1679"/>
      <c r="BE272" s="1679"/>
      <c r="BF272" s="1679"/>
      <c r="BG272" s="1679"/>
      <c r="BH272" s="1679"/>
      <c r="BI272" s="1679"/>
      <c r="BJ272" s="1679"/>
      <c r="BK272" s="1679"/>
      <c r="BL272" s="1679"/>
      <c r="BM272" s="1679"/>
      <c r="BN272" s="1679"/>
      <c r="BO272" s="1679"/>
      <c r="BP272" s="1679"/>
      <c r="BQ272" s="1679"/>
      <c r="BR272" s="1679"/>
      <c r="BS272" s="1679"/>
      <c r="BT272" s="1679"/>
      <c r="BU272" s="1679"/>
      <c r="BV272" s="1679"/>
      <c r="BW272" s="1679"/>
      <c r="BX272" s="1679"/>
      <c r="BY272" s="1679"/>
      <c r="BZ272" s="1679"/>
      <c r="CA272" s="1679"/>
      <c r="CB272" s="1679"/>
    </row>
    <row r="273" spans="1:80" x14ac:dyDescent="0.2">
      <c r="A273" s="430"/>
      <c r="B273" s="39"/>
      <c r="C273" s="39"/>
      <c r="D273" s="39"/>
      <c r="E273" s="1671"/>
      <c r="F273" s="66"/>
      <c r="G273" s="66"/>
      <c r="H273" s="66"/>
      <c r="I273" s="66"/>
      <c r="J273" s="66"/>
      <c r="K273" s="66"/>
      <c r="L273" s="66"/>
      <c r="M273" s="66"/>
      <c r="N273" s="66"/>
      <c r="O273" s="66"/>
      <c r="P273" s="1712"/>
      <c r="Q273" s="1685"/>
      <c r="R273" s="288"/>
      <c r="S273" s="288"/>
      <c r="T273" s="288"/>
      <c r="U273" s="288"/>
      <c r="V273" s="288"/>
      <c r="W273" s="288"/>
      <c r="X273" s="288"/>
      <c r="Y273" s="288"/>
      <c r="Z273" s="288"/>
      <c r="AA273" s="288"/>
      <c r="AB273" s="288"/>
      <c r="AC273" s="288"/>
      <c r="AD273" s="288"/>
      <c r="AE273" s="288"/>
      <c r="AF273" s="288"/>
      <c r="AG273" s="288"/>
      <c r="AH273" s="288"/>
      <c r="AI273" s="288"/>
      <c r="AJ273" s="288"/>
      <c r="AK273" s="288"/>
      <c r="AL273" s="288"/>
      <c r="AM273" s="288"/>
      <c r="AN273" s="288"/>
      <c r="AO273" s="288"/>
      <c r="AP273" s="288"/>
      <c r="AQ273" s="288"/>
      <c r="AR273" s="288"/>
      <c r="AS273" s="288"/>
      <c r="AT273" s="288"/>
      <c r="AU273" s="288"/>
      <c r="AV273" s="288"/>
      <c r="AW273" s="288"/>
      <c r="AX273" s="288"/>
      <c r="AY273" s="288"/>
      <c r="AZ273" s="288"/>
      <c r="BA273" s="288"/>
      <c r="BB273" s="288"/>
      <c r="BC273" s="288"/>
      <c r="BD273" s="288"/>
      <c r="BE273" s="288"/>
      <c r="BF273" s="288"/>
      <c r="BG273" s="288"/>
      <c r="BH273" s="288"/>
      <c r="BI273" s="288"/>
      <c r="BJ273" s="288"/>
      <c r="BK273" s="288"/>
      <c r="BL273" s="288"/>
      <c r="BM273" s="288"/>
      <c r="BN273" s="288"/>
      <c r="BO273" s="288"/>
      <c r="BP273" s="288"/>
      <c r="BQ273" s="288"/>
      <c r="BR273" s="288"/>
      <c r="BS273" s="288"/>
      <c r="BT273" s="288"/>
      <c r="BU273" s="288"/>
      <c r="BV273" s="288"/>
      <c r="BW273" s="288"/>
      <c r="BX273" s="288"/>
      <c r="BY273" s="288"/>
      <c r="BZ273" s="288"/>
      <c r="CA273" s="288"/>
      <c r="CB273" s="288"/>
    </row>
    <row r="274" spans="1:80" s="1276" customFormat="1" x14ac:dyDescent="0.2">
      <c r="A274" s="1271" t="s">
        <v>823</v>
      </c>
      <c r="D274" s="1276">
        <v>2010</v>
      </c>
      <c r="E274" s="1677">
        <v>0</v>
      </c>
      <c r="F274" s="1678"/>
      <c r="G274" s="1678"/>
      <c r="H274" s="1678">
        <f>E274/5</f>
        <v>0</v>
      </c>
      <c r="I274" s="1678">
        <f>H274</f>
        <v>0</v>
      </c>
      <c r="J274" s="1678">
        <f>I274</f>
        <v>0</v>
      </c>
      <c r="K274" s="1678">
        <f>J274</f>
        <v>0</v>
      </c>
      <c r="L274" s="1678">
        <f>H274</f>
        <v>0</v>
      </c>
      <c r="M274" s="1678"/>
      <c r="N274" s="1678"/>
      <c r="O274" s="1678"/>
      <c r="P274" s="1714"/>
      <c r="Q274" s="1687"/>
      <c r="R274" s="1679"/>
      <c r="S274" s="1679"/>
      <c r="T274" s="1679"/>
      <c r="U274" s="1679"/>
      <c r="V274" s="1679"/>
      <c r="W274" s="1679"/>
      <c r="X274" s="1679"/>
      <c r="Y274" s="1679"/>
      <c r="Z274" s="1679"/>
      <c r="AA274" s="1679"/>
      <c r="AB274" s="1679"/>
      <c r="AC274" s="1679"/>
      <c r="AD274" s="1679"/>
      <c r="AE274" s="1679"/>
      <c r="AF274" s="1679"/>
      <c r="AG274" s="1679"/>
      <c r="AH274" s="1679"/>
      <c r="AI274" s="1679"/>
      <c r="AJ274" s="1679"/>
      <c r="AK274" s="1679"/>
      <c r="AL274" s="1679"/>
      <c r="AM274" s="1679"/>
      <c r="AN274" s="1679"/>
      <c r="AO274" s="1679"/>
      <c r="AP274" s="1679"/>
      <c r="AQ274" s="1679"/>
      <c r="AR274" s="1679"/>
      <c r="AS274" s="1679"/>
      <c r="AT274" s="1679"/>
      <c r="AU274" s="1679"/>
      <c r="AV274" s="1679"/>
      <c r="AW274" s="1679"/>
      <c r="AX274" s="1679"/>
      <c r="AY274" s="1679"/>
      <c r="AZ274" s="1679"/>
      <c r="BA274" s="1679"/>
      <c r="BB274" s="1679"/>
      <c r="BC274" s="1679"/>
      <c r="BD274" s="1679"/>
      <c r="BE274" s="1679"/>
      <c r="BF274" s="1679"/>
      <c r="BG274" s="1679"/>
      <c r="BH274" s="1679"/>
      <c r="BI274" s="1679"/>
      <c r="BJ274" s="1679"/>
      <c r="BK274" s="1679"/>
      <c r="BL274" s="1679"/>
      <c r="BM274" s="1679"/>
      <c r="BN274" s="1679"/>
      <c r="BO274" s="1679"/>
      <c r="BP274" s="1679"/>
      <c r="BQ274" s="1679"/>
      <c r="BR274" s="1679"/>
      <c r="BS274" s="1679"/>
      <c r="BT274" s="1679"/>
      <c r="BU274" s="1679"/>
      <c r="BV274" s="1679"/>
      <c r="BW274" s="1679"/>
      <c r="BX274" s="1679"/>
      <c r="BY274" s="1679"/>
      <c r="BZ274" s="1679"/>
      <c r="CA274" s="1679"/>
      <c r="CB274" s="1679"/>
    </row>
    <row r="275" spans="1:80" s="1276" customFormat="1" x14ac:dyDescent="0.2">
      <c r="D275" s="1276">
        <v>2011</v>
      </c>
      <c r="E275" s="1677">
        <v>16145.360323511144</v>
      </c>
      <c r="F275" s="1678"/>
      <c r="G275" s="1678"/>
      <c r="H275" s="1678"/>
      <c r="I275" s="1678">
        <f>E275/5</f>
        <v>3229.072064702229</v>
      </c>
      <c r="J275" s="1678">
        <f>I275</f>
        <v>3229.072064702229</v>
      </c>
      <c r="K275" s="1678">
        <f>J275</f>
        <v>3229.072064702229</v>
      </c>
      <c r="L275" s="1678">
        <f>K275</f>
        <v>3229.072064702229</v>
      </c>
      <c r="M275" s="1678">
        <f>L275</f>
        <v>3229.072064702229</v>
      </c>
      <c r="N275" s="1678"/>
      <c r="O275" s="1678"/>
      <c r="P275" s="1714"/>
      <c r="Q275" s="1687"/>
      <c r="R275" s="1679"/>
      <c r="S275" s="1679"/>
      <c r="T275" s="1679"/>
      <c r="U275" s="1679"/>
      <c r="V275" s="1679"/>
      <c r="W275" s="1679"/>
      <c r="X275" s="1679"/>
      <c r="Y275" s="1679"/>
      <c r="Z275" s="1679"/>
      <c r="AA275" s="1679"/>
      <c r="AB275" s="1679"/>
      <c r="AC275" s="1679"/>
      <c r="AD275" s="1679"/>
      <c r="AE275" s="1679"/>
      <c r="AF275" s="1679"/>
      <c r="AG275" s="1679"/>
      <c r="AH275" s="1679"/>
      <c r="AI275" s="1679"/>
      <c r="AJ275" s="1679"/>
      <c r="AK275" s="1679"/>
      <c r="AL275" s="1679"/>
      <c r="AM275" s="1679"/>
      <c r="AN275" s="1679"/>
      <c r="AO275" s="1679"/>
      <c r="AP275" s="1679"/>
      <c r="AQ275" s="1679"/>
      <c r="AR275" s="1679"/>
      <c r="AS275" s="1679"/>
      <c r="AT275" s="1679"/>
      <c r="AU275" s="1679"/>
      <c r="AV275" s="1679"/>
      <c r="AW275" s="1679"/>
      <c r="AX275" s="1679"/>
      <c r="AY275" s="1679"/>
      <c r="AZ275" s="1679"/>
      <c r="BA275" s="1679"/>
      <c r="BB275" s="1679"/>
      <c r="BC275" s="1679"/>
      <c r="BD275" s="1679"/>
      <c r="BE275" s="1679"/>
      <c r="BF275" s="1679"/>
      <c r="BG275" s="1679"/>
      <c r="BH275" s="1679"/>
      <c r="BI275" s="1679"/>
      <c r="BJ275" s="1679"/>
      <c r="BK275" s="1679"/>
      <c r="BL275" s="1679"/>
      <c r="BM275" s="1679"/>
      <c r="BN275" s="1679"/>
      <c r="BO275" s="1679"/>
      <c r="BP275" s="1679"/>
      <c r="BQ275" s="1679"/>
      <c r="BR275" s="1679"/>
      <c r="BS275" s="1679"/>
      <c r="BT275" s="1679"/>
      <c r="BU275" s="1679"/>
      <c r="BV275" s="1679"/>
      <c r="BW275" s="1679"/>
      <c r="BX275" s="1679"/>
      <c r="BY275" s="1679"/>
      <c r="BZ275" s="1679"/>
      <c r="CA275" s="1679"/>
      <c r="CB275" s="1679"/>
    </row>
    <row r="276" spans="1:80" s="1276" customFormat="1" x14ac:dyDescent="0.2">
      <c r="D276" s="1276">
        <v>2012</v>
      </c>
      <c r="E276" s="1677">
        <v>26387.211029728671</v>
      </c>
      <c r="F276" s="1678"/>
      <c r="G276" s="1678"/>
      <c r="H276" s="1678"/>
      <c r="I276" s="1678"/>
      <c r="J276" s="1678">
        <f>E276/5</f>
        <v>5277.4422059457338</v>
      </c>
      <c r="K276" s="1678">
        <f>J276</f>
        <v>5277.4422059457338</v>
      </c>
      <c r="L276" s="1678">
        <f>K276</f>
        <v>5277.4422059457338</v>
      </c>
      <c r="M276" s="1678">
        <f>L276</f>
        <v>5277.4422059457338</v>
      </c>
      <c r="N276" s="1678">
        <f>M276</f>
        <v>5277.4422059457338</v>
      </c>
      <c r="O276" s="1678"/>
      <c r="P276" s="1714"/>
      <c r="Q276" s="1687"/>
      <c r="R276" s="1679"/>
      <c r="S276" s="1679"/>
      <c r="T276" s="1679"/>
      <c r="U276" s="1679"/>
      <c r="V276" s="1679"/>
      <c r="W276" s="1679"/>
      <c r="X276" s="1679"/>
      <c r="Y276" s="1679"/>
      <c r="Z276" s="1679"/>
      <c r="AA276" s="1679"/>
      <c r="AB276" s="1679"/>
      <c r="AC276" s="1679"/>
      <c r="AD276" s="1679"/>
      <c r="AE276" s="1679"/>
      <c r="AF276" s="1679"/>
      <c r="AG276" s="1679"/>
      <c r="AH276" s="1679"/>
      <c r="AI276" s="1679"/>
      <c r="AJ276" s="1679"/>
      <c r="AK276" s="1679"/>
      <c r="AL276" s="1679"/>
      <c r="AM276" s="1679"/>
      <c r="AN276" s="1679"/>
      <c r="AO276" s="1679"/>
      <c r="AP276" s="1679"/>
      <c r="AQ276" s="1679"/>
      <c r="AR276" s="1679"/>
      <c r="AS276" s="1679"/>
      <c r="AT276" s="1679"/>
      <c r="AU276" s="1679"/>
      <c r="AV276" s="1679"/>
      <c r="AW276" s="1679"/>
      <c r="AX276" s="1679"/>
      <c r="AY276" s="1679"/>
      <c r="AZ276" s="1679"/>
      <c r="BA276" s="1679"/>
      <c r="BB276" s="1679"/>
      <c r="BC276" s="1679"/>
      <c r="BD276" s="1679"/>
      <c r="BE276" s="1679"/>
      <c r="BF276" s="1679"/>
      <c r="BG276" s="1679"/>
      <c r="BH276" s="1679"/>
      <c r="BI276" s="1679"/>
      <c r="BJ276" s="1679"/>
      <c r="BK276" s="1679"/>
      <c r="BL276" s="1679"/>
      <c r="BM276" s="1679"/>
      <c r="BN276" s="1679"/>
      <c r="BO276" s="1679"/>
      <c r="BP276" s="1679"/>
      <c r="BQ276" s="1679"/>
      <c r="BR276" s="1679"/>
      <c r="BS276" s="1679"/>
      <c r="BT276" s="1679"/>
      <c r="BU276" s="1679"/>
      <c r="BV276" s="1679"/>
      <c r="BW276" s="1679"/>
      <c r="BX276" s="1679"/>
      <c r="BY276" s="1679"/>
      <c r="BZ276" s="1679"/>
      <c r="CA276" s="1679"/>
      <c r="CB276" s="1679"/>
    </row>
    <row r="277" spans="1:80" s="1276" customFormat="1" x14ac:dyDescent="0.2">
      <c r="D277" s="1276">
        <v>2013</v>
      </c>
      <c r="E277" s="1677">
        <v>194046.89345177455</v>
      </c>
      <c r="F277" s="1678"/>
      <c r="G277" s="1678"/>
      <c r="H277" s="1678"/>
      <c r="I277" s="1678"/>
      <c r="J277" s="1678"/>
      <c r="K277" s="1678">
        <f>E277/5</f>
        <v>38809.378690354912</v>
      </c>
      <c r="L277" s="1678">
        <f>K277</f>
        <v>38809.378690354912</v>
      </c>
      <c r="M277" s="1678">
        <f>L277</f>
        <v>38809.378690354912</v>
      </c>
      <c r="N277" s="1678">
        <f>M277</f>
        <v>38809.378690354912</v>
      </c>
      <c r="O277" s="1678">
        <f>N277</f>
        <v>38809.378690354912</v>
      </c>
      <c r="P277" s="1714"/>
      <c r="Q277" s="1687"/>
      <c r="R277" s="1679"/>
      <c r="S277" s="1679"/>
      <c r="T277" s="1679"/>
      <c r="U277" s="1679"/>
      <c r="V277" s="1679"/>
      <c r="W277" s="1679"/>
      <c r="X277" s="1679"/>
      <c r="Y277" s="1679"/>
      <c r="Z277" s="1679"/>
      <c r="AA277" s="1679"/>
      <c r="AB277" s="1679"/>
      <c r="AC277" s="1679"/>
      <c r="AD277" s="1679"/>
      <c r="AE277" s="1679"/>
      <c r="AF277" s="1679"/>
      <c r="AG277" s="1679"/>
      <c r="AH277" s="1679"/>
      <c r="AI277" s="1679"/>
      <c r="AJ277" s="1679"/>
      <c r="AK277" s="1679"/>
      <c r="AL277" s="1679"/>
      <c r="AM277" s="1679"/>
      <c r="AN277" s="1679"/>
      <c r="AO277" s="1679"/>
      <c r="AP277" s="1679"/>
      <c r="AQ277" s="1679"/>
      <c r="AR277" s="1679"/>
      <c r="AS277" s="1679"/>
      <c r="AT277" s="1679"/>
      <c r="AU277" s="1679"/>
      <c r="AV277" s="1679"/>
      <c r="AW277" s="1679"/>
      <c r="AX277" s="1679"/>
      <c r="AY277" s="1679"/>
      <c r="AZ277" s="1679"/>
      <c r="BA277" s="1679"/>
      <c r="BB277" s="1679"/>
      <c r="BC277" s="1679"/>
      <c r="BD277" s="1679"/>
      <c r="BE277" s="1679"/>
      <c r="BF277" s="1679"/>
      <c r="BG277" s="1679"/>
      <c r="BH277" s="1679"/>
      <c r="BI277" s="1679"/>
      <c r="BJ277" s="1679"/>
      <c r="BK277" s="1679"/>
      <c r="BL277" s="1679"/>
      <c r="BM277" s="1679"/>
      <c r="BN277" s="1679"/>
      <c r="BO277" s="1679"/>
      <c r="BP277" s="1679"/>
      <c r="BQ277" s="1679"/>
      <c r="BR277" s="1679"/>
      <c r="BS277" s="1679"/>
      <c r="BT277" s="1679"/>
      <c r="BU277" s="1679"/>
      <c r="BV277" s="1679"/>
      <c r="BW277" s="1679"/>
      <c r="BX277" s="1679"/>
      <c r="BY277" s="1679"/>
      <c r="BZ277" s="1679"/>
      <c r="CA277" s="1679"/>
      <c r="CB277" s="1679"/>
    </row>
    <row r="278" spans="1:80" s="1276" customFormat="1" x14ac:dyDescent="0.2">
      <c r="D278" s="1276">
        <v>2014</v>
      </c>
      <c r="E278" s="1677">
        <v>9216</v>
      </c>
      <c r="F278" s="1678"/>
      <c r="G278" s="1678"/>
      <c r="H278" s="1678"/>
      <c r="I278" s="1678"/>
      <c r="J278" s="1678"/>
      <c r="K278" s="1678"/>
      <c r="L278" s="1678">
        <f>E278/5</f>
        <v>1843.2</v>
      </c>
      <c r="M278" s="1678">
        <f>L278</f>
        <v>1843.2</v>
      </c>
      <c r="N278" s="1678">
        <f>M278</f>
        <v>1843.2</v>
      </c>
      <c r="O278" s="1678">
        <f>N278</f>
        <v>1843.2</v>
      </c>
      <c r="P278" s="1714">
        <f>O278</f>
        <v>1843.2</v>
      </c>
      <c r="Q278" s="1687"/>
      <c r="R278" s="1679"/>
      <c r="S278" s="1679"/>
      <c r="T278" s="1679"/>
      <c r="U278" s="1679"/>
      <c r="V278" s="1679"/>
      <c r="W278" s="1679"/>
      <c r="X278" s="1679"/>
      <c r="Y278" s="1679"/>
      <c r="Z278" s="1679"/>
      <c r="AA278" s="1679"/>
      <c r="AB278" s="1679"/>
      <c r="AC278" s="1679"/>
      <c r="AD278" s="1679"/>
      <c r="AE278" s="1679"/>
      <c r="AF278" s="1679"/>
      <c r="AG278" s="1679"/>
      <c r="AH278" s="1679"/>
      <c r="AI278" s="1679"/>
      <c r="AJ278" s="1679"/>
      <c r="AK278" s="1679"/>
      <c r="AL278" s="1679"/>
      <c r="AM278" s="1679"/>
      <c r="AN278" s="1679"/>
      <c r="AO278" s="1679"/>
      <c r="AP278" s="1679"/>
      <c r="AQ278" s="1679"/>
      <c r="AR278" s="1679"/>
      <c r="AS278" s="1679"/>
      <c r="AT278" s="1679"/>
      <c r="AU278" s="1679"/>
      <c r="AV278" s="1679"/>
      <c r="AW278" s="1679"/>
      <c r="AX278" s="1679"/>
      <c r="AY278" s="1679"/>
      <c r="AZ278" s="1679"/>
      <c r="BA278" s="1679"/>
      <c r="BB278" s="1679"/>
      <c r="BC278" s="1679"/>
      <c r="BD278" s="1679"/>
      <c r="BE278" s="1679"/>
      <c r="BF278" s="1679"/>
      <c r="BG278" s="1679"/>
      <c r="BH278" s="1679"/>
      <c r="BI278" s="1679"/>
      <c r="BJ278" s="1679"/>
      <c r="BK278" s="1679"/>
      <c r="BL278" s="1679"/>
      <c r="BM278" s="1679"/>
      <c r="BN278" s="1679"/>
      <c r="BO278" s="1679"/>
      <c r="BP278" s="1679"/>
      <c r="BQ278" s="1679"/>
      <c r="BR278" s="1679"/>
      <c r="BS278" s="1679"/>
      <c r="BT278" s="1679"/>
      <c r="BU278" s="1679"/>
      <c r="BV278" s="1679"/>
      <c r="BW278" s="1679"/>
      <c r="BX278" s="1679"/>
      <c r="BY278" s="1679"/>
      <c r="BZ278" s="1679"/>
      <c r="CA278" s="1679"/>
      <c r="CB278" s="1679"/>
    </row>
    <row r="279" spans="1:80" s="1276" customFormat="1" x14ac:dyDescent="0.2">
      <c r="D279" s="1276" t="s">
        <v>69</v>
      </c>
      <c r="E279" s="1677">
        <f>SUM(E274:E278)</f>
        <v>245795.46480501437</v>
      </c>
      <c r="F279" s="1678"/>
      <c r="G279" s="1678"/>
      <c r="H279" s="1678"/>
      <c r="I279" s="1678"/>
      <c r="J279" s="1678"/>
      <c r="K279" s="1678"/>
      <c r="L279" s="1678"/>
      <c r="M279" s="1678"/>
      <c r="N279" s="1678"/>
      <c r="O279" s="1678"/>
      <c r="P279" s="1714"/>
      <c r="Q279" s="1687"/>
      <c r="R279" s="1679"/>
      <c r="S279" s="1679"/>
      <c r="T279" s="1679"/>
      <c r="U279" s="1679"/>
      <c r="V279" s="1679"/>
      <c r="W279" s="1679"/>
      <c r="X279" s="1679"/>
      <c r="Y279" s="1679"/>
      <c r="Z279" s="1679"/>
      <c r="AA279" s="1679"/>
      <c r="AB279" s="1679"/>
      <c r="AC279" s="1679"/>
      <c r="AD279" s="1679"/>
      <c r="AE279" s="1679"/>
      <c r="AF279" s="1679"/>
      <c r="AG279" s="1679"/>
      <c r="AH279" s="1679"/>
      <c r="AI279" s="1679"/>
      <c r="AJ279" s="1679"/>
      <c r="AK279" s="1679"/>
      <c r="AL279" s="1679"/>
      <c r="AM279" s="1679"/>
      <c r="AN279" s="1679"/>
      <c r="AO279" s="1679"/>
      <c r="AP279" s="1679"/>
      <c r="AQ279" s="1679"/>
      <c r="AR279" s="1679"/>
      <c r="AS279" s="1679"/>
      <c r="AT279" s="1679"/>
      <c r="AU279" s="1679"/>
      <c r="AV279" s="1679"/>
      <c r="AW279" s="1679"/>
      <c r="AX279" s="1679"/>
      <c r="AY279" s="1679"/>
      <c r="AZ279" s="1679"/>
      <c r="BA279" s="1679"/>
      <c r="BB279" s="1679"/>
      <c r="BC279" s="1679"/>
      <c r="BD279" s="1679"/>
      <c r="BE279" s="1679"/>
      <c r="BF279" s="1679"/>
      <c r="BG279" s="1679"/>
      <c r="BH279" s="1679"/>
      <c r="BI279" s="1679"/>
      <c r="BJ279" s="1679"/>
      <c r="BK279" s="1679"/>
      <c r="BL279" s="1679"/>
      <c r="BM279" s="1679"/>
      <c r="BN279" s="1679"/>
      <c r="BO279" s="1679"/>
      <c r="BP279" s="1679"/>
      <c r="BQ279" s="1679"/>
      <c r="BR279" s="1679"/>
      <c r="BS279" s="1679"/>
      <c r="BT279" s="1679"/>
      <c r="BU279" s="1679"/>
      <c r="BV279" s="1679"/>
      <c r="BW279" s="1679"/>
      <c r="BX279" s="1679"/>
      <c r="BY279" s="1679"/>
      <c r="BZ279" s="1679"/>
      <c r="CA279" s="1679"/>
      <c r="CB279" s="1679"/>
    </row>
    <row r="280" spans="1:80" x14ac:dyDescent="0.2">
      <c r="A280" s="39"/>
      <c r="B280" s="39"/>
      <c r="C280" s="39"/>
      <c r="D280" s="39"/>
      <c r="E280" s="1671"/>
      <c r="F280" s="66"/>
      <c r="G280" s="66"/>
      <c r="H280" s="66"/>
      <c r="I280" s="66"/>
      <c r="J280" s="66"/>
      <c r="K280" s="66"/>
      <c r="L280" s="66"/>
      <c r="M280" s="66"/>
      <c r="N280" s="66"/>
      <c r="O280" s="66"/>
      <c r="P280" s="1712"/>
      <c r="Q280" s="1685"/>
      <c r="R280" s="288"/>
      <c r="S280" s="288"/>
      <c r="T280" s="288"/>
      <c r="U280" s="288"/>
      <c r="V280" s="288"/>
      <c r="W280" s="288"/>
      <c r="X280" s="288"/>
      <c r="Y280" s="288"/>
      <c r="Z280" s="288"/>
      <c r="AA280" s="288"/>
      <c r="AB280" s="288"/>
      <c r="AC280" s="288"/>
      <c r="AD280" s="288"/>
      <c r="AE280" s="288"/>
      <c r="AF280" s="288"/>
      <c r="AG280" s="288"/>
      <c r="AH280" s="288"/>
      <c r="AI280" s="288"/>
      <c r="AJ280" s="288"/>
      <c r="AK280" s="288"/>
      <c r="AL280" s="288"/>
      <c r="AM280" s="288"/>
      <c r="AN280" s="288"/>
      <c r="AO280" s="288"/>
      <c r="AP280" s="288"/>
      <c r="AQ280" s="288"/>
      <c r="AR280" s="288"/>
      <c r="AS280" s="288"/>
      <c r="AT280" s="288"/>
      <c r="AU280" s="288"/>
      <c r="AV280" s="288"/>
      <c r="AW280" s="288"/>
      <c r="AX280" s="288"/>
      <c r="AY280" s="288"/>
      <c r="AZ280" s="288"/>
      <c r="BA280" s="288"/>
      <c r="BB280" s="288"/>
      <c r="BC280" s="288"/>
      <c r="BD280" s="288"/>
      <c r="BE280" s="288"/>
      <c r="BF280" s="288"/>
      <c r="BG280" s="288"/>
      <c r="BH280" s="288"/>
      <c r="BI280" s="288"/>
      <c r="BJ280" s="288"/>
      <c r="BK280" s="288"/>
      <c r="BL280" s="288"/>
      <c r="BM280" s="288"/>
      <c r="BN280" s="288"/>
      <c r="BO280" s="288"/>
      <c r="BP280" s="288"/>
      <c r="BQ280" s="288"/>
      <c r="BR280" s="288"/>
      <c r="BS280" s="288"/>
      <c r="BT280" s="288"/>
      <c r="BU280" s="288"/>
      <c r="BV280" s="288"/>
      <c r="BW280" s="288"/>
      <c r="BX280" s="288"/>
      <c r="BY280" s="288"/>
      <c r="BZ280" s="288"/>
      <c r="CA280" s="288"/>
      <c r="CB280" s="288"/>
    </row>
    <row r="281" spans="1:80" s="1276" customFormat="1" x14ac:dyDescent="0.2">
      <c r="A281" s="1271" t="s">
        <v>859</v>
      </c>
      <c r="D281" s="1276">
        <v>2010</v>
      </c>
      <c r="E281" s="1677">
        <f>SUM(H281:Q281)</f>
        <v>83570</v>
      </c>
      <c r="F281" s="1678"/>
      <c r="G281" s="1678"/>
      <c r="H281" s="1678">
        <v>16714</v>
      </c>
      <c r="I281" s="1678">
        <f>H281</f>
        <v>16714</v>
      </c>
      <c r="J281" s="1678">
        <f>I281</f>
        <v>16714</v>
      </c>
      <c r="K281" s="1678">
        <f>J281</f>
        <v>16714</v>
      </c>
      <c r="L281" s="1678">
        <f>H281</f>
        <v>16714</v>
      </c>
      <c r="M281" s="1678"/>
      <c r="N281" s="1678"/>
      <c r="O281" s="1678"/>
      <c r="P281" s="1714"/>
      <c r="Q281" s="1687"/>
      <c r="R281" s="1679"/>
      <c r="S281" s="1679"/>
      <c r="T281" s="1679"/>
      <c r="U281" s="1679"/>
      <c r="V281" s="1679"/>
      <c r="W281" s="1679"/>
      <c r="X281" s="1679"/>
      <c r="Y281" s="1679"/>
      <c r="Z281" s="1679"/>
      <c r="AA281" s="1679"/>
      <c r="AB281" s="1679"/>
      <c r="AC281" s="1679"/>
      <c r="AD281" s="1679"/>
      <c r="AE281" s="1679"/>
      <c r="AF281" s="1679"/>
      <c r="AG281" s="1679"/>
      <c r="AH281" s="1679"/>
      <c r="AI281" s="1679"/>
      <c r="AJ281" s="1679"/>
      <c r="AK281" s="1679"/>
      <c r="AL281" s="1679"/>
      <c r="AM281" s="1679"/>
      <c r="AN281" s="1679"/>
      <c r="AO281" s="1679"/>
      <c r="AP281" s="1679"/>
      <c r="AQ281" s="1679"/>
      <c r="AR281" s="1679"/>
      <c r="AS281" s="1679"/>
      <c r="AT281" s="1679"/>
      <c r="AU281" s="1679"/>
      <c r="AV281" s="1679"/>
      <c r="AW281" s="1679"/>
      <c r="AX281" s="1679"/>
      <c r="AY281" s="1679"/>
      <c r="AZ281" s="1679"/>
      <c r="BA281" s="1679"/>
      <c r="BB281" s="1679"/>
      <c r="BC281" s="1679"/>
      <c r="BD281" s="1679"/>
      <c r="BE281" s="1679"/>
      <c r="BF281" s="1679"/>
      <c r="BG281" s="1679"/>
      <c r="BH281" s="1679"/>
      <c r="BI281" s="1679"/>
      <c r="BJ281" s="1679"/>
      <c r="BK281" s="1679"/>
      <c r="BL281" s="1679"/>
      <c r="BM281" s="1679"/>
      <c r="BN281" s="1679"/>
      <c r="BO281" s="1679"/>
      <c r="BP281" s="1679"/>
      <c r="BQ281" s="1679"/>
      <c r="BR281" s="1679"/>
      <c r="BS281" s="1679"/>
      <c r="BT281" s="1679"/>
      <c r="BU281" s="1679"/>
      <c r="BV281" s="1679"/>
      <c r="BW281" s="1679"/>
      <c r="BX281" s="1679"/>
      <c r="BY281" s="1679"/>
      <c r="BZ281" s="1679"/>
      <c r="CA281" s="1679"/>
      <c r="CB281" s="1679"/>
    </row>
    <row r="282" spans="1:80" s="1276" customFormat="1" x14ac:dyDescent="0.2">
      <c r="D282" s="1276">
        <v>2011</v>
      </c>
      <c r="E282" s="1677">
        <f>SUM(H282:Q282)</f>
        <v>93615</v>
      </c>
      <c r="F282" s="1678"/>
      <c r="G282" s="1678"/>
      <c r="H282" s="1678"/>
      <c r="I282" s="1678">
        <v>18723</v>
      </c>
      <c r="J282" s="1678">
        <f>I282</f>
        <v>18723</v>
      </c>
      <c r="K282" s="1678">
        <f>J282</f>
        <v>18723</v>
      </c>
      <c r="L282" s="1678">
        <f>K282</f>
        <v>18723</v>
      </c>
      <c r="M282" s="1678">
        <f>L282</f>
        <v>18723</v>
      </c>
      <c r="N282" s="1678"/>
      <c r="O282" s="1678"/>
      <c r="P282" s="1714"/>
      <c r="Q282" s="1687"/>
      <c r="R282" s="1679"/>
      <c r="S282" s="1679"/>
      <c r="T282" s="1679"/>
      <c r="U282" s="1679"/>
      <c r="V282" s="1679"/>
      <c r="W282" s="1679"/>
      <c r="X282" s="1679"/>
      <c r="Y282" s="1679"/>
      <c r="Z282" s="1679"/>
      <c r="AA282" s="1679"/>
      <c r="AB282" s="1679"/>
      <c r="AC282" s="1679"/>
      <c r="AD282" s="1679"/>
      <c r="AE282" s="1679"/>
      <c r="AF282" s="1679"/>
      <c r="AG282" s="1679"/>
      <c r="AH282" s="1679"/>
      <c r="AI282" s="1679"/>
      <c r="AJ282" s="1679"/>
      <c r="AK282" s="1679"/>
      <c r="AL282" s="1679"/>
      <c r="AM282" s="1679"/>
      <c r="AN282" s="1679"/>
      <c r="AO282" s="1679"/>
      <c r="AP282" s="1679"/>
      <c r="AQ282" s="1679"/>
      <c r="AR282" s="1679"/>
      <c r="AS282" s="1679"/>
      <c r="AT282" s="1679"/>
      <c r="AU282" s="1679"/>
      <c r="AV282" s="1679"/>
      <c r="AW282" s="1679"/>
      <c r="AX282" s="1679"/>
      <c r="AY282" s="1679"/>
      <c r="AZ282" s="1679"/>
      <c r="BA282" s="1679"/>
      <c r="BB282" s="1679"/>
      <c r="BC282" s="1679"/>
      <c r="BD282" s="1679"/>
      <c r="BE282" s="1679"/>
      <c r="BF282" s="1679"/>
      <c r="BG282" s="1679"/>
      <c r="BH282" s="1679"/>
      <c r="BI282" s="1679"/>
      <c r="BJ282" s="1679"/>
      <c r="BK282" s="1679"/>
      <c r="BL282" s="1679"/>
      <c r="BM282" s="1679"/>
      <c r="BN282" s="1679"/>
      <c r="BO282" s="1679"/>
      <c r="BP282" s="1679"/>
      <c r="BQ282" s="1679"/>
      <c r="BR282" s="1679"/>
      <c r="BS282" s="1679"/>
      <c r="BT282" s="1679"/>
      <c r="BU282" s="1679"/>
      <c r="BV282" s="1679"/>
      <c r="BW282" s="1679"/>
      <c r="BX282" s="1679"/>
      <c r="BY282" s="1679"/>
      <c r="BZ282" s="1679"/>
      <c r="CA282" s="1679"/>
      <c r="CB282" s="1679"/>
    </row>
    <row r="283" spans="1:80" s="1276" customFormat="1" x14ac:dyDescent="0.2">
      <c r="D283" s="1276">
        <v>2012</v>
      </c>
      <c r="E283" s="1677">
        <f>SUM(H283:Q283)</f>
        <v>25280</v>
      </c>
      <c r="F283" s="1678"/>
      <c r="G283" s="1678"/>
      <c r="H283" s="1678"/>
      <c r="I283" s="1678"/>
      <c r="J283" s="1678">
        <v>5056</v>
      </c>
      <c r="K283" s="1678">
        <f>J283</f>
        <v>5056</v>
      </c>
      <c r="L283" s="1678">
        <f>K283</f>
        <v>5056</v>
      </c>
      <c r="M283" s="1678">
        <f>L283</f>
        <v>5056</v>
      </c>
      <c r="N283" s="1678">
        <f>M283</f>
        <v>5056</v>
      </c>
      <c r="O283" s="1678"/>
      <c r="P283" s="1714"/>
      <c r="Q283" s="1687"/>
      <c r="R283" s="1679"/>
      <c r="S283" s="1679"/>
      <c r="T283" s="1679"/>
      <c r="U283" s="1679"/>
      <c r="V283" s="1679"/>
      <c r="W283" s="1679"/>
      <c r="X283" s="1679"/>
      <c r="Y283" s="1679"/>
      <c r="Z283" s="1679"/>
      <c r="AA283" s="1679"/>
      <c r="AB283" s="1679"/>
      <c r="AC283" s="1679"/>
      <c r="AD283" s="1679"/>
      <c r="AE283" s="1679"/>
      <c r="AF283" s="1679"/>
      <c r="AG283" s="1679"/>
      <c r="AH283" s="1679"/>
      <c r="AI283" s="1679"/>
      <c r="AJ283" s="1679"/>
      <c r="AK283" s="1679"/>
      <c r="AL283" s="1679"/>
      <c r="AM283" s="1679"/>
      <c r="AN283" s="1679"/>
      <c r="AO283" s="1679"/>
      <c r="AP283" s="1679"/>
      <c r="AQ283" s="1679"/>
      <c r="AR283" s="1679"/>
      <c r="AS283" s="1679"/>
      <c r="AT283" s="1679"/>
      <c r="AU283" s="1679"/>
      <c r="AV283" s="1679"/>
      <c r="AW283" s="1679"/>
      <c r="AX283" s="1679"/>
      <c r="AY283" s="1679"/>
      <c r="AZ283" s="1679"/>
      <c r="BA283" s="1679"/>
      <c r="BB283" s="1679"/>
      <c r="BC283" s="1679"/>
      <c r="BD283" s="1679"/>
      <c r="BE283" s="1679"/>
      <c r="BF283" s="1679"/>
      <c r="BG283" s="1679"/>
      <c r="BH283" s="1679"/>
      <c r="BI283" s="1679"/>
      <c r="BJ283" s="1679"/>
      <c r="BK283" s="1679"/>
      <c r="BL283" s="1679"/>
      <c r="BM283" s="1679"/>
      <c r="BN283" s="1679"/>
      <c r="BO283" s="1679"/>
      <c r="BP283" s="1679"/>
      <c r="BQ283" s="1679"/>
      <c r="BR283" s="1679"/>
      <c r="BS283" s="1679"/>
      <c r="BT283" s="1679"/>
      <c r="BU283" s="1679"/>
      <c r="BV283" s="1679"/>
      <c r="BW283" s="1679"/>
      <c r="BX283" s="1679"/>
      <c r="BY283" s="1679"/>
      <c r="BZ283" s="1679"/>
      <c r="CA283" s="1679"/>
      <c r="CB283" s="1679"/>
    </row>
    <row r="284" spans="1:80" s="1276" customFormat="1" x14ac:dyDescent="0.2">
      <c r="D284" s="1276">
        <v>2013</v>
      </c>
      <c r="E284" s="1677">
        <f>SUM(H284:Q284)</f>
        <v>40815</v>
      </c>
      <c r="F284" s="1678"/>
      <c r="G284" s="1678"/>
      <c r="H284" s="1678"/>
      <c r="I284" s="1678"/>
      <c r="J284" s="1678"/>
      <c r="K284" s="1678">
        <v>8163</v>
      </c>
      <c r="L284" s="1678">
        <f>K284</f>
        <v>8163</v>
      </c>
      <c r="M284" s="1678">
        <f>L284</f>
        <v>8163</v>
      </c>
      <c r="N284" s="1678">
        <f>M284</f>
        <v>8163</v>
      </c>
      <c r="O284" s="1678">
        <f>N284</f>
        <v>8163</v>
      </c>
      <c r="P284" s="1714"/>
      <c r="Q284" s="1687"/>
      <c r="R284" s="1679"/>
      <c r="S284" s="1679"/>
      <c r="T284" s="1679"/>
      <c r="U284" s="1679"/>
      <c r="V284" s="1679"/>
      <c r="W284" s="1679"/>
      <c r="X284" s="1679"/>
      <c r="Y284" s="1679"/>
      <c r="Z284" s="1679"/>
      <c r="AA284" s="1679"/>
      <c r="AB284" s="1679"/>
      <c r="AC284" s="1679"/>
      <c r="AD284" s="1679"/>
      <c r="AE284" s="1679"/>
      <c r="AF284" s="1679"/>
      <c r="AG284" s="1679"/>
      <c r="AH284" s="1679"/>
      <c r="AI284" s="1679"/>
      <c r="AJ284" s="1679"/>
      <c r="AK284" s="1679"/>
      <c r="AL284" s="1679"/>
      <c r="AM284" s="1679"/>
      <c r="AN284" s="1679"/>
      <c r="AO284" s="1679"/>
      <c r="AP284" s="1679"/>
      <c r="AQ284" s="1679"/>
      <c r="AR284" s="1679"/>
      <c r="AS284" s="1679"/>
      <c r="AT284" s="1679"/>
      <c r="AU284" s="1679"/>
      <c r="AV284" s="1679"/>
      <c r="AW284" s="1679"/>
      <c r="AX284" s="1679"/>
      <c r="AY284" s="1679"/>
      <c r="AZ284" s="1679"/>
      <c r="BA284" s="1679"/>
      <c r="BB284" s="1679"/>
      <c r="BC284" s="1679"/>
      <c r="BD284" s="1679"/>
      <c r="BE284" s="1679"/>
      <c r="BF284" s="1679"/>
      <c r="BG284" s="1679"/>
      <c r="BH284" s="1679"/>
      <c r="BI284" s="1679"/>
      <c r="BJ284" s="1679"/>
      <c r="BK284" s="1679"/>
      <c r="BL284" s="1679"/>
      <c r="BM284" s="1679"/>
      <c r="BN284" s="1679"/>
      <c r="BO284" s="1679"/>
      <c r="BP284" s="1679"/>
      <c r="BQ284" s="1679"/>
      <c r="BR284" s="1679"/>
      <c r="BS284" s="1679"/>
      <c r="BT284" s="1679"/>
      <c r="BU284" s="1679"/>
      <c r="BV284" s="1679"/>
      <c r="BW284" s="1679"/>
      <c r="BX284" s="1679"/>
      <c r="BY284" s="1679"/>
      <c r="BZ284" s="1679"/>
      <c r="CA284" s="1679"/>
      <c r="CB284" s="1679"/>
    </row>
    <row r="285" spans="1:80" s="1276" customFormat="1" x14ac:dyDescent="0.2">
      <c r="D285" s="1276">
        <v>2014</v>
      </c>
      <c r="E285" s="1677">
        <f>SUM(H285:Q285)</f>
        <v>0</v>
      </c>
      <c r="F285" s="1678"/>
      <c r="G285" s="1678"/>
      <c r="H285" s="1678"/>
      <c r="I285" s="1678"/>
      <c r="J285" s="1678"/>
      <c r="K285" s="1678"/>
      <c r="L285" s="1678">
        <v>0</v>
      </c>
      <c r="M285" s="1678">
        <f>L285</f>
        <v>0</v>
      </c>
      <c r="N285" s="1678">
        <f>M285</f>
        <v>0</v>
      </c>
      <c r="O285" s="1678">
        <f>N285</f>
        <v>0</v>
      </c>
      <c r="P285" s="1714">
        <f>O285</f>
        <v>0</v>
      </c>
      <c r="Q285" s="1687"/>
      <c r="R285" s="1679"/>
      <c r="S285" s="1679"/>
      <c r="T285" s="1679"/>
      <c r="U285" s="1679"/>
      <c r="V285" s="1679"/>
      <c r="W285" s="1679"/>
      <c r="X285" s="1679"/>
      <c r="Y285" s="1679"/>
      <c r="Z285" s="1679"/>
      <c r="AA285" s="1679"/>
      <c r="AB285" s="1679"/>
      <c r="AC285" s="1679"/>
      <c r="AD285" s="1679"/>
      <c r="AE285" s="1679"/>
      <c r="AF285" s="1679"/>
      <c r="AG285" s="1679"/>
      <c r="AH285" s="1679"/>
      <c r="AI285" s="1679"/>
      <c r="AJ285" s="1679"/>
      <c r="AK285" s="1679"/>
      <c r="AL285" s="1679"/>
      <c r="AM285" s="1679"/>
      <c r="AN285" s="1679"/>
      <c r="AO285" s="1679"/>
      <c r="AP285" s="1679"/>
      <c r="AQ285" s="1679"/>
      <c r="AR285" s="1679"/>
      <c r="AS285" s="1679"/>
      <c r="AT285" s="1679"/>
      <c r="AU285" s="1679"/>
      <c r="AV285" s="1679"/>
      <c r="AW285" s="1679"/>
      <c r="AX285" s="1679"/>
      <c r="AY285" s="1679"/>
      <c r="AZ285" s="1679"/>
      <c r="BA285" s="1679"/>
      <c r="BB285" s="1679"/>
      <c r="BC285" s="1679"/>
      <c r="BD285" s="1679"/>
      <c r="BE285" s="1679"/>
      <c r="BF285" s="1679"/>
      <c r="BG285" s="1679"/>
      <c r="BH285" s="1679"/>
      <c r="BI285" s="1679"/>
      <c r="BJ285" s="1679"/>
      <c r="BK285" s="1679"/>
      <c r="BL285" s="1679"/>
      <c r="BM285" s="1679"/>
      <c r="BN285" s="1679"/>
      <c r="BO285" s="1679"/>
      <c r="BP285" s="1679"/>
      <c r="BQ285" s="1679"/>
      <c r="BR285" s="1679"/>
      <c r="BS285" s="1679"/>
      <c r="BT285" s="1679"/>
      <c r="BU285" s="1679"/>
      <c r="BV285" s="1679"/>
      <c r="BW285" s="1679"/>
      <c r="BX285" s="1679"/>
      <c r="BY285" s="1679"/>
      <c r="BZ285" s="1679"/>
      <c r="CA285" s="1679"/>
      <c r="CB285" s="1679"/>
    </row>
    <row r="286" spans="1:80" s="1276" customFormat="1" x14ac:dyDescent="0.2">
      <c r="D286" s="1276" t="s">
        <v>69</v>
      </c>
      <c r="E286" s="1677">
        <f>SUM(E281:E285)</f>
        <v>243280</v>
      </c>
      <c r="F286" s="1678"/>
      <c r="G286" s="1678"/>
      <c r="H286" s="1678"/>
      <c r="I286" s="1678"/>
      <c r="J286" s="1678"/>
      <c r="K286" s="1678"/>
      <c r="L286" s="1678"/>
      <c r="M286" s="1678"/>
      <c r="N286" s="1678"/>
      <c r="O286" s="1678"/>
      <c r="P286" s="1714"/>
      <c r="Q286" s="1687"/>
      <c r="R286" s="1679"/>
      <c r="S286" s="1679"/>
      <c r="T286" s="1679"/>
      <c r="U286" s="1679"/>
      <c r="V286" s="1679"/>
      <c r="W286" s="1679"/>
      <c r="X286" s="1679"/>
      <c r="Y286" s="1679"/>
      <c r="Z286" s="1679"/>
      <c r="AA286" s="1679"/>
      <c r="AB286" s="1679"/>
      <c r="AC286" s="1679"/>
      <c r="AD286" s="1679"/>
      <c r="AE286" s="1679"/>
      <c r="AF286" s="1679"/>
      <c r="AG286" s="1679"/>
      <c r="AH286" s="1679"/>
      <c r="AI286" s="1679"/>
      <c r="AJ286" s="1679"/>
      <c r="AK286" s="1679"/>
      <c r="AL286" s="1679"/>
      <c r="AM286" s="1679"/>
      <c r="AN286" s="1679"/>
      <c r="AO286" s="1679"/>
      <c r="AP286" s="1679"/>
      <c r="AQ286" s="1679"/>
      <c r="AR286" s="1679"/>
      <c r="AS286" s="1679"/>
      <c r="AT286" s="1679"/>
      <c r="AU286" s="1679"/>
      <c r="AV286" s="1679"/>
      <c r="AW286" s="1679"/>
      <c r="AX286" s="1679"/>
      <c r="AY286" s="1679"/>
      <c r="AZ286" s="1679"/>
      <c r="BA286" s="1679"/>
      <c r="BB286" s="1679"/>
      <c r="BC286" s="1679"/>
      <c r="BD286" s="1679"/>
      <c r="BE286" s="1679"/>
      <c r="BF286" s="1679"/>
      <c r="BG286" s="1679"/>
      <c r="BH286" s="1679"/>
      <c r="BI286" s="1679"/>
      <c r="BJ286" s="1679"/>
      <c r="BK286" s="1679"/>
      <c r="BL286" s="1679"/>
      <c r="BM286" s="1679"/>
      <c r="BN286" s="1679"/>
      <c r="BO286" s="1679"/>
      <c r="BP286" s="1679"/>
      <c r="BQ286" s="1679"/>
      <c r="BR286" s="1679"/>
      <c r="BS286" s="1679"/>
      <c r="BT286" s="1679"/>
      <c r="BU286" s="1679"/>
      <c r="BV286" s="1679"/>
      <c r="BW286" s="1679"/>
      <c r="BX286" s="1679"/>
      <c r="BY286" s="1679"/>
      <c r="BZ286" s="1679"/>
      <c r="CA286" s="1679"/>
      <c r="CB286" s="1679"/>
    </row>
    <row r="287" spans="1:80" x14ac:dyDescent="0.2">
      <c r="A287" s="39"/>
      <c r="B287" s="39"/>
      <c r="C287" s="39"/>
      <c r="D287" s="39"/>
      <c r="E287" s="1671"/>
      <c r="F287" s="66"/>
      <c r="G287" s="66"/>
      <c r="H287" s="66"/>
      <c r="I287" s="66"/>
      <c r="J287" s="66"/>
      <c r="K287" s="66"/>
      <c r="L287" s="66"/>
      <c r="M287" s="66"/>
      <c r="N287" s="66"/>
      <c r="O287" s="66"/>
      <c r="P287" s="1712"/>
      <c r="Q287" s="1685"/>
      <c r="R287" s="288"/>
      <c r="S287" s="288"/>
      <c r="T287" s="288"/>
      <c r="U287" s="288"/>
      <c r="V287" s="288"/>
      <c r="W287" s="288"/>
      <c r="X287" s="288"/>
      <c r="Y287" s="288"/>
      <c r="Z287" s="288"/>
      <c r="AA287" s="288"/>
      <c r="AB287" s="288"/>
      <c r="AC287" s="288"/>
      <c r="AD287" s="288"/>
      <c r="AE287" s="288"/>
      <c r="AF287" s="288"/>
      <c r="AG287" s="288"/>
      <c r="AH287" s="288"/>
      <c r="AI287" s="288"/>
      <c r="AJ287" s="288"/>
      <c r="AK287" s="288"/>
      <c r="AL287" s="288"/>
      <c r="AM287" s="288"/>
      <c r="AN287" s="288"/>
      <c r="AO287" s="288"/>
      <c r="AP287" s="288"/>
      <c r="AQ287" s="288"/>
      <c r="AR287" s="288"/>
      <c r="AS287" s="288"/>
      <c r="AT287" s="288"/>
      <c r="AU287" s="288"/>
      <c r="AV287" s="288"/>
      <c r="AW287" s="288"/>
      <c r="AX287" s="288"/>
      <c r="AY287" s="288"/>
      <c r="AZ287" s="288"/>
      <c r="BA287" s="288"/>
      <c r="BB287" s="288"/>
      <c r="BC287" s="288"/>
      <c r="BD287" s="288"/>
      <c r="BE287" s="288"/>
      <c r="BF287" s="288"/>
      <c r="BG287" s="288"/>
      <c r="BH287" s="288"/>
      <c r="BI287" s="288"/>
      <c r="BJ287" s="288"/>
      <c r="BK287" s="288"/>
      <c r="BL287" s="288"/>
      <c r="BM287" s="288"/>
      <c r="BN287" s="288"/>
      <c r="BO287" s="288"/>
      <c r="BP287" s="288"/>
      <c r="BQ287" s="288"/>
      <c r="BR287" s="288"/>
      <c r="BS287" s="288"/>
      <c r="BT287" s="288"/>
      <c r="BU287" s="288"/>
      <c r="BV287" s="288"/>
      <c r="BW287" s="288"/>
      <c r="BX287" s="288"/>
      <c r="BY287" s="288"/>
      <c r="BZ287" s="288"/>
      <c r="CA287" s="288"/>
      <c r="CB287" s="288"/>
    </row>
    <row r="288" spans="1:80" s="1271" customFormat="1" x14ac:dyDescent="0.2">
      <c r="A288" s="1271" t="s">
        <v>911</v>
      </c>
      <c r="D288" s="1282">
        <v>2010</v>
      </c>
      <c r="E288" s="2155">
        <v>19418.3</v>
      </c>
      <c r="F288" s="2156"/>
      <c r="G288" s="2156"/>
      <c r="H288" s="2156">
        <f>E288/5</f>
        <v>3883.66</v>
      </c>
      <c r="I288" s="2156">
        <f>H288</f>
        <v>3883.66</v>
      </c>
      <c r="J288" s="2156">
        <f>I288</f>
        <v>3883.66</v>
      </c>
      <c r="K288" s="2156">
        <f>J288</f>
        <v>3883.66</v>
      </c>
      <c r="L288" s="2156">
        <f>H288</f>
        <v>3883.66</v>
      </c>
      <c r="M288" s="2156"/>
      <c r="N288" s="2156"/>
      <c r="O288" s="2156"/>
      <c r="P288" s="2157"/>
      <c r="Q288" s="2158"/>
      <c r="R288" s="2001"/>
      <c r="S288" s="2001"/>
      <c r="T288" s="2001"/>
      <c r="U288" s="2001"/>
      <c r="V288" s="2001"/>
      <c r="W288" s="2001"/>
      <c r="X288" s="2001"/>
      <c r="Y288" s="2001"/>
      <c r="Z288" s="2001"/>
      <c r="AA288" s="2001"/>
      <c r="AB288" s="2001"/>
      <c r="AC288" s="2001"/>
      <c r="AD288" s="2001"/>
      <c r="AE288" s="2001"/>
      <c r="AF288" s="2001"/>
      <c r="AG288" s="2001"/>
      <c r="AH288" s="2001"/>
      <c r="AI288" s="2001"/>
      <c r="AJ288" s="2001"/>
      <c r="AK288" s="2001"/>
      <c r="AL288" s="2001"/>
      <c r="AM288" s="2001"/>
      <c r="AN288" s="2001"/>
      <c r="AO288" s="2001"/>
      <c r="AP288" s="2001"/>
      <c r="AQ288" s="2001"/>
      <c r="AR288" s="2001"/>
      <c r="AS288" s="2001"/>
      <c r="AT288" s="2001"/>
      <c r="AU288" s="2001"/>
      <c r="AV288" s="2001"/>
      <c r="AW288" s="2001"/>
      <c r="AX288" s="2001"/>
      <c r="AY288" s="2001"/>
      <c r="AZ288" s="2001"/>
      <c r="BA288" s="2001"/>
      <c r="BB288" s="2001"/>
      <c r="BC288" s="2001"/>
      <c r="BD288" s="2001"/>
      <c r="BE288" s="2001"/>
      <c r="BF288" s="2001"/>
      <c r="BG288" s="2001"/>
      <c r="BH288" s="2001"/>
      <c r="BI288" s="2001"/>
      <c r="BJ288" s="2001"/>
      <c r="BK288" s="2001"/>
      <c r="BL288" s="2001"/>
      <c r="BM288" s="2001"/>
      <c r="BN288" s="2001"/>
      <c r="BO288" s="2001"/>
      <c r="BP288" s="2001"/>
      <c r="BQ288" s="2001"/>
      <c r="BR288" s="2001"/>
      <c r="BS288" s="2001"/>
      <c r="BT288" s="2001"/>
      <c r="BU288" s="2001"/>
      <c r="BV288" s="2001"/>
      <c r="BW288" s="2001"/>
      <c r="BX288" s="2001"/>
      <c r="BY288" s="2001"/>
      <c r="BZ288" s="2001"/>
      <c r="CA288" s="2001"/>
      <c r="CB288" s="2001"/>
    </row>
    <row r="289" spans="1:80" s="1271" customFormat="1" x14ac:dyDescent="0.2">
      <c r="D289" s="1282">
        <v>2011</v>
      </c>
      <c r="E289" s="2155">
        <v>68181.3</v>
      </c>
      <c r="F289" s="2156"/>
      <c r="G289" s="2156"/>
      <c r="H289" s="2156"/>
      <c r="I289" s="2156">
        <f>E289/5</f>
        <v>13636.26</v>
      </c>
      <c r="J289" s="2156">
        <f>I289</f>
        <v>13636.26</v>
      </c>
      <c r="K289" s="2156">
        <f>J289</f>
        <v>13636.26</v>
      </c>
      <c r="L289" s="2156">
        <f>K289</f>
        <v>13636.26</v>
      </c>
      <c r="M289" s="2156">
        <f>L289</f>
        <v>13636.26</v>
      </c>
      <c r="N289" s="2156"/>
      <c r="O289" s="2156"/>
      <c r="P289" s="2157"/>
      <c r="Q289" s="2158"/>
      <c r="R289" s="2001"/>
      <c r="S289" s="2001"/>
      <c r="T289" s="2001"/>
      <c r="U289" s="2001"/>
      <c r="V289" s="2001"/>
      <c r="W289" s="2001"/>
      <c r="X289" s="2001"/>
      <c r="Y289" s="2001"/>
      <c r="Z289" s="2001"/>
      <c r="AA289" s="2001"/>
      <c r="AB289" s="2001"/>
      <c r="AC289" s="2001"/>
      <c r="AD289" s="2001"/>
      <c r="AE289" s="2001"/>
      <c r="AF289" s="2001"/>
      <c r="AG289" s="2001"/>
      <c r="AH289" s="2001"/>
      <c r="AI289" s="2001"/>
      <c r="AJ289" s="2001"/>
      <c r="AK289" s="2001"/>
      <c r="AL289" s="2001"/>
      <c r="AM289" s="2001"/>
      <c r="AN289" s="2001"/>
      <c r="AO289" s="2001"/>
      <c r="AP289" s="2001"/>
      <c r="AQ289" s="2001"/>
      <c r="AR289" s="2001"/>
      <c r="AS289" s="2001"/>
      <c r="AT289" s="2001"/>
      <c r="AU289" s="2001"/>
      <c r="AV289" s="2001"/>
      <c r="AW289" s="2001"/>
      <c r="AX289" s="2001"/>
      <c r="AY289" s="2001"/>
      <c r="AZ289" s="2001"/>
      <c r="BA289" s="2001"/>
      <c r="BB289" s="2001"/>
      <c r="BC289" s="2001"/>
      <c r="BD289" s="2001"/>
      <c r="BE289" s="2001"/>
      <c r="BF289" s="2001"/>
      <c r="BG289" s="2001"/>
      <c r="BH289" s="2001"/>
      <c r="BI289" s="2001"/>
      <c r="BJ289" s="2001"/>
      <c r="BK289" s="2001"/>
      <c r="BL289" s="2001"/>
      <c r="BM289" s="2001"/>
      <c r="BN289" s="2001"/>
      <c r="BO289" s="2001"/>
      <c r="BP289" s="2001"/>
      <c r="BQ289" s="2001"/>
      <c r="BR289" s="2001"/>
      <c r="BS289" s="2001"/>
      <c r="BT289" s="2001"/>
      <c r="BU289" s="2001"/>
      <c r="BV289" s="2001"/>
      <c r="BW289" s="2001"/>
      <c r="BX289" s="2001"/>
      <c r="BY289" s="2001"/>
      <c r="BZ289" s="2001"/>
      <c r="CA289" s="2001"/>
      <c r="CB289" s="2001"/>
    </row>
    <row r="290" spans="1:80" s="1271" customFormat="1" x14ac:dyDescent="0.2">
      <c r="D290" s="1282">
        <v>2012</v>
      </c>
      <c r="E290" s="2155">
        <v>38696.400000000001</v>
      </c>
      <c r="F290" s="2156"/>
      <c r="G290" s="2156"/>
      <c r="H290" s="2156"/>
      <c r="I290" s="2156"/>
      <c r="J290" s="2156">
        <f>E290/5</f>
        <v>7739.2800000000007</v>
      </c>
      <c r="K290" s="2156">
        <f>J290</f>
        <v>7739.2800000000007</v>
      </c>
      <c r="L290" s="2156">
        <f>K290</f>
        <v>7739.2800000000007</v>
      </c>
      <c r="M290" s="2156">
        <f>L290</f>
        <v>7739.2800000000007</v>
      </c>
      <c r="N290" s="2156">
        <f>M290</f>
        <v>7739.2800000000007</v>
      </c>
      <c r="O290" s="2156"/>
      <c r="P290" s="2157"/>
      <c r="Q290" s="2158"/>
      <c r="R290" s="2001"/>
      <c r="S290" s="2001"/>
      <c r="T290" s="2001"/>
      <c r="U290" s="2001"/>
      <c r="V290" s="2001"/>
      <c r="W290" s="2001"/>
      <c r="X290" s="2001"/>
      <c r="Y290" s="2001"/>
      <c r="Z290" s="2001"/>
      <c r="AA290" s="2001"/>
      <c r="AB290" s="2001"/>
      <c r="AC290" s="2001"/>
      <c r="AD290" s="2001"/>
      <c r="AE290" s="2001"/>
      <c r="AF290" s="2001"/>
      <c r="AG290" s="2001"/>
      <c r="AH290" s="2001"/>
      <c r="AI290" s="2001"/>
      <c r="AJ290" s="2001"/>
      <c r="AK290" s="2001"/>
      <c r="AL290" s="2001"/>
      <c r="AM290" s="2001"/>
      <c r="AN290" s="2001"/>
      <c r="AO290" s="2001"/>
      <c r="AP290" s="2001"/>
      <c r="AQ290" s="2001"/>
      <c r="AR290" s="2001"/>
      <c r="AS290" s="2001"/>
      <c r="AT290" s="2001"/>
      <c r="AU290" s="2001"/>
      <c r="AV290" s="2001"/>
      <c r="AW290" s="2001"/>
      <c r="AX290" s="2001"/>
      <c r="AY290" s="2001"/>
      <c r="AZ290" s="2001"/>
      <c r="BA290" s="2001"/>
      <c r="BB290" s="2001"/>
      <c r="BC290" s="2001"/>
      <c r="BD290" s="2001"/>
      <c r="BE290" s="2001"/>
      <c r="BF290" s="2001"/>
      <c r="BG290" s="2001"/>
      <c r="BH290" s="2001"/>
      <c r="BI290" s="2001"/>
      <c r="BJ290" s="2001"/>
      <c r="BK290" s="2001"/>
      <c r="BL290" s="2001"/>
      <c r="BM290" s="2001"/>
      <c r="BN290" s="2001"/>
      <c r="BO290" s="2001"/>
      <c r="BP290" s="2001"/>
      <c r="BQ290" s="2001"/>
      <c r="BR290" s="2001"/>
      <c r="BS290" s="2001"/>
      <c r="BT290" s="2001"/>
      <c r="BU290" s="2001"/>
      <c r="BV290" s="2001"/>
      <c r="BW290" s="2001"/>
      <c r="BX290" s="2001"/>
      <c r="BY290" s="2001"/>
      <c r="BZ290" s="2001"/>
      <c r="CA290" s="2001"/>
      <c r="CB290" s="2001"/>
    </row>
    <row r="291" spans="1:80" s="1271" customFormat="1" x14ac:dyDescent="0.2">
      <c r="D291" s="1282">
        <v>2013</v>
      </c>
      <c r="E291" s="2155">
        <v>0</v>
      </c>
      <c r="F291" s="2156"/>
      <c r="G291" s="2156"/>
      <c r="H291" s="2156"/>
      <c r="I291" s="2156"/>
      <c r="J291" s="2156"/>
      <c r="K291" s="2156">
        <f>E291/5</f>
        <v>0</v>
      </c>
      <c r="L291" s="2156">
        <f>K291</f>
        <v>0</v>
      </c>
      <c r="M291" s="2156">
        <f>L291</f>
        <v>0</v>
      </c>
      <c r="N291" s="2156">
        <f>M291</f>
        <v>0</v>
      </c>
      <c r="O291" s="2156">
        <f>N291</f>
        <v>0</v>
      </c>
      <c r="P291" s="2157"/>
      <c r="Q291" s="2158"/>
      <c r="R291" s="2001"/>
      <c r="S291" s="2001"/>
      <c r="T291" s="2001"/>
      <c r="U291" s="2001"/>
      <c r="V291" s="2001"/>
      <c r="W291" s="2001"/>
      <c r="X291" s="2001"/>
      <c r="Y291" s="2001"/>
      <c r="Z291" s="2001"/>
      <c r="AA291" s="2001"/>
      <c r="AB291" s="2001"/>
      <c r="AC291" s="2001"/>
      <c r="AD291" s="2001"/>
      <c r="AE291" s="2001"/>
      <c r="AF291" s="2001"/>
      <c r="AG291" s="2001"/>
      <c r="AH291" s="2001"/>
      <c r="AI291" s="2001"/>
      <c r="AJ291" s="2001"/>
      <c r="AK291" s="2001"/>
      <c r="AL291" s="2001"/>
      <c r="AM291" s="2001"/>
      <c r="AN291" s="2001"/>
      <c r="AO291" s="2001"/>
      <c r="AP291" s="2001"/>
      <c r="AQ291" s="2001"/>
      <c r="AR291" s="2001"/>
      <c r="AS291" s="2001"/>
      <c r="AT291" s="2001"/>
      <c r="AU291" s="2001"/>
      <c r="AV291" s="2001"/>
      <c r="AW291" s="2001"/>
      <c r="AX291" s="2001"/>
      <c r="AY291" s="2001"/>
      <c r="AZ291" s="2001"/>
      <c r="BA291" s="2001"/>
      <c r="BB291" s="2001"/>
      <c r="BC291" s="2001"/>
      <c r="BD291" s="2001"/>
      <c r="BE291" s="2001"/>
      <c r="BF291" s="2001"/>
      <c r="BG291" s="2001"/>
      <c r="BH291" s="2001"/>
      <c r="BI291" s="2001"/>
      <c r="BJ291" s="2001"/>
      <c r="BK291" s="2001"/>
      <c r="BL291" s="2001"/>
      <c r="BM291" s="2001"/>
      <c r="BN291" s="2001"/>
      <c r="BO291" s="2001"/>
      <c r="BP291" s="2001"/>
      <c r="BQ291" s="2001"/>
      <c r="BR291" s="2001"/>
      <c r="BS291" s="2001"/>
      <c r="BT291" s="2001"/>
      <c r="BU291" s="2001"/>
      <c r="BV291" s="2001"/>
      <c r="BW291" s="2001"/>
      <c r="BX291" s="2001"/>
      <c r="BY291" s="2001"/>
      <c r="BZ291" s="2001"/>
      <c r="CA291" s="2001"/>
      <c r="CB291" s="2001"/>
    </row>
    <row r="292" spans="1:80" s="1271" customFormat="1" x14ac:dyDescent="0.2">
      <c r="D292" s="1282">
        <v>2014</v>
      </c>
      <c r="E292" s="2155">
        <v>0</v>
      </c>
      <c r="F292" s="2156"/>
      <c r="G292" s="2156"/>
      <c r="H292" s="2156"/>
      <c r="I292" s="2156"/>
      <c r="J292" s="2156"/>
      <c r="K292" s="2156"/>
      <c r="L292" s="2156">
        <f>E292/5</f>
        <v>0</v>
      </c>
      <c r="M292" s="2156">
        <f>L292</f>
        <v>0</v>
      </c>
      <c r="N292" s="2156">
        <f>M292</f>
        <v>0</v>
      </c>
      <c r="O292" s="2156">
        <f>N292</f>
        <v>0</v>
      </c>
      <c r="P292" s="2157">
        <f>O292</f>
        <v>0</v>
      </c>
      <c r="Q292" s="2158"/>
      <c r="R292" s="2001"/>
      <c r="S292" s="2001"/>
      <c r="T292" s="2001"/>
      <c r="U292" s="2001"/>
      <c r="V292" s="2001"/>
      <c r="W292" s="2001"/>
      <c r="X292" s="2001"/>
      <c r="Y292" s="2001"/>
      <c r="Z292" s="2001"/>
      <c r="AA292" s="2001"/>
      <c r="AB292" s="2001"/>
      <c r="AC292" s="2001"/>
      <c r="AD292" s="2001"/>
      <c r="AE292" s="2001"/>
      <c r="AF292" s="2001"/>
      <c r="AG292" s="2001"/>
      <c r="AH292" s="2001"/>
      <c r="AI292" s="2001"/>
      <c r="AJ292" s="2001"/>
      <c r="AK292" s="2001"/>
      <c r="AL292" s="2001"/>
      <c r="AM292" s="2001"/>
      <c r="AN292" s="2001"/>
      <c r="AO292" s="2001"/>
      <c r="AP292" s="2001"/>
      <c r="AQ292" s="2001"/>
      <c r="AR292" s="2001"/>
      <c r="AS292" s="2001"/>
      <c r="AT292" s="2001"/>
      <c r="AU292" s="2001"/>
      <c r="AV292" s="2001"/>
      <c r="AW292" s="2001"/>
      <c r="AX292" s="2001"/>
      <c r="AY292" s="2001"/>
      <c r="AZ292" s="2001"/>
      <c r="BA292" s="2001"/>
      <c r="BB292" s="2001"/>
      <c r="BC292" s="2001"/>
      <c r="BD292" s="2001"/>
      <c r="BE292" s="2001"/>
      <c r="BF292" s="2001"/>
      <c r="BG292" s="2001"/>
      <c r="BH292" s="2001"/>
      <c r="BI292" s="2001"/>
      <c r="BJ292" s="2001"/>
      <c r="BK292" s="2001"/>
      <c r="BL292" s="2001"/>
      <c r="BM292" s="2001"/>
      <c r="BN292" s="2001"/>
      <c r="BO292" s="2001"/>
      <c r="BP292" s="2001"/>
      <c r="BQ292" s="2001"/>
      <c r="BR292" s="2001"/>
      <c r="BS292" s="2001"/>
      <c r="BT292" s="2001"/>
      <c r="BU292" s="2001"/>
      <c r="BV292" s="2001"/>
      <c r="BW292" s="2001"/>
      <c r="BX292" s="2001"/>
      <c r="BY292" s="2001"/>
      <c r="BZ292" s="2001"/>
      <c r="CA292" s="2001"/>
      <c r="CB292" s="2001"/>
    </row>
    <row r="293" spans="1:80" s="1271" customFormat="1" x14ac:dyDescent="0.2">
      <c r="D293" s="1282" t="s">
        <v>69</v>
      </c>
      <c r="E293" s="2155">
        <f>SUM(E288:E292)</f>
        <v>126296</v>
      </c>
      <c r="F293" s="2156"/>
      <c r="G293" s="2156"/>
      <c r="H293" s="2156"/>
      <c r="I293" s="2156"/>
      <c r="J293" s="2156"/>
      <c r="K293" s="2156"/>
      <c r="L293" s="2156"/>
      <c r="M293" s="2156"/>
      <c r="N293" s="2156"/>
      <c r="O293" s="2156"/>
      <c r="P293" s="2157"/>
      <c r="Q293" s="2158"/>
      <c r="R293" s="2001"/>
      <c r="S293" s="2001"/>
      <c r="T293" s="2001"/>
      <c r="U293" s="2001"/>
      <c r="V293" s="2001"/>
      <c r="W293" s="2001"/>
      <c r="X293" s="2001"/>
      <c r="Y293" s="2001"/>
      <c r="Z293" s="2001"/>
      <c r="AA293" s="2001"/>
      <c r="AB293" s="2001"/>
      <c r="AC293" s="2001"/>
      <c r="AD293" s="2001"/>
      <c r="AE293" s="2001"/>
      <c r="AF293" s="2001"/>
      <c r="AG293" s="2001"/>
      <c r="AH293" s="2001"/>
      <c r="AI293" s="2001"/>
      <c r="AJ293" s="2001"/>
      <c r="AK293" s="2001"/>
      <c r="AL293" s="2001"/>
      <c r="AM293" s="2001"/>
      <c r="AN293" s="2001"/>
      <c r="AO293" s="2001"/>
      <c r="AP293" s="2001"/>
      <c r="AQ293" s="2001"/>
      <c r="AR293" s="2001"/>
      <c r="AS293" s="2001"/>
      <c r="AT293" s="2001"/>
      <c r="AU293" s="2001"/>
      <c r="AV293" s="2001"/>
      <c r="AW293" s="2001"/>
      <c r="AX293" s="2001"/>
      <c r="AY293" s="2001"/>
      <c r="AZ293" s="2001"/>
      <c r="BA293" s="2001"/>
      <c r="BB293" s="2001"/>
      <c r="BC293" s="2001"/>
      <c r="BD293" s="2001"/>
      <c r="BE293" s="2001"/>
      <c r="BF293" s="2001"/>
      <c r="BG293" s="2001"/>
      <c r="BH293" s="2001"/>
      <c r="BI293" s="2001"/>
      <c r="BJ293" s="2001"/>
      <c r="BK293" s="2001"/>
      <c r="BL293" s="2001"/>
      <c r="BM293" s="2001"/>
      <c r="BN293" s="2001"/>
      <c r="BO293" s="2001"/>
      <c r="BP293" s="2001"/>
      <c r="BQ293" s="2001"/>
      <c r="BR293" s="2001"/>
      <c r="BS293" s="2001"/>
      <c r="BT293" s="2001"/>
      <c r="BU293" s="2001"/>
      <c r="BV293" s="2001"/>
      <c r="BW293" s="2001"/>
      <c r="BX293" s="2001"/>
      <c r="BY293" s="2001"/>
      <c r="BZ293" s="2001"/>
      <c r="CA293" s="2001"/>
      <c r="CB293" s="2001"/>
    </row>
    <row r="294" spans="1:80" x14ac:dyDescent="0.2">
      <c r="A294" s="39"/>
      <c r="B294" s="39"/>
      <c r="C294" s="39"/>
      <c r="D294" s="431"/>
      <c r="E294" s="2159"/>
      <c r="F294" s="2160"/>
      <c r="G294" s="2160"/>
      <c r="H294" s="2160"/>
      <c r="I294" s="2160"/>
      <c r="J294" s="2160"/>
      <c r="K294" s="2160"/>
      <c r="L294" s="2160"/>
      <c r="M294" s="2160"/>
      <c r="N294" s="2160"/>
      <c r="O294" s="2160"/>
      <c r="P294" s="2161"/>
      <c r="Q294" s="2162"/>
      <c r="R294" s="288"/>
      <c r="S294" s="288"/>
      <c r="T294" s="288"/>
      <c r="U294" s="288"/>
      <c r="V294" s="288"/>
      <c r="W294" s="288"/>
      <c r="X294" s="288"/>
      <c r="Y294" s="288"/>
      <c r="Z294" s="288"/>
      <c r="AA294" s="288"/>
      <c r="AB294" s="288"/>
      <c r="AC294" s="288"/>
      <c r="AD294" s="288"/>
      <c r="AE294" s="288"/>
      <c r="AF294" s="288"/>
      <c r="AG294" s="288"/>
      <c r="AH294" s="288"/>
      <c r="AI294" s="288"/>
      <c r="AJ294" s="288"/>
      <c r="AK294" s="288"/>
      <c r="AL294" s="288"/>
      <c r="AM294" s="288"/>
      <c r="AN294" s="288"/>
      <c r="AO294" s="288"/>
      <c r="AP294" s="288"/>
      <c r="AQ294" s="288"/>
      <c r="AR294" s="288"/>
      <c r="AS294" s="288"/>
      <c r="AT294" s="288"/>
      <c r="AU294" s="288"/>
      <c r="AV294" s="288"/>
      <c r="AW294" s="288"/>
      <c r="AX294" s="288"/>
      <c r="AY294" s="288"/>
      <c r="AZ294" s="288"/>
      <c r="BA294" s="288"/>
      <c r="BB294" s="288"/>
      <c r="BC294" s="288"/>
      <c r="BD294" s="288"/>
      <c r="BE294" s="288"/>
      <c r="BF294" s="288"/>
      <c r="BG294" s="288"/>
      <c r="BH294" s="288"/>
      <c r="BI294" s="288"/>
      <c r="BJ294" s="288"/>
      <c r="BK294" s="288"/>
      <c r="BL294" s="288"/>
      <c r="BM294" s="288"/>
      <c r="BN294" s="288"/>
      <c r="BO294" s="288"/>
      <c r="BP294" s="288"/>
      <c r="BQ294" s="288"/>
      <c r="BR294" s="288"/>
      <c r="BS294" s="288"/>
      <c r="BT294" s="288"/>
      <c r="BU294" s="288"/>
      <c r="BV294" s="288"/>
      <c r="BW294" s="288"/>
      <c r="BX294" s="288"/>
      <c r="BY294" s="288"/>
      <c r="BZ294" s="288"/>
      <c r="CA294" s="288"/>
      <c r="CB294" s="288"/>
    </row>
    <row r="295" spans="1:80" s="1271" customFormat="1" x14ac:dyDescent="0.2">
      <c r="A295" s="1271" t="s">
        <v>912</v>
      </c>
      <c r="D295" s="1282">
        <v>2010</v>
      </c>
      <c r="E295" s="2155">
        <v>161702</v>
      </c>
      <c r="F295" s="2156"/>
      <c r="G295" s="2156"/>
      <c r="H295" s="2156">
        <f>E295/5</f>
        <v>32340.400000000001</v>
      </c>
      <c r="I295" s="2156">
        <f>H295</f>
        <v>32340.400000000001</v>
      </c>
      <c r="J295" s="2156">
        <f>I295</f>
        <v>32340.400000000001</v>
      </c>
      <c r="K295" s="2156">
        <f>J295</f>
        <v>32340.400000000001</v>
      </c>
      <c r="L295" s="2156">
        <f>H295</f>
        <v>32340.400000000001</v>
      </c>
      <c r="M295" s="2156"/>
      <c r="N295" s="2156"/>
      <c r="O295" s="2156"/>
      <c r="P295" s="2157"/>
      <c r="Q295" s="2158"/>
      <c r="R295" s="2001"/>
      <c r="S295" s="2001"/>
      <c r="T295" s="2001"/>
      <c r="U295" s="2001"/>
      <c r="V295" s="2001"/>
      <c r="W295" s="2001"/>
      <c r="X295" s="2001"/>
      <c r="Y295" s="2001"/>
      <c r="Z295" s="2001"/>
      <c r="AA295" s="2001"/>
      <c r="AB295" s="2001"/>
      <c r="AC295" s="2001"/>
      <c r="AD295" s="2001"/>
      <c r="AE295" s="2001"/>
      <c r="AF295" s="2001"/>
      <c r="AG295" s="2001"/>
      <c r="AH295" s="2001"/>
      <c r="AI295" s="2001"/>
      <c r="AJ295" s="2001"/>
      <c r="AK295" s="2001"/>
      <c r="AL295" s="2001"/>
      <c r="AM295" s="2001"/>
      <c r="AN295" s="2001"/>
      <c r="AO295" s="2001"/>
      <c r="AP295" s="2001"/>
      <c r="AQ295" s="2001"/>
      <c r="AR295" s="2001"/>
      <c r="AS295" s="2001"/>
      <c r="AT295" s="2001"/>
      <c r="AU295" s="2001"/>
      <c r="AV295" s="2001"/>
      <c r="AW295" s="2001"/>
      <c r="AX295" s="2001"/>
      <c r="AY295" s="2001"/>
      <c r="AZ295" s="2001"/>
      <c r="BA295" s="2001"/>
      <c r="BB295" s="2001"/>
      <c r="BC295" s="2001"/>
      <c r="BD295" s="2001"/>
      <c r="BE295" s="2001"/>
      <c r="BF295" s="2001"/>
      <c r="BG295" s="2001"/>
      <c r="BH295" s="2001"/>
      <c r="BI295" s="2001"/>
      <c r="BJ295" s="2001"/>
      <c r="BK295" s="2001"/>
      <c r="BL295" s="2001"/>
      <c r="BM295" s="2001"/>
      <c r="BN295" s="2001"/>
      <c r="BO295" s="2001"/>
      <c r="BP295" s="2001"/>
      <c r="BQ295" s="2001"/>
      <c r="BR295" s="2001"/>
      <c r="BS295" s="2001"/>
      <c r="BT295" s="2001"/>
      <c r="BU295" s="2001"/>
      <c r="BV295" s="2001"/>
      <c r="BW295" s="2001"/>
      <c r="BX295" s="2001"/>
      <c r="BY295" s="2001"/>
      <c r="BZ295" s="2001"/>
      <c r="CA295" s="2001"/>
      <c r="CB295" s="2001"/>
    </row>
    <row r="296" spans="1:80" s="1271" customFormat="1" x14ac:dyDescent="0.2">
      <c r="D296" s="1282">
        <v>2011</v>
      </c>
      <c r="E296" s="2155">
        <v>161662.39999999999</v>
      </c>
      <c r="F296" s="2156"/>
      <c r="G296" s="2156"/>
      <c r="H296" s="2156"/>
      <c r="I296" s="2156">
        <f>E296/5</f>
        <v>32332.48</v>
      </c>
      <c r="J296" s="2156">
        <f>I296</f>
        <v>32332.48</v>
      </c>
      <c r="K296" s="2156">
        <f>J296</f>
        <v>32332.48</v>
      </c>
      <c r="L296" s="2156">
        <f>K296</f>
        <v>32332.48</v>
      </c>
      <c r="M296" s="2156">
        <f>L296</f>
        <v>32332.48</v>
      </c>
      <c r="N296" s="2156"/>
      <c r="O296" s="2156"/>
      <c r="P296" s="2157"/>
      <c r="Q296" s="2158"/>
      <c r="R296" s="2001"/>
      <c r="S296" s="2001"/>
      <c r="T296" s="2001"/>
      <c r="U296" s="2001"/>
      <c r="V296" s="2001"/>
      <c r="W296" s="2001"/>
      <c r="X296" s="2001"/>
      <c r="Y296" s="2001"/>
      <c r="Z296" s="2001"/>
      <c r="AA296" s="2001"/>
      <c r="AB296" s="2001"/>
      <c r="AC296" s="2001"/>
      <c r="AD296" s="2001"/>
      <c r="AE296" s="2001"/>
      <c r="AF296" s="2001"/>
      <c r="AG296" s="2001"/>
      <c r="AH296" s="2001"/>
      <c r="AI296" s="2001"/>
      <c r="AJ296" s="2001"/>
      <c r="AK296" s="2001"/>
      <c r="AL296" s="2001"/>
      <c r="AM296" s="2001"/>
      <c r="AN296" s="2001"/>
      <c r="AO296" s="2001"/>
      <c r="AP296" s="2001"/>
      <c r="AQ296" s="2001"/>
      <c r="AR296" s="2001"/>
      <c r="AS296" s="2001"/>
      <c r="AT296" s="2001"/>
      <c r="AU296" s="2001"/>
      <c r="AV296" s="2001"/>
      <c r="AW296" s="2001"/>
      <c r="AX296" s="2001"/>
      <c r="AY296" s="2001"/>
      <c r="AZ296" s="2001"/>
      <c r="BA296" s="2001"/>
      <c r="BB296" s="2001"/>
      <c r="BC296" s="2001"/>
      <c r="BD296" s="2001"/>
      <c r="BE296" s="2001"/>
      <c r="BF296" s="2001"/>
      <c r="BG296" s="2001"/>
      <c r="BH296" s="2001"/>
      <c r="BI296" s="2001"/>
      <c r="BJ296" s="2001"/>
      <c r="BK296" s="2001"/>
      <c r="BL296" s="2001"/>
      <c r="BM296" s="2001"/>
      <c r="BN296" s="2001"/>
      <c r="BO296" s="2001"/>
      <c r="BP296" s="2001"/>
      <c r="BQ296" s="2001"/>
      <c r="BR296" s="2001"/>
      <c r="BS296" s="2001"/>
      <c r="BT296" s="2001"/>
      <c r="BU296" s="2001"/>
      <c r="BV296" s="2001"/>
      <c r="BW296" s="2001"/>
      <c r="BX296" s="2001"/>
      <c r="BY296" s="2001"/>
      <c r="BZ296" s="2001"/>
      <c r="CA296" s="2001"/>
      <c r="CB296" s="2001"/>
    </row>
    <row r="297" spans="1:80" s="1271" customFormat="1" x14ac:dyDescent="0.2">
      <c r="D297" s="1282">
        <v>2012</v>
      </c>
      <c r="E297" s="2155">
        <v>161621.4</v>
      </c>
      <c r="F297" s="2156"/>
      <c r="G297" s="2156"/>
      <c r="H297" s="2156"/>
      <c r="I297" s="2156"/>
      <c r="J297" s="2156">
        <f>E297/5</f>
        <v>32324.28</v>
      </c>
      <c r="K297" s="2156">
        <f>J297</f>
        <v>32324.28</v>
      </c>
      <c r="L297" s="2156">
        <f>K297</f>
        <v>32324.28</v>
      </c>
      <c r="M297" s="2156">
        <f>L297</f>
        <v>32324.28</v>
      </c>
      <c r="N297" s="2156">
        <f>M297</f>
        <v>32324.28</v>
      </c>
      <c r="O297" s="2156"/>
      <c r="P297" s="2157"/>
      <c r="Q297" s="2158"/>
      <c r="R297" s="2001"/>
      <c r="S297" s="2001"/>
      <c r="T297" s="2001"/>
      <c r="U297" s="2001"/>
      <c r="V297" s="2001"/>
      <c r="W297" s="2001"/>
      <c r="X297" s="2001"/>
      <c r="Y297" s="2001"/>
      <c r="Z297" s="2001"/>
      <c r="AA297" s="2001"/>
      <c r="AB297" s="2001"/>
      <c r="AC297" s="2001"/>
      <c r="AD297" s="2001"/>
      <c r="AE297" s="2001"/>
      <c r="AF297" s="2001"/>
      <c r="AG297" s="2001"/>
      <c r="AH297" s="2001"/>
      <c r="AI297" s="2001"/>
      <c r="AJ297" s="2001"/>
      <c r="AK297" s="2001"/>
      <c r="AL297" s="2001"/>
      <c r="AM297" s="2001"/>
      <c r="AN297" s="2001"/>
      <c r="AO297" s="2001"/>
      <c r="AP297" s="2001"/>
      <c r="AQ297" s="2001"/>
      <c r="AR297" s="2001"/>
      <c r="AS297" s="2001"/>
      <c r="AT297" s="2001"/>
      <c r="AU297" s="2001"/>
      <c r="AV297" s="2001"/>
      <c r="AW297" s="2001"/>
      <c r="AX297" s="2001"/>
      <c r="AY297" s="2001"/>
      <c r="AZ297" s="2001"/>
      <c r="BA297" s="2001"/>
      <c r="BB297" s="2001"/>
      <c r="BC297" s="2001"/>
      <c r="BD297" s="2001"/>
      <c r="BE297" s="2001"/>
      <c r="BF297" s="2001"/>
      <c r="BG297" s="2001"/>
      <c r="BH297" s="2001"/>
      <c r="BI297" s="2001"/>
      <c r="BJ297" s="2001"/>
      <c r="BK297" s="2001"/>
      <c r="BL297" s="2001"/>
      <c r="BM297" s="2001"/>
      <c r="BN297" s="2001"/>
      <c r="BO297" s="2001"/>
      <c r="BP297" s="2001"/>
      <c r="BQ297" s="2001"/>
      <c r="BR297" s="2001"/>
      <c r="BS297" s="2001"/>
      <c r="BT297" s="2001"/>
      <c r="BU297" s="2001"/>
      <c r="BV297" s="2001"/>
      <c r="BW297" s="2001"/>
      <c r="BX297" s="2001"/>
      <c r="BY297" s="2001"/>
      <c r="BZ297" s="2001"/>
      <c r="CA297" s="2001"/>
      <c r="CB297" s="2001"/>
    </row>
    <row r="298" spans="1:80" s="1271" customFormat="1" x14ac:dyDescent="0.2">
      <c r="D298" s="1282">
        <v>2013</v>
      </c>
      <c r="E298" s="2155">
        <v>161580.4</v>
      </c>
      <c r="F298" s="2156"/>
      <c r="G298" s="2156"/>
      <c r="H298" s="2156"/>
      <c r="I298" s="2156"/>
      <c r="J298" s="2156"/>
      <c r="K298" s="2156">
        <f>E298/5</f>
        <v>32316.079999999998</v>
      </c>
      <c r="L298" s="2156">
        <f>K298</f>
        <v>32316.079999999998</v>
      </c>
      <c r="M298" s="2156">
        <f>L298</f>
        <v>32316.079999999998</v>
      </c>
      <c r="N298" s="2156">
        <f>M298</f>
        <v>32316.079999999998</v>
      </c>
      <c r="O298" s="2156">
        <f>N298</f>
        <v>32316.079999999998</v>
      </c>
      <c r="P298" s="2157"/>
      <c r="Q298" s="2158"/>
      <c r="R298" s="2001"/>
      <c r="S298" s="2001"/>
      <c r="T298" s="2001"/>
      <c r="U298" s="2001"/>
      <c r="V298" s="2001"/>
      <c r="W298" s="2001"/>
      <c r="X298" s="2001"/>
      <c r="Y298" s="2001"/>
      <c r="Z298" s="2001"/>
      <c r="AA298" s="2001"/>
      <c r="AB298" s="2001"/>
      <c r="AC298" s="2001"/>
      <c r="AD298" s="2001"/>
      <c r="AE298" s="2001"/>
      <c r="AF298" s="2001"/>
      <c r="AG298" s="2001"/>
      <c r="AH298" s="2001"/>
      <c r="AI298" s="2001"/>
      <c r="AJ298" s="2001"/>
      <c r="AK298" s="2001"/>
      <c r="AL298" s="2001"/>
      <c r="AM298" s="2001"/>
      <c r="AN298" s="2001"/>
      <c r="AO298" s="2001"/>
      <c r="AP298" s="2001"/>
      <c r="AQ298" s="2001"/>
      <c r="AR298" s="2001"/>
      <c r="AS298" s="2001"/>
      <c r="AT298" s="2001"/>
      <c r="AU298" s="2001"/>
      <c r="AV298" s="2001"/>
      <c r="AW298" s="2001"/>
      <c r="AX298" s="2001"/>
      <c r="AY298" s="2001"/>
      <c r="AZ298" s="2001"/>
      <c r="BA298" s="2001"/>
      <c r="BB298" s="2001"/>
      <c r="BC298" s="2001"/>
      <c r="BD298" s="2001"/>
      <c r="BE298" s="2001"/>
      <c r="BF298" s="2001"/>
      <c r="BG298" s="2001"/>
      <c r="BH298" s="2001"/>
      <c r="BI298" s="2001"/>
      <c r="BJ298" s="2001"/>
      <c r="BK298" s="2001"/>
      <c r="BL298" s="2001"/>
      <c r="BM298" s="2001"/>
      <c r="BN298" s="2001"/>
      <c r="BO298" s="2001"/>
      <c r="BP298" s="2001"/>
      <c r="BQ298" s="2001"/>
      <c r="BR298" s="2001"/>
      <c r="BS298" s="2001"/>
      <c r="BT298" s="2001"/>
      <c r="BU298" s="2001"/>
      <c r="BV298" s="2001"/>
      <c r="BW298" s="2001"/>
      <c r="BX298" s="2001"/>
      <c r="BY298" s="2001"/>
      <c r="BZ298" s="2001"/>
      <c r="CA298" s="2001"/>
      <c r="CB298" s="2001"/>
    </row>
    <row r="299" spans="1:80" s="1271" customFormat="1" x14ac:dyDescent="0.2">
      <c r="D299" s="1282">
        <v>2014</v>
      </c>
      <c r="E299" s="2155">
        <v>161538</v>
      </c>
      <c r="F299" s="2156"/>
      <c r="G299" s="2156"/>
      <c r="H299" s="2156"/>
      <c r="I299" s="2156"/>
      <c r="J299" s="2156"/>
      <c r="K299" s="2156"/>
      <c r="L299" s="2156">
        <f>E299/5</f>
        <v>32307.599999999999</v>
      </c>
      <c r="M299" s="2156">
        <f>L299</f>
        <v>32307.599999999999</v>
      </c>
      <c r="N299" s="2156">
        <f>M299</f>
        <v>32307.599999999999</v>
      </c>
      <c r="O299" s="2156">
        <f>N299</f>
        <v>32307.599999999999</v>
      </c>
      <c r="P299" s="2157">
        <f>O299</f>
        <v>32307.599999999999</v>
      </c>
      <c r="Q299" s="2158"/>
      <c r="R299" s="2001"/>
      <c r="S299" s="2001"/>
      <c r="T299" s="2001"/>
      <c r="U299" s="2001"/>
      <c r="V299" s="2001"/>
      <c r="W299" s="2001"/>
      <c r="X299" s="2001"/>
      <c r="Y299" s="2001"/>
      <c r="Z299" s="2001"/>
      <c r="AA299" s="2001"/>
      <c r="AB299" s="2001"/>
      <c r="AC299" s="2001"/>
      <c r="AD299" s="2001"/>
      <c r="AE299" s="2001"/>
      <c r="AF299" s="2001"/>
      <c r="AG299" s="2001"/>
      <c r="AH299" s="2001"/>
      <c r="AI299" s="2001"/>
      <c r="AJ299" s="2001"/>
      <c r="AK299" s="2001"/>
      <c r="AL299" s="2001"/>
      <c r="AM299" s="2001"/>
      <c r="AN299" s="2001"/>
      <c r="AO299" s="2001"/>
      <c r="AP299" s="2001"/>
      <c r="AQ299" s="2001"/>
      <c r="AR299" s="2001"/>
      <c r="AS299" s="2001"/>
      <c r="AT299" s="2001"/>
      <c r="AU299" s="2001"/>
      <c r="AV299" s="2001"/>
      <c r="AW299" s="2001"/>
      <c r="AX299" s="2001"/>
      <c r="AY299" s="2001"/>
      <c r="AZ299" s="2001"/>
      <c r="BA299" s="2001"/>
      <c r="BB299" s="2001"/>
      <c r="BC299" s="2001"/>
      <c r="BD299" s="2001"/>
      <c r="BE299" s="2001"/>
      <c r="BF299" s="2001"/>
      <c r="BG299" s="2001"/>
      <c r="BH299" s="2001"/>
      <c r="BI299" s="2001"/>
      <c r="BJ299" s="2001"/>
      <c r="BK299" s="2001"/>
      <c r="BL299" s="2001"/>
      <c r="BM299" s="2001"/>
      <c r="BN299" s="2001"/>
      <c r="BO299" s="2001"/>
      <c r="BP299" s="2001"/>
      <c r="BQ299" s="2001"/>
      <c r="BR299" s="2001"/>
      <c r="BS299" s="2001"/>
      <c r="BT299" s="2001"/>
      <c r="BU299" s="2001"/>
      <c r="BV299" s="2001"/>
      <c r="BW299" s="2001"/>
      <c r="BX299" s="2001"/>
      <c r="BY299" s="2001"/>
      <c r="BZ299" s="2001"/>
      <c r="CA299" s="2001"/>
      <c r="CB299" s="2001"/>
    </row>
    <row r="300" spans="1:80" s="1271" customFormat="1" x14ac:dyDescent="0.2">
      <c r="D300" s="1282" t="s">
        <v>69</v>
      </c>
      <c r="E300" s="2155">
        <f>SUM(E295:E299)</f>
        <v>808104.20000000007</v>
      </c>
      <c r="F300" s="2156"/>
      <c r="G300" s="2156"/>
      <c r="H300" s="2156"/>
      <c r="I300" s="2156"/>
      <c r="J300" s="2156"/>
      <c r="K300" s="2156"/>
      <c r="L300" s="2156"/>
      <c r="M300" s="2156"/>
      <c r="N300" s="2156"/>
      <c r="O300" s="2156"/>
      <c r="P300" s="2157"/>
      <c r="Q300" s="2158"/>
      <c r="R300" s="2001"/>
      <c r="S300" s="2001"/>
      <c r="T300" s="2001"/>
      <c r="U300" s="2001"/>
      <c r="V300" s="2001"/>
      <c r="W300" s="2001"/>
      <c r="X300" s="2001"/>
      <c r="Y300" s="2001"/>
      <c r="Z300" s="2001"/>
      <c r="AA300" s="2001"/>
      <c r="AB300" s="2001"/>
      <c r="AC300" s="2001"/>
      <c r="AD300" s="2001"/>
      <c r="AE300" s="2001"/>
      <c r="AF300" s="2001"/>
      <c r="AG300" s="2001"/>
      <c r="AH300" s="2001"/>
      <c r="AI300" s="2001"/>
      <c r="AJ300" s="2001"/>
      <c r="AK300" s="2001"/>
      <c r="AL300" s="2001"/>
      <c r="AM300" s="2001"/>
      <c r="AN300" s="2001"/>
      <c r="AO300" s="2001"/>
      <c r="AP300" s="2001"/>
      <c r="AQ300" s="2001"/>
      <c r="AR300" s="2001"/>
      <c r="AS300" s="2001"/>
      <c r="AT300" s="2001"/>
      <c r="AU300" s="2001"/>
      <c r="AV300" s="2001"/>
      <c r="AW300" s="2001"/>
      <c r="AX300" s="2001"/>
      <c r="AY300" s="2001"/>
      <c r="AZ300" s="2001"/>
      <c r="BA300" s="2001"/>
      <c r="BB300" s="2001"/>
      <c r="BC300" s="2001"/>
      <c r="BD300" s="2001"/>
      <c r="BE300" s="2001"/>
      <c r="BF300" s="2001"/>
      <c r="BG300" s="2001"/>
      <c r="BH300" s="2001"/>
      <c r="BI300" s="2001"/>
      <c r="BJ300" s="2001"/>
      <c r="BK300" s="2001"/>
      <c r="BL300" s="2001"/>
      <c r="BM300" s="2001"/>
      <c r="BN300" s="2001"/>
      <c r="BO300" s="2001"/>
      <c r="BP300" s="2001"/>
      <c r="BQ300" s="2001"/>
      <c r="BR300" s="2001"/>
      <c r="BS300" s="2001"/>
      <c r="BT300" s="2001"/>
      <c r="BU300" s="2001"/>
      <c r="BV300" s="2001"/>
      <c r="BW300" s="2001"/>
      <c r="BX300" s="2001"/>
      <c r="BY300" s="2001"/>
      <c r="BZ300" s="2001"/>
      <c r="CA300" s="2001"/>
      <c r="CB300" s="2001"/>
    </row>
    <row r="301" spans="1:80" s="77" customFormat="1" x14ac:dyDescent="0.2">
      <c r="A301" s="430"/>
      <c r="B301" s="430"/>
      <c r="C301" s="430"/>
      <c r="D301" s="431"/>
      <c r="E301" s="2159"/>
      <c r="F301" s="2160"/>
      <c r="G301" s="2160"/>
      <c r="H301" s="2160"/>
      <c r="I301" s="2160"/>
      <c r="J301" s="2160"/>
      <c r="K301" s="2160"/>
      <c r="L301" s="2160"/>
      <c r="M301" s="2160"/>
      <c r="N301" s="2160"/>
      <c r="O301" s="2160"/>
      <c r="P301" s="2161"/>
      <c r="Q301" s="2162"/>
      <c r="R301" s="2002"/>
      <c r="S301" s="2002"/>
      <c r="T301" s="2002"/>
      <c r="U301" s="2002"/>
      <c r="V301" s="2002"/>
      <c r="W301" s="2002"/>
      <c r="X301" s="2002"/>
      <c r="Y301" s="2002"/>
      <c r="Z301" s="2002"/>
      <c r="AA301" s="2002"/>
      <c r="AB301" s="2002"/>
      <c r="AC301" s="2002"/>
      <c r="AD301" s="2002"/>
      <c r="AE301" s="2002"/>
      <c r="AF301" s="2002"/>
      <c r="AG301" s="2002"/>
      <c r="AH301" s="2002"/>
      <c r="AI301" s="2002"/>
      <c r="AJ301" s="2002"/>
      <c r="AK301" s="2002"/>
      <c r="AL301" s="2002"/>
      <c r="AM301" s="2002"/>
      <c r="AN301" s="2002"/>
      <c r="AO301" s="2002"/>
      <c r="AP301" s="2002"/>
      <c r="AQ301" s="2002"/>
      <c r="AR301" s="2002"/>
      <c r="AS301" s="2002"/>
      <c r="AT301" s="2002"/>
      <c r="AU301" s="2002"/>
      <c r="AV301" s="2002"/>
      <c r="AW301" s="2002"/>
      <c r="AX301" s="2002"/>
      <c r="AY301" s="2002"/>
      <c r="AZ301" s="2002"/>
      <c r="BA301" s="2002"/>
      <c r="BB301" s="2002"/>
      <c r="BC301" s="2002"/>
      <c r="BD301" s="2002"/>
      <c r="BE301" s="2002"/>
      <c r="BF301" s="2002"/>
      <c r="BG301" s="2002"/>
      <c r="BH301" s="2002"/>
      <c r="BI301" s="2002"/>
      <c r="BJ301" s="2002"/>
      <c r="BK301" s="2002"/>
      <c r="BL301" s="2002"/>
      <c r="BM301" s="2002"/>
      <c r="BN301" s="2002"/>
      <c r="BO301" s="2002"/>
      <c r="BP301" s="2002"/>
      <c r="BQ301" s="2002"/>
      <c r="BR301" s="2002"/>
      <c r="BS301" s="2002"/>
      <c r="BT301" s="2002"/>
      <c r="BU301" s="2002"/>
      <c r="BV301" s="2002"/>
      <c r="BW301" s="2002"/>
      <c r="BX301" s="2002"/>
      <c r="BY301" s="2002"/>
      <c r="BZ301" s="2002"/>
      <c r="CA301" s="2002"/>
      <c r="CB301" s="2002"/>
    </row>
    <row r="302" spans="1:80" s="1271" customFormat="1" x14ac:dyDescent="0.2">
      <c r="A302" s="1271" t="s">
        <v>935</v>
      </c>
      <c r="D302" s="1282">
        <v>2010</v>
      </c>
      <c r="E302" s="2155">
        <v>25721.3</v>
      </c>
      <c r="F302" s="2156"/>
      <c r="G302" s="2156"/>
      <c r="H302" s="2156">
        <f>E302/5</f>
        <v>5144.26</v>
      </c>
      <c r="I302" s="2156">
        <f>H302</f>
        <v>5144.26</v>
      </c>
      <c r="J302" s="2156">
        <f>I302</f>
        <v>5144.26</v>
      </c>
      <c r="K302" s="2156">
        <f>J302</f>
        <v>5144.26</v>
      </c>
      <c r="L302" s="2156">
        <f>H302</f>
        <v>5144.26</v>
      </c>
      <c r="M302" s="2156"/>
      <c r="N302" s="2156"/>
      <c r="O302" s="2156"/>
      <c r="P302" s="2157"/>
      <c r="Q302" s="2158"/>
      <c r="R302" s="2001"/>
      <c r="S302" s="2001"/>
      <c r="T302" s="2001"/>
      <c r="U302" s="2001"/>
      <c r="V302" s="2001"/>
      <c r="W302" s="2001"/>
      <c r="X302" s="2001"/>
      <c r="Y302" s="2001"/>
      <c r="Z302" s="2001"/>
      <c r="AA302" s="2001"/>
      <c r="AB302" s="2001"/>
      <c r="AC302" s="2001"/>
      <c r="AD302" s="2001"/>
      <c r="AE302" s="2001"/>
      <c r="AF302" s="2001"/>
      <c r="AG302" s="2001"/>
      <c r="AH302" s="2001"/>
      <c r="AI302" s="2001"/>
      <c r="AJ302" s="2001"/>
      <c r="AK302" s="2001"/>
      <c r="AL302" s="2001"/>
      <c r="AM302" s="2001"/>
      <c r="AN302" s="2001"/>
      <c r="AO302" s="2001"/>
      <c r="AP302" s="2001"/>
      <c r="AQ302" s="2001"/>
      <c r="AR302" s="2001"/>
      <c r="AS302" s="2001"/>
      <c r="AT302" s="2001"/>
      <c r="AU302" s="2001"/>
      <c r="AV302" s="2001"/>
      <c r="AW302" s="2001"/>
      <c r="AX302" s="2001"/>
      <c r="AY302" s="2001"/>
      <c r="AZ302" s="2001"/>
      <c r="BA302" s="2001"/>
      <c r="BB302" s="2001"/>
      <c r="BC302" s="2001"/>
      <c r="BD302" s="2001"/>
      <c r="BE302" s="2001"/>
      <c r="BF302" s="2001"/>
      <c r="BG302" s="2001"/>
      <c r="BH302" s="2001"/>
      <c r="BI302" s="2001"/>
      <c r="BJ302" s="2001"/>
      <c r="BK302" s="2001"/>
      <c r="BL302" s="2001"/>
      <c r="BM302" s="2001"/>
      <c r="BN302" s="2001"/>
      <c r="BO302" s="2001"/>
      <c r="BP302" s="2001"/>
      <c r="BQ302" s="2001"/>
      <c r="BR302" s="2001"/>
      <c r="BS302" s="2001"/>
      <c r="BT302" s="2001"/>
      <c r="BU302" s="2001"/>
      <c r="BV302" s="2001"/>
      <c r="BW302" s="2001"/>
      <c r="BX302" s="2001"/>
      <c r="BY302" s="2001"/>
      <c r="BZ302" s="2001"/>
      <c r="CA302" s="2001"/>
      <c r="CB302" s="2001"/>
    </row>
    <row r="303" spans="1:80" s="1271" customFormat="1" x14ac:dyDescent="0.2">
      <c r="D303" s="1282">
        <v>2011</v>
      </c>
      <c r="E303" s="2155">
        <v>196577.3</v>
      </c>
      <c r="F303" s="2156"/>
      <c r="G303" s="2156"/>
      <c r="H303" s="2156"/>
      <c r="I303" s="2156">
        <f>E303/5</f>
        <v>39315.46</v>
      </c>
      <c r="J303" s="2156">
        <f>I303</f>
        <v>39315.46</v>
      </c>
      <c r="K303" s="2156">
        <f>J303</f>
        <v>39315.46</v>
      </c>
      <c r="L303" s="2156">
        <f>K303</f>
        <v>39315.46</v>
      </c>
      <c r="M303" s="2156">
        <f>L303</f>
        <v>39315.46</v>
      </c>
      <c r="N303" s="2156"/>
      <c r="O303" s="2156"/>
      <c r="P303" s="2157"/>
      <c r="Q303" s="2158"/>
      <c r="R303" s="2001"/>
      <c r="S303" s="2001"/>
      <c r="T303" s="2001"/>
      <c r="U303" s="2001"/>
      <c r="V303" s="2001"/>
      <c r="W303" s="2001"/>
      <c r="X303" s="2001"/>
      <c r="Y303" s="2001"/>
      <c r="Z303" s="2001"/>
      <c r="AA303" s="2001"/>
      <c r="AB303" s="2001"/>
      <c r="AC303" s="2001"/>
      <c r="AD303" s="2001"/>
      <c r="AE303" s="2001"/>
      <c r="AF303" s="2001"/>
      <c r="AG303" s="2001"/>
      <c r="AH303" s="2001"/>
      <c r="AI303" s="2001"/>
      <c r="AJ303" s="2001"/>
      <c r="AK303" s="2001"/>
      <c r="AL303" s="2001"/>
      <c r="AM303" s="2001"/>
      <c r="AN303" s="2001"/>
      <c r="AO303" s="2001"/>
      <c r="AP303" s="2001"/>
      <c r="AQ303" s="2001"/>
      <c r="AR303" s="2001"/>
      <c r="AS303" s="2001"/>
      <c r="AT303" s="2001"/>
      <c r="AU303" s="2001"/>
      <c r="AV303" s="2001"/>
      <c r="AW303" s="2001"/>
      <c r="AX303" s="2001"/>
      <c r="AY303" s="2001"/>
      <c r="AZ303" s="2001"/>
      <c r="BA303" s="2001"/>
      <c r="BB303" s="2001"/>
      <c r="BC303" s="2001"/>
      <c r="BD303" s="2001"/>
      <c r="BE303" s="2001"/>
      <c r="BF303" s="2001"/>
      <c r="BG303" s="2001"/>
      <c r="BH303" s="2001"/>
      <c r="BI303" s="2001"/>
      <c r="BJ303" s="2001"/>
      <c r="BK303" s="2001"/>
      <c r="BL303" s="2001"/>
      <c r="BM303" s="2001"/>
      <c r="BN303" s="2001"/>
      <c r="BO303" s="2001"/>
      <c r="BP303" s="2001"/>
      <c r="BQ303" s="2001"/>
      <c r="BR303" s="2001"/>
      <c r="BS303" s="2001"/>
      <c r="BT303" s="2001"/>
      <c r="BU303" s="2001"/>
      <c r="BV303" s="2001"/>
      <c r="BW303" s="2001"/>
      <c r="BX303" s="2001"/>
      <c r="BY303" s="2001"/>
      <c r="BZ303" s="2001"/>
      <c r="CA303" s="2001"/>
      <c r="CB303" s="2001"/>
    </row>
    <row r="304" spans="1:80" s="1271" customFormat="1" x14ac:dyDescent="0.2">
      <c r="D304" s="1282">
        <v>2012</v>
      </c>
      <c r="E304" s="2155">
        <v>70008.399999999994</v>
      </c>
      <c r="F304" s="2156"/>
      <c r="G304" s="2156"/>
      <c r="H304" s="2156"/>
      <c r="I304" s="2156"/>
      <c r="J304" s="2156">
        <f>E304/5</f>
        <v>14001.679999999998</v>
      </c>
      <c r="K304" s="2156">
        <f>J304</f>
        <v>14001.679999999998</v>
      </c>
      <c r="L304" s="2156">
        <f>K304</f>
        <v>14001.679999999998</v>
      </c>
      <c r="M304" s="2156">
        <f>L304</f>
        <v>14001.679999999998</v>
      </c>
      <c r="N304" s="2156">
        <f>M304</f>
        <v>14001.679999999998</v>
      </c>
      <c r="O304" s="2156"/>
      <c r="P304" s="2157"/>
      <c r="Q304" s="2158"/>
      <c r="R304" s="2001"/>
      <c r="S304" s="2001"/>
      <c r="T304" s="2001"/>
      <c r="U304" s="2001"/>
      <c r="V304" s="2001"/>
      <c r="W304" s="2001"/>
      <c r="X304" s="2001"/>
      <c r="Y304" s="2001"/>
      <c r="Z304" s="2001"/>
      <c r="AA304" s="2001"/>
      <c r="AB304" s="2001"/>
      <c r="AC304" s="2001"/>
      <c r="AD304" s="2001"/>
      <c r="AE304" s="2001"/>
      <c r="AF304" s="2001"/>
      <c r="AG304" s="2001"/>
      <c r="AH304" s="2001"/>
      <c r="AI304" s="2001"/>
      <c r="AJ304" s="2001"/>
      <c r="AK304" s="2001"/>
      <c r="AL304" s="2001"/>
      <c r="AM304" s="2001"/>
      <c r="AN304" s="2001"/>
      <c r="AO304" s="2001"/>
      <c r="AP304" s="2001"/>
      <c r="AQ304" s="2001"/>
      <c r="AR304" s="2001"/>
      <c r="AS304" s="2001"/>
      <c r="AT304" s="2001"/>
      <c r="AU304" s="2001"/>
      <c r="AV304" s="2001"/>
      <c r="AW304" s="2001"/>
      <c r="AX304" s="2001"/>
      <c r="AY304" s="2001"/>
      <c r="AZ304" s="2001"/>
      <c r="BA304" s="2001"/>
      <c r="BB304" s="2001"/>
      <c r="BC304" s="2001"/>
      <c r="BD304" s="2001"/>
      <c r="BE304" s="2001"/>
      <c r="BF304" s="2001"/>
      <c r="BG304" s="2001"/>
      <c r="BH304" s="2001"/>
      <c r="BI304" s="2001"/>
      <c r="BJ304" s="2001"/>
      <c r="BK304" s="2001"/>
      <c r="BL304" s="2001"/>
      <c r="BM304" s="2001"/>
      <c r="BN304" s="2001"/>
      <c r="BO304" s="2001"/>
      <c r="BP304" s="2001"/>
      <c r="BQ304" s="2001"/>
      <c r="BR304" s="2001"/>
      <c r="BS304" s="2001"/>
      <c r="BT304" s="2001"/>
      <c r="BU304" s="2001"/>
      <c r="BV304" s="2001"/>
      <c r="BW304" s="2001"/>
      <c r="BX304" s="2001"/>
      <c r="BY304" s="2001"/>
      <c r="BZ304" s="2001"/>
      <c r="CA304" s="2001"/>
      <c r="CB304" s="2001"/>
    </row>
    <row r="305" spans="1:80" s="1271" customFormat="1" x14ac:dyDescent="0.2">
      <c r="D305" s="1282">
        <v>2013</v>
      </c>
      <c r="E305" s="2155">
        <v>0</v>
      </c>
      <c r="F305" s="2156"/>
      <c r="G305" s="2156"/>
      <c r="H305" s="2156"/>
      <c r="I305" s="2156"/>
      <c r="J305" s="2156"/>
      <c r="K305" s="2156">
        <f>E305/5</f>
        <v>0</v>
      </c>
      <c r="L305" s="2156">
        <f>K305</f>
        <v>0</v>
      </c>
      <c r="M305" s="2156">
        <f>L305</f>
        <v>0</v>
      </c>
      <c r="N305" s="2156">
        <f>M305</f>
        <v>0</v>
      </c>
      <c r="O305" s="2156">
        <f>N305</f>
        <v>0</v>
      </c>
      <c r="P305" s="2157"/>
      <c r="Q305" s="2158"/>
      <c r="R305" s="2001"/>
      <c r="S305" s="2001"/>
      <c r="T305" s="2001"/>
      <c r="U305" s="2001"/>
      <c r="V305" s="2001"/>
      <c r="W305" s="2001"/>
      <c r="X305" s="2001"/>
      <c r="Y305" s="2001"/>
      <c r="Z305" s="2001"/>
      <c r="AA305" s="2001"/>
      <c r="AB305" s="2001"/>
      <c r="AC305" s="2001"/>
      <c r="AD305" s="2001"/>
      <c r="AE305" s="2001"/>
      <c r="AF305" s="2001"/>
      <c r="AG305" s="2001"/>
      <c r="AH305" s="2001"/>
      <c r="AI305" s="2001"/>
      <c r="AJ305" s="2001"/>
      <c r="AK305" s="2001"/>
      <c r="AL305" s="2001"/>
      <c r="AM305" s="2001"/>
      <c r="AN305" s="2001"/>
      <c r="AO305" s="2001"/>
      <c r="AP305" s="2001"/>
      <c r="AQ305" s="2001"/>
      <c r="AR305" s="2001"/>
      <c r="AS305" s="2001"/>
      <c r="AT305" s="2001"/>
      <c r="AU305" s="2001"/>
      <c r="AV305" s="2001"/>
      <c r="AW305" s="2001"/>
      <c r="AX305" s="2001"/>
      <c r="AY305" s="2001"/>
      <c r="AZ305" s="2001"/>
      <c r="BA305" s="2001"/>
      <c r="BB305" s="2001"/>
      <c r="BC305" s="2001"/>
      <c r="BD305" s="2001"/>
      <c r="BE305" s="2001"/>
      <c r="BF305" s="2001"/>
      <c r="BG305" s="2001"/>
      <c r="BH305" s="2001"/>
      <c r="BI305" s="2001"/>
      <c r="BJ305" s="2001"/>
      <c r="BK305" s="2001"/>
      <c r="BL305" s="2001"/>
      <c r="BM305" s="2001"/>
      <c r="BN305" s="2001"/>
      <c r="BO305" s="2001"/>
      <c r="BP305" s="2001"/>
      <c r="BQ305" s="2001"/>
      <c r="BR305" s="2001"/>
      <c r="BS305" s="2001"/>
      <c r="BT305" s="2001"/>
      <c r="BU305" s="2001"/>
      <c r="BV305" s="2001"/>
      <c r="BW305" s="2001"/>
      <c r="BX305" s="2001"/>
      <c r="BY305" s="2001"/>
      <c r="BZ305" s="2001"/>
      <c r="CA305" s="2001"/>
      <c r="CB305" s="2001"/>
    </row>
    <row r="306" spans="1:80" s="1271" customFormat="1" x14ac:dyDescent="0.2">
      <c r="D306" s="1282">
        <v>2014</v>
      </c>
      <c r="E306" s="2155">
        <v>0</v>
      </c>
      <c r="F306" s="2156"/>
      <c r="G306" s="2156"/>
      <c r="H306" s="2156"/>
      <c r="I306" s="2156"/>
      <c r="J306" s="2156"/>
      <c r="K306" s="2156"/>
      <c r="L306" s="2156">
        <f>E306/5</f>
        <v>0</v>
      </c>
      <c r="M306" s="2156">
        <f>L306</f>
        <v>0</v>
      </c>
      <c r="N306" s="2156">
        <f>M306</f>
        <v>0</v>
      </c>
      <c r="O306" s="2156">
        <f>N306</f>
        <v>0</v>
      </c>
      <c r="P306" s="2157">
        <f>O306</f>
        <v>0</v>
      </c>
      <c r="Q306" s="2158"/>
      <c r="R306" s="2001"/>
      <c r="S306" s="2001"/>
      <c r="T306" s="2001"/>
      <c r="U306" s="2001"/>
      <c r="V306" s="2001"/>
      <c r="W306" s="2001"/>
      <c r="X306" s="2001"/>
      <c r="Y306" s="2001"/>
      <c r="Z306" s="2001"/>
      <c r="AA306" s="2001"/>
      <c r="AB306" s="2001"/>
      <c r="AC306" s="2001"/>
      <c r="AD306" s="2001"/>
      <c r="AE306" s="2001"/>
      <c r="AF306" s="2001"/>
      <c r="AG306" s="2001"/>
      <c r="AH306" s="2001"/>
      <c r="AI306" s="2001"/>
      <c r="AJ306" s="2001"/>
      <c r="AK306" s="2001"/>
      <c r="AL306" s="2001"/>
      <c r="AM306" s="2001"/>
      <c r="AN306" s="2001"/>
      <c r="AO306" s="2001"/>
      <c r="AP306" s="2001"/>
      <c r="AQ306" s="2001"/>
      <c r="AR306" s="2001"/>
      <c r="AS306" s="2001"/>
      <c r="AT306" s="2001"/>
      <c r="AU306" s="2001"/>
      <c r="AV306" s="2001"/>
      <c r="AW306" s="2001"/>
      <c r="AX306" s="2001"/>
      <c r="AY306" s="2001"/>
      <c r="AZ306" s="2001"/>
      <c r="BA306" s="2001"/>
      <c r="BB306" s="2001"/>
      <c r="BC306" s="2001"/>
      <c r="BD306" s="2001"/>
      <c r="BE306" s="2001"/>
      <c r="BF306" s="2001"/>
      <c r="BG306" s="2001"/>
      <c r="BH306" s="2001"/>
      <c r="BI306" s="2001"/>
      <c r="BJ306" s="2001"/>
      <c r="BK306" s="2001"/>
      <c r="BL306" s="2001"/>
      <c r="BM306" s="2001"/>
      <c r="BN306" s="2001"/>
      <c r="BO306" s="2001"/>
      <c r="BP306" s="2001"/>
      <c r="BQ306" s="2001"/>
      <c r="BR306" s="2001"/>
      <c r="BS306" s="2001"/>
      <c r="BT306" s="2001"/>
      <c r="BU306" s="2001"/>
      <c r="BV306" s="2001"/>
      <c r="BW306" s="2001"/>
      <c r="BX306" s="2001"/>
      <c r="BY306" s="2001"/>
      <c r="BZ306" s="2001"/>
      <c r="CA306" s="2001"/>
      <c r="CB306" s="2001"/>
    </row>
    <row r="307" spans="1:80" s="1271" customFormat="1" x14ac:dyDescent="0.2">
      <c r="D307" s="1282" t="s">
        <v>69</v>
      </c>
      <c r="E307" s="2155">
        <f>SUM(E302:E306)</f>
        <v>292307</v>
      </c>
      <c r="F307" s="2156"/>
      <c r="G307" s="2156"/>
      <c r="H307" s="2156"/>
      <c r="I307" s="2156"/>
      <c r="J307" s="2156"/>
      <c r="K307" s="2156"/>
      <c r="L307" s="2156"/>
      <c r="M307" s="2156"/>
      <c r="N307" s="2156"/>
      <c r="O307" s="2156"/>
      <c r="P307" s="2157"/>
      <c r="Q307" s="2158"/>
      <c r="R307" s="2001"/>
      <c r="S307" s="2001"/>
      <c r="T307" s="2001"/>
      <c r="U307" s="2001"/>
      <c r="V307" s="2001"/>
      <c r="W307" s="2001"/>
      <c r="X307" s="2001"/>
      <c r="Y307" s="2001"/>
      <c r="Z307" s="2001"/>
      <c r="AA307" s="2001"/>
      <c r="AB307" s="2001"/>
      <c r="AC307" s="2001"/>
      <c r="AD307" s="2001"/>
      <c r="AE307" s="2001"/>
      <c r="AF307" s="2001"/>
      <c r="AG307" s="2001"/>
      <c r="AH307" s="2001"/>
      <c r="AI307" s="2001"/>
      <c r="AJ307" s="2001"/>
      <c r="AK307" s="2001"/>
      <c r="AL307" s="2001"/>
      <c r="AM307" s="2001"/>
      <c r="AN307" s="2001"/>
      <c r="AO307" s="2001"/>
      <c r="AP307" s="2001"/>
      <c r="AQ307" s="2001"/>
      <c r="AR307" s="2001"/>
      <c r="AS307" s="2001"/>
      <c r="AT307" s="2001"/>
      <c r="AU307" s="2001"/>
      <c r="AV307" s="2001"/>
      <c r="AW307" s="2001"/>
      <c r="AX307" s="2001"/>
      <c r="AY307" s="2001"/>
      <c r="AZ307" s="2001"/>
      <c r="BA307" s="2001"/>
      <c r="BB307" s="2001"/>
      <c r="BC307" s="2001"/>
      <c r="BD307" s="2001"/>
      <c r="BE307" s="2001"/>
      <c r="BF307" s="2001"/>
      <c r="BG307" s="2001"/>
      <c r="BH307" s="2001"/>
      <c r="BI307" s="2001"/>
      <c r="BJ307" s="2001"/>
      <c r="BK307" s="2001"/>
      <c r="BL307" s="2001"/>
      <c r="BM307" s="2001"/>
      <c r="BN307" s="2001"/>
      <c r="BO307" s="2001"/>
      <c r="BP307" s="2001"/>
      <c r="BQ307" s="2001"/>
      <c r="BR307" s="2001"/>
      <c r="BS307" s="2001"/>
      <c r="BT307" s="2001"/>
      <c r="BU307" s="2001"/>
      <c r="BV307" s="2001"/>
      <c r="BW307" s="2001"/>
      <c r="BX307" s="2001"/>
      <c r="BY307" s="2001"/>
      <c r="BZ307" s="2001"/>
      <c r="CA307" s="2001"/>
      <c r="CB307" s="2001"/>
    </row>
    <row r="308" spans="1:80" x14ac:dyDescent="0.2">
      <c r="A308" s="39"/>
      <c r="B308" s="39"/>
      <c r="C308" s="39"/>
      <c r="D308" s="39"/>
      <c r="E308" s="1671"/>
      <c r="F308" s="66"/>
      <c r="G308" s="66"/>
      <c r="H308" s="66"/>
      <c r="I308" s="66"/>
      <c r="J308" s="66"/>
      <c r="K308" s="66"/>
      <c r="L308" s="66"/>
      <c r="M308" s="66"/>
      <c r="N308" s="66"/>
      <c r="O308" s="66"/>
      <c r="P308" s="1712"/>
      <c r="Q308" s="1685"/>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288"/>
      <c r="AY308" s="288"/>
      <c r="AZ308" s="288"/>
      <c r="BA308" s="288"/>
      <c r="BB308" s="288"/>
      <c r="BC308" s="288"/>
      <c r="BD308" s="288"/>
      <c r="BE308" s="288"/>
      <c r="BF308" s="288"/>
      <c r="BG308" s="288"/>
      <c r="BH308" s="288"/>
      <c r="BI308" s="288"/>
      <c r="BJ308" s="288"/>
      <c r="BK308" s="288"/>
      <c r="BL308" s="288"/>
      <c r="BM308" s="288"/>
      <c r="BN308" s="288"/>
      <c r="BO308" s="288"/>
      <c r="BP308" s="288"/>
      <c r="BQ308" s="288"/>
      <c r="BR308" s="288"/>
      <c r="BS308" s="288"/>
      <c r="BT308" s="288"/>
      <c r="BU308" s="288"/>
      <c r="BV308" s="288"/>
      <c r="BW308" s="288"/>
      <c r="BX308" s="288"/>
      <c r="BY308" s="288"/>
      <c r="BZ308" s="288"/>
      <c r="CA308" s="288"/>
      <c r="CB308" s="288"/>
    </row>
    <row r="309" spans="1:80" s="1505" customFormat="1" x14ac:dyDescent="0.2">
      <c r="A309" s="1251" t="s">
        <v>891</v>
      </c>
      <c r="D309" s="1505">
        <v>2011</v>
      </c>
      <c r="E309" s="1700">
        <v>595989</v>
      </c>
      <c r="F309" s="1701"/>
      <c r="G309" s="1701"/>
      <c r="I309" s="1701">
        <f>E309/5</f>
        <v>119197.8</v>
      </c>
      <c r="J309" s="1701">
        <f>I309</f>
        <v>119197.8</v>
      </c>
      <c r="K309" s="1701">
        <f>J309</f>
        <v>119197.8</v>
      </c>
      <c r="L309" s="1701">
        <f>K309</f>
        <v>119197.8</v>
      </c>
      <c r="M309" s="1701">
        <f>I309</f>
        <v>119197.8</v>
      </c>
      <c r="N309" s="1701"/>
      <c r="O309" s="1701"/>
      <c r="P309" s="1705"/>
      <c r="Q309" s="1705"/>
      <c r="R309" s="1702"/>
      <c r="S309" s="1702"/>
      <c r="T309" s="1702"/>
      <c r="U309" s="1702"/>
      <c r="V309" s="1702"/>
      <c r="W309" s="1702"/>
      <c r="X309" s="1702"/>
      <c r="Y309" s="1702"/>
      <c r="Z309" s="1702"/>
      <c r="AA309" s="1702"/>
      <c r="AB309" s="1702"/>
      <c r="AC309" s="1702"/>
      <c r="AD309" s="1702"/>
      <c r="AE309" s="1702"/>
      <c r="AF309" s="1702"/>
      <c r="AG309" s="1702"/>
      <c r="AH309" s="1702"/>
      <c r="AI309" s="1702"/>
      <c r="AJ309" s="1702"/>
      <c r="AK309" s="1702"/>
      <c r="AL309" s="1702"/>
      <c r="AM309" s="1702"/>
      <c r="AN309" s="1702"/>
      <c r="AO309" s="1702"/>
      <c r="AP309" s="1702"/>
      <c r="AQ309" s="1702"/>
      <c r="AR309" s="1702"/>
      <c r="AS309" s="1702"/>
      <c r="AT309" s="1702"/>
      <c r="AU309" s="1702"/>
      <c r="AV309" s="1702"/>
      <c r="AW309" s="1702"/>
      <c r="AX309" s="1702"/>
      <c r="AY309" s="1702"/>
      <c r="AZ309" s="1702"/>
      <c r="BA309" s="1702"/>
      <c r="BB309" s="1702"/>
      <c r="BC309" s="1702"/>
      <c r="BD309" s="1702"/>
      <c r="BE309" s="1702"/>
      <c r="BF309" s="1702"/>
      <c r="BG309" s="1702"/>
      <c r="BH309" s="1702"/>
      <c r="BI309" s="1702"/>
      <c r="BJ309" s="1702"/>
      <c r="BK309" s="1702"/>
      <c r="BL309" s="1702"/>
      <c r="BM309" s="1702"/>
      <c r="BN309" s="1702"/>
      <c r="BO309" s="1702"/>
      <c r="BP309" s="1702"/>
      <c r="BQ309" s="1702"/>
      <c r="BR309" s="1702"/>
      <c r="BS309" s="1702"/>
      <c r="BT309" s="1702"/>
      <c r="BU309" s="1702"/>
      <c r="BV309" s="1702"/>
      <c r="BW309" s="1702"/>
      <c r="BX309" s="1702"/>
      <c r="BY309" s="1702"/>
      <c r="BZ309" s="1702"/>
      <c r="CA309" s="1702"/>
      <c r="CB309" s="1702"/>
    </row>
    <row r="310" spans="1:80" s="1505" customFormat="1" x14ac:dyDescent="0.2">
      <c r="A310" s="1932"/>
      <c r="D310" s="1505">
        <v>2012</v>
      </c>
      <c r="E310" s="1700">
        <v>673173</v>
      </c>
      <c r="F310" s="1701"/>
      <c r="G310" s="1701"/>
      <c r="I310" s="1701"/>
      <c r="J310" s="1701">
        <f>E310/5</f>
        <v>134634.6</v>
      </c>
      <c r="K310" s="1701">
        <f>J310</f>
        <v>134634.6</v>
      </c>
      <c r="L310" s="1701">
        <f>K310</f>
        <v>134634.6</v>
      </c>
      <c r="M310" s="1701">
        <f>L310</f>
        <v>134634.6</v>
      </c>
      <c r="N310" s="1701">
        <f>M310</f>
        <v>134634.6</v>
      </c>
      <c r="O310" s="1701"/>
      <c r="P310" s="1705"/>
      <c r="Q310" s="1705"/>
      <c r="R310" s="1702"/>
      <c r="S310" s="1702"/>
      <c r="T310" s="1702"/>
      <c r="U310" s="1702"/>
      <c r="V310" s="1702"/>
      <c r="W310" s="1702"/>
      <c r="X310" s="1702"/>
      <c r="Y310" s="1702"/>
      <c r="Z310" s="1702"/>
      <c r="AA310" s="1702"/>
      <c r="AB310" s="1702"/>
      <c r="AC310" s="1702"/>
      <c r="AD310" s="1702"/>
      <c r="AE310" s="1702"/>
      <c r="AF310" s="1702"/>
      <c r="AG310" s="1702"/>
      <c r="AH310" s="1702"/>
      <c r="AI310" s="1702"/>
      <c r="AJ310" s="1702"/>
      <c r="AK310" s="1702"/>
      <c r="AL310" s="1702"/>
      <c r="AM310" s="1702"/>
      <c r="AN310" s="1702"/>
      <c r="AO310" s="1702"/>
      <c r="AP310" s="1702"/>
      <c r="AQ310" s="1702"/>
      <c r="AR310" s="1702"/>
      <c r="AS310" s="1702"/>
      <c r="AT310" s="1702"/>
      <c r="AU310" s="1702"/>
      <c r="AV310" s="1702"/>
      <c r="AW310" s="1702"/>
      <c r="AX310" s="1702"/>
      <c r="AY310" s="1702"/>
      <c r="AZ310" s="1702"/>
      <c r="BA310" s="1702"/>
      <c r="BB310" s="1702"/>
      <c r="BC310" s="1702"/>
      <c r="BD310" s="1702"/>
      <c r="BE310" s="1702"/>
      <c r="BF310" s="1702"/>
      <c r="BG310" s="1702"/>
      <c r="BH310" s="1702"/>
      <c r="BI310" s="1702"/>
      <c r="BJ310" s="1702"/>
      <c r="BK310" s="1702"/>
      <c r="BL310" s="1702"/>
      <c r="BM310" s="1702"/>
      <c r="BN310" s="1702"/>
      <c r="BO310" s="1702"/>
      <c r="BP310" s="1702"/>
      <c r="BQ310" s="1702"/>
      <c r="BR310" s="1702"/>
      <c r="BS310" s="1702"/>
      <c r="BT310" s="1702"/>
      <c r="BU310" s="1702"/>
      <c r="BV310" s="1702"/>
      <c r="BW310" s="1702"/>
      <c r="BX310" s="1702"/>
      <c r="BY310" s="1702"/>
      <c r="BZ310" s="1702"/>
      <c r="CA310" s="1702"/>
      <c r="CB310" s="1702"/>
    </row>
    <row r="311" spans="1:80" s="1505" customFormat="1" x14ac:dyDescent="0.2">
      <c r="A311" s="1932"/>
      <c r="D311" s="1505">
        <v>2013</v>
      </c>
      <c r="E311" s="1700">
        <v>636103</v>
      </c>
      <c r="F311" s="1701"/>
      <c r="G311" s="1701"/>
      <c r="I311" s="1701"/>
      <c r="J311" s="1701"/>
      <c r="K311" s="1701">
        <f>E311/5</f>
        <v>127220.6</v>
      </c>
      <c r="L311" s="1701">
        <f>K311</f>
        <v>127220.6</v>
      </c>
      <c r="M311" s="1701">
        <f>L311</f>
        <v>127220.6</v>
      </c>
      <c r="N311" s="1701">
        <f>M311</f>
        <v>127220.6</v>
      </c>
      <c r="O311" s="1701">
        <f>N311</f>
        <v>127220.6</v>
      </c>
      <c r="P311" s="1705"/>
      <c r="Q311" s="1705"/>
      <c r="R311" s="1702"/>
      <c r="S311" s="1702"/>
      <c r="T311" s="1702"/>
      <c r="U311" s="1702"/>
      <c r="V311" s="1702"/>
      <c r="W311" s="1702"/>
      <c r="X311" s="1702"/>
      <c r="Y311" s="1702"/>
      <c r="Z311" s="1702"/>
      <c r="AA311" s="1702"/>
      <c r="AB311" s="1702"/>
      <c r="AC311" s="1702"/>
      <c r="AD311" s="1702"/>
      <c r="AE311" s="1702"/>
      <c r="AF311" s="1702"/>
      <c r="AG311" s="1702"/>
      <c r="AH311" s="1702"/>
      <c r="AI311" s="1702"/>
      <c r="AJ311" s="1702"/>
      <c r="AK311" s="1702"/>
      <c r="AL311" s="1702"/>
      <c r="AM311" s="1702"/>
      <c r="AN311" s="1702"/>
      <c r="AO311" s="1702"/>
      <c r="AP311" s="1702"/>
      <c r="AQ311" s="1702"/>
      <c r="AR311" s="1702"/>
      <c r="AS311" s="1702"/>
      <c r="AT311" s="1702"/>
      <c r="AU311" s="1702"/>
      <c r="AV311" s="1702"/>
      <c r="AW311" s="1702"/>
      <c r="AX311" s="1702"/>
      <c r="AY311" s="1702"/>
      <c r="AZ311" s="1702"/>
      <c r="BA311" s="1702"/>
      <c r="BB311" s="1702"/>
      <c r="BC311" s="1702"/>
      <c r="BD311" s="1702"/>
      <c r="BE311" s="1702"/>
      <c r="BF311" s="1702"/>
      <c r="BG311" s="1702"/>
      <c r="BH311" s="1702"/>
      <c r="BI311" s="1702"/>
      <c r="BJ311" s="1702"/>
      <c r="BK311" s="1702"/>
      <c r="BL311" s="1702"/>
      <c r="BM311" s="1702"/>
      <c r="BN311" s="1702"/>
      <c r="BO311" s="1702"/>
      <c r="BP311" s="1702"/>
      <c r="BQ311" s="1702"/>
      <c r="BR311" s="1702"/>
      <c r="BS311" s="1702"/>
      <c r="BT311" s="1702"/>
      <c r="BU311" s="1702"/>
      <c r="BV311" s="1702"/>
      <c r="BW311" s="1702"/>
      <c r="BX311" s="1702"/>
      <c r="BY311" s="1702"/>
      <c r="BZ311" s="1702"/>
      <c r="CA311" s="1702"/>
      <c r="CB311" s="1702"/>
    </row>
    <row r="312" spans="1:80" s="1505" customFormat="1" x14ac:dyDescent="0.2">
      <c r="A312" s="1932"/>
      <c r="D312" s="1505">
        <v>2014</v>
      </c>
      <c r="E312" s="1700">
        <v>495718</v>
      </c>
      <c r="F312" s="1701"/>
      <c r="G312" s="1701"/>
      <c r="I312" s="1701"/>
      <c r="J312" s="1701"/>
      <c r="K312" s="1701"/>
      <c r="L312" s="1701">
        <f>E312/5</f>
        <v>99143.6</v>
      </c>
      <c r="M312" s="1701">
        <f>L312</f>
        <v>99143.6</v>
      </c>
      <c r="N312" s="1701">
        <f>M312</f>
        <v>99143.6</v>
      </c>
      <c r="O312" s="1701">
        <f>N312</f>
        <v>99143.6</v>
      </c>
      <c r="P312" s="1705">
        <f>O312</f>
        <v>99143.6</v>
      </c>
      <c r="Q312" s="1705"/>
      <c r="R312" s="1702"/>
      <c r="S312" s="1702"/>
      <c r="T312" s="1702"/>
      <c r="U312" s="1702"/>
      <c r="V312" s="1702"/>
      <c r="W312" s="1702"/>
      <c r="X312" s="1702"/>
      <c r="Y312" s="1702"/>
      <c r="Z312" s="1702"/>
      <c r="AA312" s="1702"/>
      <c r="AB312" s="1702"/>
      <c r="AC312" s="1702"/>
      <c r="AD312" s="1702"/>
      <c r="AE312" s="1702"/>
      <c r="AF312" s="1702"/>
      <c r="AG312" s="1702"/>
      <c r="AH312" s="1702"/>
      <c r="AI312" s="1702"/>
      <c r="AJ312" s="1702"/>
      <c r="AK312" s="1702"/>
      <c r="AL312" s="1702"/>
      <c r="AM312" s="1702"/>
      <c r="AN312" s="1702"/>
      <c r="AO312" s="1702"/>
      <c r="AP312" s="1702"/>
      <c r="AQ312" s="1702"/>
      <c r="AR312" s="1702"/>
      <c r="AS312" s="1702"/>
      <c r="AT312" s="1702"/>
      <c r="AU312" s="1702"/>
      <c r="AV312" s="1702"/>
      <c r="AW312" s="1702"/>
      <c r="AX312" s="1702"/>
      <c r="AY312" s="1702"/>
      <c r="AZ312" s="1702"/>
      <c r="BA312" s="1702"/>
      <c r="BB312" s="1702"/>
      <c r="BC312" s="1702"/>
      <c r="BD312" s="1702"/>
      <c r="BE312" s="1702"/>
      <c r="BF312" s="1702"/>
      <c r="BG312" s="1702"/>
      <c r="BH312" s="1702"/>
      <c r="BI312" s="1702"/>
      <c r="BJ312" s="1702"/>
      <c r="BK312" s="1702"/>
      <c r="BL312" s="1702"/>
      <c r="BM312" s="1702"/>
      <c r="BN312" s="1702"/>
      <c r="BO312" s="1702"/>
      <c r="BP312" s="1702"/>
      <c r="BQ312" s="1702"/>
      <c r="BR312" s="1702"/>
      <c r="BS312" s="1702"/>
      <c r="BT312" s="1702"/>
      <c r="BU312" s="1702"/>
      <c r="BV312" s="1702"/>
      <c r="BW312" s="1702"/>
      <c r="BX312" s="1702"/>
      <c r="BY312" s="1702"/>
      <c r="BZ312" s="1702"/>
      <c r="CA312" s="1702"/>
      <c r="CB312" s="1702"/>
    </row>
    <row r="313" spans="1:80" s="1505" customFormat="1" x14ac:dyDescent="0.2">
      <c r="A313" s="1932"/>
      <c r="D313" s="1505">
        <v>2015</v>
      </c>
      <c r="E313" s="1700">
        <v>647688</v>
      </c>
      <c r="F313" s="1701"/>
      <c r="G313" s="1701"/>
      <c r="I313" s="1701"/>
      <c r="J313" s="1701"/>
      <c r="K313" s="1701"/>
      <c r="L313" s="1701"/>
      <c r="M313" s="1701">
        <f>E313/5</f>
        <v>129537.60000000001</v>
      </c>
      <c r="N313" s="1701">
        <f>M313</f>
        <v>129537.60000000001</v>
      </c>
      <c r="O313" s="1701">
        <f>N313</f>
        <v>129537.60000000001</v>
      </c>
      <c r="P313" s="1705">
        <f>O313</f>
        <v>129537.60000000001</v>
      </c>
      <c r="Q313" s="1705">
        <f>P313</f>
        <v>129537.60000000001</v>
      </c>
      <c r="R313" s="1702"/>
      <c r="S313" s="1702"/>
      <c r="T313" s="1702"/>
      <c r="U313" s="1702"/>
      <c r="V313" s="1702"/>
      <c r="W313" s="1702"/>
      <c r="X313" s="1702"/>
      <c r="Y313" s="1702"/>
      <c r="Z313" s="1702"/>
      <c r="AA313" s="1702"/>
      <c r="AB313" s="1702"/>
      <c r="AC313" s="1702"/>
      <c r="AD313" s="1702"/>
      <c r="AE313" s="1702"/>
      <c r="AF313" s="1702"/>
      <c r="AG313" s="1702"/>
      <c r="AH313" s="1702"/>
      <c r="AI313" s="1702"/>
      <c r="AJ313" s="1702"/>
      <c r="AK313" s="1702"/>
      <c r="AL313" s="1702"/>
      <c r="AM313" s="1702"/>
      <c r="AN313" s="1702"/>
      <c r="AO313" s="1702"/>
      <c r="AP313" s="1702"/>
      <c r="AQ313" s="1702"/>
      <c r="AR313" s="1702"/>
      <c r="AS313" s="1702"/>
      <c r="AT313" s="1702"/>
      <c r="AU313" s="1702"/>
      <c r="AV313" s="1702"/>
      <c r="AW313" s="1702"/>
      <c r="AX313" s="1702"/>
      <c r="AY313" s="1702"/>
      <c r="AZ313" s="1702"/>
      <c r="BA313" s="1702"/>
      <c r="BB313" s="1702"/>
      <c r="BC313" s="1702"/>
      <c r="BD313" s="1702"/>
      <c r="BE313" s="1702"/>
      <c r="BF313" s="1702"/>
      <c r="BG313" s="1702"/>
      <c r="BH313" s="1702"/>
      <c r="BI313" s="1702"/>
      <c r="BJ313" s="1702"/>
      <c r="BK313" s="1702"/>
      <c r="BL313" s="1702"/>
      <c r="BM313" s="1702"/>
      <c r="BN313" s="1702"/>
      <c r="BO313" s="1702"/>
      <c r="BP313" s="1702"/>
      <c r="BQ313" s="1702"/>
      <c r="BR313" s="1702"/>
      <c r="BS313" s="1702"/>
      <c r="BT313" s="1702"/>
      <c r="BU313" s="1702"/>
      <c r="BV313" s="1702"/>
      <c r="BW313" s="1702"/>
      <c r="BX313" s="1702"/>
      <c r="BY313" s="1702"/>
      <c r="BZ313" s="1702"/>
      <c r="CA313" s="1702"/>
      <c r="CB313" s="1702"/>
    </row>
    <row r="314" spans="1:80" s="1505" customFormat="1" x14ac:dyDescent="0.2">
      <c r="A314" s="1932"/>
      <c r="D314" s="1505" t="s">
        <v>69</v>
      </c>
      <c r="E314" s="1700">
        <f>SUM(E309:E313)</f>
        <v>3048671</v>
      </c>
      <c r="F314" s="1701"/>
      <c r="G314" s="1701"/>
      <c r="H314" s="1701"/>
      <c r="I314" s="1701"/>
      <c r="J314" s="1701"/>
      <c r="K314" s="1701"/>
      <c r="L314" s="1701"/>
      <c r="M314" s="1701"/>
      <c r="N314" s="1701"/>
      <c r="O314" s="1701"/>
      <c r="P314" s="1705"/>
      <c r="Q314" s="1706"/>
      <c r="R314" s="1702"/>
      <c r="S314" s="1702"/>
      <c r="T314" s="1702"/>
      <c r="U314" s="1702"/>
      <c r="V314" s="1702"/>
      <c r="W314" s="1702"/>
      <c r="X314" s="1702"/>
      <c r="Y314" s="1702"/>
      <c r="Z314" s="1702"/>
      <c r="AA314" s="1702"/>
      <c r="AB314" s="1702"/>
      <c r="AC314" s="1702"/>
      <c r="AD314" s="1702"/>
      <c r="AE314" s="1702"/>
      <c r="AF314" s="1702"/>
      <c r="AG314" s="1702"/>
      <c r="AH314" s="1702"/>
      <c r="AI314" s="1702"/>
      <c r="AJ314" s="1702"/>
      <c r="AK314" s="1702"/>
      <c r="AL314" s="1702"/>
      <c r="AM314" s="1702"/>
      <c r="AN314" s="1702"/>
      <c r="AO314" s="1702"/>
      <c r="AP314" s="1702"/>
      <c r="AQ314" s="1702"/>
      <c r="AR314" s="1702"/>
      <c r="AS314" s="1702"/>
      <c r="AT314" s="1702"/>
      <c r="AU314" s="1702"/>
      <c r="AV314" s="1702"/>
      <c r="AW314" s="1702"/>
      <c r="AX314" s="1702"/>
      <c r="AY314" s="1702"/>
      <c r="AZ314" s="1702"/>
      <c r="BA314" s="1702"/>
      <c r="BB314" s="1702"/>
      <c r="BC314" s="1702"/>
      <c r="BD314" s="1702"/>
      <c r="BE314" s="1702"/>
      <c r="BF314" s="1702"/>
      <c r="BG314" s="1702"/>
      <c r="BH314" s="1702"/>
      <c r="BI314" s="1702"/>
      <c r="BJ314" s="1702"/>
      <c r="BK314" s="1702"/>
      <c r="BL314" s="1702"/>
      <c r="BM314" s="1702"/>
      <c r="BN314" s="1702"/>
      <c r="BO314" s="1702"/>
      <c r="BP314" s="1702"/>
      <c r="BQ314" s="1702"/>
      <c r="BR314" s="1702"/>
      <c r="BS314" s="1702"/>
      <c r="BT314" s="1702"/>
      <c r="BU314" s="1702"/>
      <c r="BV314" s="1702"/>
      <c r="BW314" s="1702"/>
      <c r="BX314" s="1702"/>
      <c r="BY314" s="1702"/>
      <c r="BZ314" s="1702"/>
      <c r="CA314" s="1702"/>
      <c r="CB314" s="1702"/>
    </row>
    <row r="315" spans="1:80" x14ac:dyDescent="0.2">
      <c r="A315" s="430"/>
      <c r="B315" s="39"/>
      <c r="C315" s="39"/>
      <c r="D315" s="39"/>
      <c r="E315" s="1671"/>
      <c r="F315" s="66"/>
      <c r="G315" s="66"/>
      <c r="H315" s="66"/>
      <c r="I315" s="66"/>
      <c r="J315" s="66"/>
      <c r="K315" s="66"/>
      <c r="L315" s="66"/>
      <c r="M315" s="66"/>
      <c r="N315" s="66"/>
      <c r="O315" s="66"/>
      <c r="P315" s="1712"/>
      <c r="Q315" s="1685"/>
      <c r="R315" s="288"/>
      <c r="S315" s="288"/>
      <c r="T315" s="288"/>
      <c r="U315" s="288"/>
      <c r="V315" s="288"/>
      <c r="W315" s="288"/>
      <c r="X315" s="288"/>
      <c r="Y315" s="288"/>
      <c r="Z315" s="288"/>
      <c r="AA315" s="288"/>
      <c r="AB315" s="288"/>
      <c r="AC315" s="288"/>
      <c r="AD315" s="288"/>
      <c r="AE315" s="288"/>
      <c r="AF315" s="288"/>
      <c r="AG315" s="288"/>
      <c r="AH315" s="288"/>
      <c r="AI315" s="288"/>
      <c r="AJ315" s="288"/>
      <c r="AK315" s="288"/>
      <c r="AL315" s="288"/>
      <c r="AM315" s="288"/>
      <c r="AN315" s="288"/>
      <c r="AO315" s="288"/>
      <c r="AP315" s="288"/>
      <c r="AQ315" s="288"/>
      <c r="AR315" s="288"/>
      <c r="AS315" s="288"/>
      <c r="AT315" s="288"/>
      <c r="AU315" s="288"/>
      <c r="AV315" s="288"/>
      <c r="AW315" s="288"/>
      <c r="AX315" s="288"/>
      <c r="AY315" s="288"/>
      <c r="AZ315" s="288"/>
      <c r="BA315" s="288"/>
      <c r="BB315" s="288"/>
      <c r="BC315" s="288"/>
      <c r="BD315" s="288"/>
      <c r="BE315" s="288"/>
      <c r="BF315" s="288"/>
      <c r="BG315" s="288"/>
      <c r="BH315" s="288"/>
      <c r="BI315" s="288"/>
      <c r="BJ315" s="288"/>
      <c r="BK315" s="288"/>
      <c r="BL315" s="288"/>
      <c r="BM315" s="288"/>
      <c r="BN315" s="288"/>
      <c r="BO315" s="288"/>
      <c r="BP315" s="288"/>
      <c r="BQ315" s="288"/>
      <c r="BR315" s="288"/>
      <c r="BS315" s="288"/>
      <c r="BT315" s="288"/>
      <c r="BU315" s="288"/>
      <c r="BV315" s="288"/>
      <c r="BW315" s="288"/>
      <c r="BX315" s="288"/>
      <c r="BY315" s="288"/>
      <c r="BZ315" s="288"/>
      <c r="CA315" s="288"/>
      <c r="CB315" s="288"/>
    </row>
    <row r="316" spans="1:80" s="1505" customFormat="1" x14ac:dyDescent="0.2">
      <c r="A316" s="1932" t="s">
        <v>957</v>
      </c>
      <c r="D316" s="1505">
        <v>2011</v>
      </c>
      <c r="E316" s="1700">
        <v>35143</v>
      </c>
      <c r="F316" s="1701"/>
      <c r="G316" s="1701"/>
      <c r="I316" s="1701">
        <f>E316/5</f>
        <v>7028.6</v>
      </c>
      <c r="J316" s="1701">
        <f>I316</f>
        <v>7028.6</v>
      </c>
      <c r="K316" s="1701">
        <f>J316</f>
        <v>7028.6</v>
      </c>
      <c r="L316" s="1701">
        <f>K316</f>
        <v>7028.6</v>
      </c>
      <c r="M316" s="1701">
        <f>I316</f>
        <v>7028.6</v>
      </c>
      <c r="N316" s="1701"/>
      <c r="O316" s="1701"/>
      <c r="P316" s="1705"/>
      <c r="Q316" s="1705"/>
      <c r="R316" s="1702"/>
      <c r="S316" s="1702"/>
      <c r="T316" s="1702"/>
      <c r="U316" s="1702"/>
      <c r="V316" s="1702"/>
      <c r="W316" s="1702"/>
      <c r="X316" s="1702"/>
      <c r="Y316" s="1702"/>
      <c r="Z316" s="1702"/>
      <c r="AA316" s="1702"/>
      <c r="AB316" s="1702"/>
      <c r="AC316" s="1702"/>
      <c r="AD316" s="1702"/>
      <c r="AE316" s="1702"/>
      <c r="AF316" s="1702"/>
      <c r="AG316" s="1702"/>
      <c r="AH316" s="1702"/>
      <c r="AI316" s="1702"/>
      <c r="AJ316" s="1702"/>
      <c r="AK316" s="1702"/>
      <c r="AL316" s="1702"/>
      <c r="AM316" s="1702"/>
      <c r="AN316" s="1702"/>
      <c r="AO316" s="1702"/>
      <c r="AP316" s="1702"/>
      <c r="AQ316" s="1702"/>
      <c r="AR316" s="1702"/>
      <c r="AS316" s="1702"/>
      <c r="AT316" s="1702"/>
      <c r="AU316" s="1702"/>
      <c r="AV316" s="1702"/>
      <c r="AW316" s="1702"/>
      <c r="AX316" s="1702"/>
      <c r="AY316" s="1702"/>
      <c r="AZ316" s="1702"/>
      <c r="BA316" s="1702"/>
      <c r="BB316" s="1702"/>
      <c r="BC316" s="1702"/>
      <c r="BD316" s="1702"/>
      <c r="BE316" s="1702"/>
      <c r="BF316" s="1702"/>
      <c r="BG316" s="1702"/>
      <c r="BH316" s="1702"/>
      <c r="BI316" s="1702"/>
      <c r="BJ316" s="1702"/>
      <c r="BK316" s="1702"/>
      <c r="BL316" s="1702"/>
      <c r="BM316" s="1702"/>
      <c r="BN316" s="1702"/>
      <c r="BO316" s="1702"/>
      <c r="BP316" s="1702"/>
      <c r="BQ316" s="1702"/>
      <c r="BR316" s="1702"/>
      <c r="BS316" s="1702"/>
      <c r="BT316" s="1702"/>
      <c r="BU316" s="1702"/>
      <c r="BV316" s="1702"/>
      <c r="BW316" s="1702"/>
      <c r="BX316" s="1702"/>
      <c r="BY316" s="1702"/>
      <c r="BZ316" s="1702"/>
      <c r="CA316" s="1702"/>
      <c r="CB316" s="1702"/>
    </row>
    <row r="317" spans="1:80" s="1505" customFormat="1" x14ac:dyDescent="0.2">
      <c r="D317" s="1505">
        <v>2012</v>
      </c>
      <c r="E317" s="1700">
        <v>120595</v>
      </c>
      <c r="F317" s="1701"/>
      <c r="G317" s="1701"/>
      <c r="I317" s="1701"/>
      <c r="J317" s="1701">
        <f>E317/5</f>
        <v>24119</v>
      </c>
      <c r="K317" s="1701">
        <f>J317</f>
        <v>24119</v>
      </c>
      <c r="L317" s="1701">
        <f>K317</f>
        <v>24119</v>
      </c>
      <c r="M317" s="1701">
        <f>L317</f>
        <v>24119</v>
      </c>
      <c r="N317" s="1701">
        <f>M317</f>
        <v>24119</v>
      </c>
      <c r="O317" s="1701"/>
      <c r="P317" s="1705"/>
      <c r="Q317" s="1705"/>
      <c r="R317" s="1702"/>
      <c r="S317" s="1702"/>
      <c r="T317" s="1702"/>
      <c r="U317" s="1702"/>
      <c r="V317" s="1702"/>
      <c r="W317" s="1702"/>
      <c r="X317" s="1702"/>
      <c r="Y317" s="1702"/>
      <c r="Z317" s="1702"/>
      <c r="AA317" s="1702"/>
      <c r="AB317" s="1702"/>
      <c r="AC317" s="1702"/>
      <c r="AD317" s="1702"/>
      <c r="AE317" s="1702"/>
      <c r="AF317" s="1702"/>
      <c r="AG317" s="1702"/>
      <c r="AH317" s="1702"/>
      <c r="AI317" s="1702"/>
      <c r="AJ317" s="1702"/>
      <c r="AK317" s="1702"/>
      <c r="AL317" s="1702"/>
      <c r="AM317" s="1702"/>
      <c r="AN317" s="1702"/>
      <c r="AO317" s="1702"/>
      <c r="AP317" s="1702"/>
      <c r="AQ317" s="1702"/>
      <c r="AR317" s="1702"/>
      <c r="AS317" s="1702"/>
      <c r="AT317" s="1702"/>
      <c r="AU317" s="1702"/>
      <c r="AV317" s="1702"/>
      <c r="AW317" s="1702"/>
      <c r="AX317" s="1702"/>
      <c r="AY317" s="1702"/>
      <c r="AZ317" s="1702"/>
      <c r="BA317" s="1702"/>
      <c r="BB317" s="1702"/>
      <c r="BC317" s="1702"/>
      <c r="BD317" s="1702"/>
      <c r="BE317" s="1702"/>
      <c r="BF317" s="1702"/>
      <c r="BG317" s="1702"/>
      <c r="BH317" s="1702"/>
      <c r="BI317" s="1702"/>
      <c r="BJ317" s="1702"/>
      <c r="BK317" s="1702"/>
      <c r="BL317" s="1702"/>
      <c r="BM317" s="1702"/>
      <c r="BN317" s="1702"/>
      <c r="BO317" s="1702"/>
      <c r="BP317" s="1702"/>
      <c r="BQ317" s="1702"/>
      <c r="BR317" s="1702"/>
      <c r="BS317" s="1702"/>
      <c r="BT317" s="1702"/>
      <c r="BU317" s="1702"/>
      <c r="BV317" s="1702"/>
      <c r="BW317" s="1702"/>
      <c r="BX317" s="1702"/>
      <c r="BY317" s="1702"/>
      <c r="BZ317" s="1702"/>
      <c r="CA317" s="1702"/>
      <c r="CB317" s="1702"/>
    </row>
    <row r="318" spans="1:80" s="1505" customFormat="1" x14ac:dyDescent="0.2">
      <c r="D318" s="1505">
        <v>2013</v>
      </c>
      <c r="E318" s="1700">
        <v>178430</v>
      </c>
      <c r="F318" s="1701"/>
      <c r="G318" s="1701"/>
      <c r="I318" s="1701"/>
      <c r="J318" s="1701"/>
      <c r="K318" s="1701">
        <f>E318/5</f>
        <v>35686</v>
      </c>
      <c r="L318" s="1701">
        <f>K318</f>
        <v>35686</v>
      </c>
      <c r="M318" s="1701">
        <f>L318</f>
        <v>35686</v>
      </c>
      <c r="N318" s="1701">
        <f>M318</f>
        <v>35686</v>
      </c>
      <c r="O318" s="1701">
        <f>N318</f>
        <v>35686</v>
      </c>
      <c r="P318" s="1705"/>
      <c r="Q318" s="1705"/>
      <c r="R318" s="1702"/>
      <c r="S318" s="1702"/>
      <c r="T318" s="1702"/>
      <c r="U318" s="1702"/>
      <c r="V318" s="1702"/>
      <c r="W318" s="1702"/>
      <c r="X318" s="1702"/>
      <c r="Y318" s="1702"/>
      <c r="Z318" s="1702"/>
      <c r="AA318" s="1702"/>
      <c r="AB318" s="1702"/>
      <c r="AC318" s="1702"/>
      <c r="AD318" s="1702"/>
      <c r="AE318" s="1702"/>
      <c r="AF318" s="1702"/>
      <c r="AG318" s="1702"/>
      <c r="AH318" s="1702"/>
      <c r="AI318" s="1702"/>
      <c r="AJ318" s="1702"/>
      <c r="AK318" s="1702"/>
      <c r="AL318" s="1702"/>
      <c r="AM318" s="1702"/>
      <c r="AN318" s="1702"/>
      <c r="AO318" s="1702"/>
      <c r="AP318" s="1702"/>
      <c r="AQ318" s="1702"/>
      <c r="AR318" s="1702"/>
      <c r="AS318" s="1702"/>
      <c r="AT318" s="1702"/>
      <c r="AU318" s="1702"/>
      <c r="AV318" s="1702"/>
      <c r="AW318" s="1702"/>
      <c r="AX318" s="1702"/>
      <c r="AY318" s="1702"/>
      <c r="AZ318" s="1702"/>
      <c r="BA318" s="1702"/>
      <c r="BB318" s="1702"/>
      <c r="BC318" s="1702"/>
      <c r="BD318" s="1702"/>
      <c r="BE318" s="1702"/>
      <c r="BF318" s="1702"/>
      <c r="BG318" s="1702"/>
      <c r="BH318" s="1702"/>
      <c r="BI318" s="1702"/>
      <c r="BJ318" s="1702"/>
      <c r="BK318" s="1702"/>
      <c r="BL318" s="1702"/>
      <c r="BM318" s="1702"/>
      <c r="BN318" s="1702"/>
      <c r="BO318" s="1702"/>
      <c r="BP318" s="1702"/>
      <c r="BQ318" s="1702"/>
      <c r="BR318" s="1702"/>
      <c r="BS318" s="1702"/>
      <c r="BT318" s="1702"/>
      <c r="BU318" s="1702"/>
      <c r="BV318" s="1702"/>
      <c r="BW318" s="1702"/>
      <c r="BX318" s="1702"/>
      <c r="BY318" s="1702"/>
      <c r="BZ318" s="1702"/>
      <c r="CA318" s="1702"/>
      <c r="CB318" s="1702"/>
    </row>
    <row r="319" spans="1:80" s="1505" customFormat="1" x14ac:dyDescent="0.2">
      <c r="D319" s="1505">
        <v>2014</v>
      </c>
      <c r="E319" s="1700">
        <v>55343</v>
      </c>
      <c r="F319" s="1701"/>
      <c r="G319" s="1701"/>
      <c r="I319" s="1701"/>
      <c r="J319" s="1701"/>
      <c r="K319" s="1701"/>
      <c r="L319" s="1701">
        <f>E319/5</f>
        <v>11068.6</v>
      </c>
      <c r="M319" s="1701">
        <f>L319</f>
        <v>11068.6</v>
      </c>
      <c r="N319" s="1701">
        <f>M319</f>
        <v>11068.6</v>
      </c>
      <c r="O319" s="1701">
        <f>N319</f>
        <v>11068.6</v>
      </c>
      <c r="P319" s="1705">
        <f>O319</f>
        <v>11068.6</v>
      </c>
      <c r="Q319" s="1705"/>
      <c r="R319" s="1702"/>
      <c r="S319" s="1702"/>
      <c r="T319" s="1702"/>
      <c r="U319" s="1702"/>
      <c r="V319" s="1702"/>
      <c r="W319" s="1702"/>
      <c r="X319" s="1702"/>
      <c r="Y319" s="1702"/>
      <c r="Z319" s="1702"/>
      <c r="AA319" s="1702"/>
      <c r="AB319" s="1702"/>
      <c r="AC319" s="1702"/>
      <c r="AD319" s="1702"/>
      <c r="AE319" s="1702"/>
      <c r="AF319" s="1702"/>
      <c r="AG319" s="1702"/>
      <c r="AH319" s="1702"/>
      <c r="AI319" s="1702"/>
      <c r="AJ319" s="1702"/>
      <c r="AK319" s="1702"/>
      <c r="AL319" s="1702"/>
      <c r="AM319" s="1702"/>
      <c r="AN319" s="1702"/>
      <c r="AO319" s="1702"/>
      <c r="AP319" s="1702"/>
      <c r="AQ319" s="1702"/>
      <c r="AR319" s="1702"/>
      <c r="AS319" s="1702"/>
      <c r="AT319" s="1702"/>
      <c r="AU319" s="1702"/>
      <c r="AV319" s="1702"/>
      <c r="AW319" s="1702"/>
      <c r="AX319" s="1702"/>
      <c r="AY319" s="1702"/>
      <c r="AZ319" s="1702"/>
      <c r="BA319" s="1702"/>
      <c r="BB319" s="1702"/>
      <c r="BC319" s="1702"/>
      <c r="BD319" s="1702"/>
      <c r="BE319" s="1702"/>
      <c r="BF319" s="1702"/>
      <c r="BG319" s="1702"/>
      <c r="BH319" s="1702"/>
      <c r="BI319" s="1702"/>
      <c r="BJ319" s="1702"/>
      <c r="BK319" s="1702"/>
      <c r="BL319" s="1702"/>
      <c r="BM319" s="1702"/>
      <c r="BN319" s="1702"/>
      <c r="BO319" s="1702"/>
      <c r="BP319" s="1702"/>
      <c r="BQ319" s="1702"/>
      <c r="BR319" s="1702"/>
      <c r="BS319" s="1702"/>
      <c r="BT319" s="1702"/>
      <c r="BU319" s="1702"/>
      <c r="BV319" s="1702"/>
      <c r="BW319" s="1702"/>
      <c r="BX319" s="1702"/>
      <c r="BY319" s="1702"/>
      <c r="BZ319" s="1702"/>
      <c r="CA319" s="1702"/>
      <c r="CB319" s="1702"/>
    </row>
    <row r="320" spans="1:80" s="1505" customFormat="1" x14ac:dyDescent="0.2">
      <c r="D320" s="1505">
        <v>2015</v>
      </c>
      <c r="E320" s="1700">
        <v>88885</v>
      </c>
      <c r="F320" s="1701"/>
      <c r="G320" s="1701"/>
      <c r="I320" s="1701"/>
      <c r="J320" s="1701"/>
      <c r="K320" s="1701"/>
      <c r="L320" s="1701"/>
      <c r="M320" s="1701">
        <f>E320/5</f>
        <v>17777</v>
      </c>
      <c r="N320" s="1701">
        <f>M320</f>
        <v>17777</v>
      </c>
      <c r="O320" s="1701">
        <f>N320</f>
        <v>17777</v>
      </c>
      <c r="P320" s="1705">
        <f>O320</f>
        <v>17777</v>
      </c>
      <c r="Q320" s="1705">
        <f>P320</f>
        <v>17777</v>
      </c>
      <c r="R320" s="1702"/>
      <c r="S320" s="1702"/>
      <c r="T320" s="1702"/>
      <c r="U320" s="1702"/>
      <c r="V320" s="1702"/>
      <c r="W320" s="1702"/>
      <c r="X320" s="1702"/>
      <c r="Y320" s="1702"/>
      <c r="Z320" s="1702"/>
      <c r="AA320" s="1702"/>
      <c r="AB320" s="1702"/>
      <c r="AC320" s="1702"/>
      <c r="AD320" s="1702"/>
      <c r="AE320" s="1702"/>
      <c r="AF320" s="1702"/>
      <c r="AG320" s="1702"/>
      <c r="AH320" s="1702"/>
      <c r="AI320" s="1702"/>
      <c r="AJ320" s="1702"/>
      <c r="AK320" s="1702"/>
      <c r="AL320" s="1702"/>
      <c r="AM320" s="1702"/>
      <c r="AN320" s="1702"/>
      <c r="AO320" s="1702"/>
      <c r="AP320" s="1702"/>
      <c r="AQ320" s="1702"/>
      <c r="AR320" s="1702"/>
      <c r="AS320" s="1702"/>
      <c r="AT320" s="1702"/>
      <c r="AU320" s="1702"/>
      <c r="AV320" s="1702"/>
      <c r="AW320" s="1702"/>
      <c r="AX320" s="1702"/>
      <c r="AY320" s="1702"/>
      <c r="AZ320" s="1702"/>
      <c r="BA320" s="1702"/>
      <c r="BB320" s="1702"/>
      <c r="BC320" s="1702"/>
      <c r="BD320" s="1702"/>
      <c r="BE320" s="1702"/>
      <c r="BF320" s="1702"/>
      <c r="BG320" s="1702"/>
      <c r="BH320" s="1702"/>
      <c r="BI320" s="1702"/>
      <c r="BJ320" s="1702"/>
      <c r="BK320" s="1702"/>
      <c r="BL320" s="1702"/>
      <c r="BM320" s="1702"/>
      <c r="BN320" s="1702"/>
      <c r="BO320" s="1702"/>
      <c r="BP320" s="1702"/>
      <c r="BQ320" s="1702"/>
      <c r="BR320" s="1702"/>
      <c r="BS320" s="1702"/>
      <c r="BT320" s="1702"/>
      <c r="BU320" s="1702"/>
      <c r="BV320" s="1702"/>
      <c r="BW320" s="1702"/>
      <c r="BX320" s="1702"/>
      <c r="BY320" s="1702"/>
      <c r="BZ320" s="1702"/>
      <c r="CA320" s="1702"/>
      <c r="CB320" s="1702"/>
    </row>
    <row r="321" spans="1:80" s="1505" customFormat="1" x14ac:dyDescent="0.2">
      <c r="D321" s="1505" t="s">
        <v>69</v>
      </c>
      <c r="E321" s="1700">
        <f>SUM(E316:E320)</f>
        <v>478396</v>
      </c>
      <c r="F321" s="1701"/>
      <c r="G321" s="1701"/>
      <c r="H321" s="1701"/>
      <c r="I321" s="1701"/>
      <c r="J321" s="1701"/>
      <c r="K321" s="1701"/>
      <c r="L321" s="1701"/>
      <c r="M321" s="1701"/>
      <c r="N321" s="1701"/>
      <c r="O321" s="1701"/>
      <c r="P321" s="1705"/>
      <c r="Q321" s="1706"/>
      <c r="R321" s="1702"/>
      <c r="S321" s="1702"/>
      <c r="T321" s="1702"/>
      <c r="U321" s="1702"/>
      <c r="V321" s="1702"/>
      <c r="W321" s="1702"/>
      <c r="X321" s="1702"/>
      <c r="Y321" s="1702"/>
      <c r="Z321" s="1702"/>
      <c r="AA321" s="1702"/>
      <c r="AB321" s="1702"/>
      <c r="AC321" s="1702"/>
      <c r="AD321" s="1702"/>
      <c r="AE321" s="1702"/>
      <c r="AF321" s="1702"/>
      <c r="AG321" s="1702"/>
      <c r="AH321" s="1702"/>
      <c r="AI321" s="1702"/>
      <c r="AJ321" s="1702"/>
      <c r="AK321" s="1702"/>
      <c r="AL321" s="1702"/>
      <c r="AM321" s="1702"/>
      <c r="AN321" s="1702"/>
      <c r="AO321" s="1702"/>
      <c r="AP321" s="1702"/>
      <c r="AQ321" s="1702"/>
      <c r="AR321" s="1702"/>
      <c r="AS321" s="1702"/>
      <c r="AT321" s="1702"/>
      <c r="AU321" s="1702"/>
      <c r="AV321" s="1702"/>
      <c r="AW321" s="1702"/>
      <c r="AX321" s="1702"/>
      <c r="AY321" s="1702"/>
      <c r="AZ321" s="1702"/>
      <c r="BA321" s="1702"/>
      <c r="BB321" s="1702"/>
      <c r="BC321" s="1702"/>
      <c r="BD321" s="1702"/>
      <c r="BE321" s="1702"/>
      <c r="BF321" s="1702"/>
      <c r="BG321" s="1702"/>
      <c r="BH321" s="1702"/>
      <c r="BI321" s="1702"/>
      <c r="BJ321" s="1702"/>
      <c r="BK321" s="1702"/>
      <c r="BL321" s="1702"/>
      <c r="BM321" s="1702"/>
      <c r="BN321" s="1702"/>
      <c r="BO321" s="1702"/>
      <c r="BP321" s="1702"/>
      <c r="BQ321" s="1702"/>
      <c r="BR321" s="1702"/>
      <c r="BS321" s="1702"/>
      <c r="BT321" s="1702"/>
      <c r="BU321" s="1702"/>
      <c r="BV321" s="1702"/>
      <c r="BW321" s="1702"/>
      <c r="BX321" s="1702"/>
      <c r="BY321" s="1702"/>
      <c r="BZ321" s="1702"/>
      <c r="CA321" s="1702"/>
      <c r="CB321" s="1702"/>
    </row>
    <row r="322" spans="1:80" x14ac:dyDescent="0.2">
      <c r="A322" s="39"/>
      <c r="B322" s="39"/>
      <c r="C322" s="39"/>
      <c r="D322" s="39"/>
      <c r="E322" s="1671"/>
      <c r="F322" s="66"/>
      <c r="G322" s="66"/>
      <c r="H322" s="66"/>
      <c r="I322" s="66"/>
      <c r="J322" s="66"/>
      <c r="K322" s="66"/>
      <c r="L322" s="66"/>
      <c r="M322" s="66"/>
      <c r="N322" s="66"/>
      <c r="O322" s="66"/>
      <c r="P322" s="1712"/>
      <c r="Q322" s="1685"/>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288"/>
      <c r="AN322" s="288"/>
      <c r="AO322" s="288"/>
      <c r="AP322" s="288"/>
      <c r="AQ322" s="288"/>
      <c r="AR322" s="288"/>
      <c r="AS322" s="288"/>
      <c r="AT322" s="288"/>
      <c r="AU322" s="288"/>
      <c r="AV322" s="288"/>
      <c r="AW322" s="288"/>
      <c r="AX322" s="288"/>
      <c r="AY322" s="288"/>
      <c r="AZ322" s="288"/>
      <c r="BA322" s="288"/>
      <c r="BB322" s="288"/>
      <c r="BC322" s="288"/>
      <c r="BD322" s="288"/>
      <c r="BE322" s="288"/>
      <c r="BF322" s="288"/>
      <c r="BG322" s="288"/>
      <c r="BH322" s="288"/>
      <c r="BI322" s="288"/>
      <c r="BJ322" s="288"/>
      <c r="BK322" s="288"/>
      <c r="BL322" s="288"/>
      <c r="BM322" s="288"/>
      <c r="BN322" s="288"/>
      <c r="BO322" s="288"/>
      <c r="BP322" s="288"/>
      <c r="BQ322" s="288"/>
      <c r="BR322" s="288"/>
      <c r="BS322" s="288"/>
      <c r="BT322" s="288"/>
      <c r="BU322" s="288"/>
      <c r="BV322" s="288"/>
      <c r="BW322" s="288"/>
      <c r="BX322" s="288"/>
      <c r="BY322" s="288"/>
      <c r="BZ322" s="288"/>
      <c r="CA322" s="288"/>
      <c r="CB322" s="288"/>
    </row>
    <row r="323" spans="1:80" s="1505" customFormat="1" x14ac:dyDescent="0.2">
      <c r="A323" s="1932" t="s">
        <v>988</v>
      </c>
      <c r="D323" s="1505">
        <v>2011</v>
      </c>
      <c r="E323" s="1700">
        <v>130751</v>
      </c>
      <c r="F323" s="1701"/>
      <c r="G323" s="1701"/>
      <c r="I323" s="1701">
        <f>E323/5</f>
        <v>26150.2</v>
      </c>
      <c r="J323" s="1701">
        <f>I323</f>
        <v>26150.2</v>
      </c>
      <c r="K323" s="1701">
        <f>J323</f>
        <v>26150.2</v>
      </c>
      <c r="L323" s="1701">
        <f>K323</f>
        <v>26150.2</v>
      </c>
      <c r="M323" s="1701">
        <f>I323</f>
        <v>26150.2</v>
      </c>
      <c r="N323" s="1701"/>
      <c r="O323" s="1701"/>
      <c r="P323" s="1705"/>
      <c r="Q323" s="1705"/>
      <c r="R323" s="1702"/>
      <c r="S323" s="1702"/>
      <c r="T323" s="1702"/>
      <c r="U323" s="1702"/>
      <c r="V323" s="1702"/>
      <c r="W323" s="1702"/>
      <c r="X323" s="1702"/>
      <c r="Y323" s="1702"/>
      <c r="Z323" s="1702"/>
      <c r="AA323" s="1702"/>
      <c r="AB323" s="1702"/>
      <c r="AC323" s="1702"/>
      <c r="AD323" s="1702"/>
      <c r="AE323" s="1702"/>
      <c r="AF323" s="1702"/>
      <c r="AG323" s="1702"/>
      <c r="AH323" s="1702"/>
      <c r="AI323" s="1702"/>
      <c r="AJ323" s="1702"/>
      <c r="AK323" s="1702"/>
      <c r="AL323" s="1702"/>
      <c r="AM323" s="1702"/>
      <c r="AN323" s="1702"/>
      <c r="AO323" s="1702"/>
      <c r="AP323" s="1702"/>
      <c r="AQ323" s="1702"/>
      <c r="AR323" s="1702"/>
      <c r="AS323" s="1702"/>
      <c r="AT323" s="1702"/>
      <c r="AU323" s="1702"/>
      <c r="AV323" s="1702"/>
      <c r="AW323" s="1702"/>
      <c r="AX323" s="1702"/>
      <c r="AY323" s="1702"/>
      <c r="AZ323" s="1702"/>
      <c r="BA323" s="1702"/>
      <c r="BB323" s="1702"/>
      <c r="BC323" s="1702"/>
      <c r="BD323" s="1702"/>
      <c r="BE323" s="1702"/>
      <c r="BF323" s="1702"/>
      <c r="BG323" s="1702"/>
      <c r="BH323" s="1702"/>
      <c r="BI323" s="1702"/>
      <c r="BJ323" s="1702"/>
      <c r="BK323" s="1702"/>
      <c r="BL323" s="1702"/>
      <c r="BM323" s="1702"/>
      <c r="BN323" s="1702"/>
      <c r="BO323" s="1702"/>
      <c r="BP323" s="1702"/>
      <c r="BQ323" s="1702"/>
      <c r="BR323" s="1702"/>
      <c r="BS323" s="1702"/>
      <c r="BT323" s="1702"/>
      <c r="BU323" s="1702"/>
      <c r="BV323" s="1702"/>
      <c r="BW323" s="1702"/>
      <c r="BX323" s="1702"/>
      <c r="BY323" s="1702"/>
      <c r="BZ323" s="1702"/>
      <c r="CA323" s="1702"/>
      <c r="CB323" s="1702"/>
    </row>
    <row r="324" spans="1:80" s="1505" customFormat="1" x14ac:dyDescent="0.2">
      <c r="D324" s="1505">
        <v>2012</v>
      </c>
      <c r="E324" s="1700">
        <v>106859</v>
      </c>
      <c r="F324" s="1701"/>
      <c r="G324" s="1701"/>
      <c r="I324" s="1701"/>
      <c r="J324" s="1701">
        <f>E324/5</f>
        <v>21371.8</v>
      </c>
      <c r="K324" s="1701">
        <f>J324</f>
        <v>21371.8</v>
      </c>
      <c r="L324" s="1701">
        <f>K324</f>
        <v>21371.8</v>
      </c>
      <c r="M324" s="1701">
        <f>L324</f>
        <v>21371.8</v>
      </c>
      <c r="N324" s="1701">
        <f>M324</f>
        <v>21371.8</v>
      </c>
      <c r="O324" s="1701"/>
      <c r="P324" s="1705"/>
      <c r="Q324" s="1705"/>
      <c r="R324" s="1702"/>
      <c r="S324" s="1702"/>
      <c r="T324" s="1702"/>
      <c r="U324" s="1702"/>
      <c r="V324" s="1702"/>
      <c r="W324" s="1702"/>
      <c r="X324" s="1702"/>
      <c r="Y324" s="1702"/>
      <c r="Z324" s="1702"/>
      <c r="AA324" s="1702"/>
      <c r="AB324" s="1702"/>
      <c r="AC324" s="1702"/>
      <c r="AD324" s="1702"/>
      <c r="AE324" s="1702"/>
      <c r="AF324" s="1702"/>
      <c r="AG324" s="1702"/>
      <c r="AH324" s="1702"/>
      <c r="AI324" s="1702"/>
      <c r="AJ324" s="1702"/>
      <c r="AK324" s="1702"/>
      <c r="AL324" s="1702"/>
      <c r="AM324" s="1702"/>
      <c r="AN324" s="1702"/>
      <c r="AO324" s="1702"/>
      <c r="AP324" s="1702"/>
      <c r="AQ324" s="1702"/>
      <c r="AR324" s="1702"/>
      <c r="AS324" s="1702"/>
      <c r="AT324" s="1702"/>
      <c r="AU324" s="1702"/>
      <c r="AV324" s="1702"/>
      <c r="AW324" s="1702"/>
      <c r="AX324" s="1702"/>
      <c r="AY324" s="1702"/>
      <c r="AZ324" s="1702"/>
      <c r="BA324" s="1702"/>
      <c r="BB324" s="1702"/>
      <c r="BC324" s="1702"/>
      <c r="BD324" s="1702"/>
      <c r="BE324" s="1702"/>
      <c r="BF324" s="1702"/>
      <c r="BG324" s="1702"/>
      <c r="BH324" s="1702"/>
      <c r="BI324" s="1702"/>
      <c r="BJ324" s="1702"/>
      <c r="BK324" s="1702"/>
      <c r="BL324" s="1702"/>
      <c r="BM324" s="1702"/>
      <c r="BN324" s="1702"/>
      <c r="BO324" s="1702"/>
      <c r="BP324" s="1702"/>
      <c r="BQ324" s="1702"/>
      <c r="BR324" s="1702"/>
      <c r="BS324" s="1702"/>
      <c r="BT324" s="1702"/>
      <c r="BU324" s="1702"/>
      <c r="BV324" s="1702"/>
      <c r="BW324" s="1702"/>
      <c r="BX324" s="1702"/>
      <c r="BY324" s="1702"/>
      <c r="BZ324" s="1702"/>
      <c r="CA324" s="1702"/>
      <c r="CB324" s="1702"/>
    </row>
    <row r="325" spans="1:80" s="1505" customFormat="1" x14ac:dyDescent="0.2">
      <c r="D325" s="1505">
        <v>2013</v>
      </c>
      <c r="E325" s="1700">
        <v>91829</v>
      </c>
      <c r="F325" s="1701"/>
      <c r="G325" s="1701"/>
      <c r="I325" s="1701"/>
      <c r="J325" s="1701"/>
      <c r="K325" s="1701">
        <f>E325/5</f>
        <v>18365.8</v>
      </c>
      <c r="L325" s="1701">
        <f>K325</f>
        <v>18365.8</v>
      </c>
      <c r="M325" s="1701">
        <f>L325</f>
        <v>18365.8</v>
      </c>
      <c r="N325" s="1701">
        <f>M325</f>
        <v>18365.8</v>
      </c>
      <c r="O325" s="1701">
        <f>N325</f>
        <v>18365.8</v>
      </c>
      <c r="P325" s="1705"/>
      <c r="Q325" s="1705"/>
      <c r="R325" s="1702"/>
      <c r="S325" s="1702"/>
      <c r="T325" s="1702"/>
      <c r="U325" s="1702"/>
      <c r="V325" s="1702"/>
      <c r="W325" s="1702"/>
      <c r="X325" s="1702"/>
      <c r="Y325" s="1702"/>
      <c r="Z325" s="1702"/>
      <c r="AA325" s="1702"/>
      <c r="AB325" s="1702"/>
      <c r="AC325" s="1702"/>
      <c r="AD325" s="1702"/>
      <c r="AE325" s="1702"/>
      <c r="AF325" s="1702"/>
      <c r="AG325" s="1702"/>
      <c r="AH325" s="1702"/>
      <c r="AI325" s="1702"/>
      <c r="AJ325" s="1702"/>
      <c r="AK325" s="1702"/>
      <c r="AL325" s="1702"/>
      <c r="AM325" s="1702"/>
      <c r="AN325" s="1702"/>
      <c r="AO325" s="1702"/>
      <c r="AP325" s="1702"/>
      <c r="AQ325" s="1702"/>
      <c r="AR325" s="1702"/>
      <c r="AS325" s="1702"/>
      <c r="AT325" s="1702"/>
      <c r="AU325" s="1702"/>
      <c r="AV325" s="1702"/>
      <c r="AW325" s="1702"/>
      <c r="AX325" s="1702"/>
      <c r="AY325" s="1702"/>
      <c r="AZ325" s="1702"/>
      <c r="BA325" s="1702"/>
      <c r="BB325" s="1702"/>
      <c r="BC325" s="1702"/>
      <c r="BD325" s="1702"/>
      <c r="BE325" s="1702"/>
      <c r="BF325" s="1702"/>
      <c r="BG325" s="1702"/>
      <c r="BH325" s="1702"/>
      <c r="BI325" s="1702"/>
      <c r="BJ325" s="1702"/>
      <c r="BK325" s="1702"/>
      <c r="BL325" s="1702"/>
      <c r="BM325" s="1702"/>
      <c r="BN325" s="1702"/>
      <c r="BO325" s="1702"/>
      <c r="BP325" s="1702"/>
      <c r="BQ325" s="1702"/>
      <c r="BR325" s="1702"/>
      <c r="BS325" s="1702"/>
      <c r="BT325" s="1702"/>
      <c r="BU325" s="1702"/>
      <c r="BV325" s="1702"/>
      <c r="BW325" s="1702"/>
      <c r="BX325" s="1702"/>
      <c r="BY325" s="1702"/>
      <c r="BZ325" s="1702"/>
      <c r="CA325" s="1702"/>
      <c r="CB325" s="1702"/>
    </row>
    <row r="326" spans="1:80" s="1505" customFormat="1" x14ac:dyDescent="0.2">
      <c r="D326" s="1505">
        <v>2014</v>
      </c>
      <c r="E326" s="1700">
        <v>91210</v>
      </c>
      <c r="F326" s="1701"/>
      <c r="G326" s="1701"/>
      <c r="I326" s="1701"/>
      <c r="J326" s="1701"/>
      <c r="K326" s="1701"/>
      <c r="L326" s="1701">
        <f>E326/5</f>
        <v>18242</v>
      </c>
      <c r="M326" s="1701">
        <f>L326</f>
        <v>18242</v>
      </c>
      <c r="N326" s="1701">
        <f>M326</f>
        <v>18242</v>
      </c>
      <c r="O326" s="1701">
        <f>N326</f>
        <v>18242</v>
      </c>
      <c r="P326" s="1705">
        <f>O326</f>
        <v>18242</v>
      </c>
      <c r="Q326" s="1705"/>
      <c r="R326" s="1702"/>
      <c r="S326" s="1702"/>
      <c r="T326" s="1702"/>
      <c r="U326" s="1702"/>
      <c r="V326" s="1702"/>
      <c r="W326" s="1702"/>
      <c r="X326" s="1702"/>
      <c r="Y326" s="1702"/>
      <c r="Z326" s="1702"/>
      <c r="AA326" s="1702"/>
      <c r="AB326" s="1702"/>
      <c r="AC326" s="1702"/>
      <c r="AD326" s="1702"/>
      <c r="AE326" s="1702"/>
      <c r="AF326" s="1702"/>
      <c r="AG326" s="1702"/>
      <c r="AH326" s="1702"/>
      <c r="AI326" s="1702"/>
      <c r="AJ326" s="1702"/>
      <c r="AK326" s="1702"/>
      <c r="AL326" s="1702"/>
      <c r="AM326" s="1702"/>
      <c r="AN326" s="1702"/>
      <c r="AO326" s="1702"/>
      <c r="AP326" s="1702"/>
      <c r="AQ326" s="1702"/>
      <c r="AR326" s="1702"/>
      <c r="AS326" s="1702"/>
      <c r="AT326" s="1702"/>
      <c r="AU326" s="1702"/>
      <c r="AV326" s="1702"/>
      <c r="AW326" s="1702"/>
      <c r="AX326" s="1702"/>
      <c r="AY326" s="1702"/>
      <c r="AZ326" s="1702"/>
      <c r="BA326" s="1702"/>
      <c r="BB326" s="1702"/>
      <c r="BC326" s="1702"/>
      <c r="BD326" s="1702"/>
      <c r="BE326" s="1702"/>
      <c r="BF326" s="1702"/>
      <c r="BG326" s="1702"/>
      <c r="BH326" s="1702"/>
      <c r="BI326" s="1702"/>
      <c r="BJ326" s="1702"/>
      <c r="BK326" s="1702"/>
      <c r="BL326" s="1702"/>
      <c r="BM326" s="1702"/>
      <c r="BN326" s="1702"/>
      <c r="BO326" s="1702"/>
      <c r="BP326" s="1702"/>
      <c r="BQ326" s="1702"/>
      <c r="BR326" s="1702"/>
      <c r="BS326" s="1702"/>
      <c r="BT326" s="1702"/>
      <c r="BU326" s="1702"/>
      <c r="BV326" s="1702"/>
      <c r="BW326" s="1702"/>
      <c r="BX326" s="1702"/>
      <c r="BY326" s="1702"/>
      <c r="BZ326" s="1702"/>
      <c r="CA326" s="1702"/>
      <c r="CB326" s="1702"/>
    </row>
    <row r="327" spans="1:80" s="1505" customFormat="1" x14ac:dyDescent="0.2">
      <c r="D327" s="1505">
        <v>2015</v>
      </c>
      <c r="E327" s="1700">
        <v>32826</v>
      </c>
      <c r="F327" s="1701"/>
      <c r="G327" s="1701"/>
      <c r="I327" s="1701"/>
      <c r="J327" s="1701"/>
      <c r="K327" s="1701"/>
      <c r="L327" s="1701"/>
      <c r="M327" s="1701">
        <f>E327/5</f>
        <v>6565.2</v>
      </c>
      <c r="N327" s="1701">
        <f>M327</f>
        <v>6565.2</v>
      </c>
      <c r="O327" s="1701">
        <f>N327</f>
        <v>6565.2</v>
      </c>
      <c r="P327" s="1705">
        <f>O327</f>
        <v>6565.2</v>
      </c>
      <c r="Q327" s="1705">
        <f>P327</f>
        <v>6565.2</v>
      </c>
      <c r="R327" s="1702"/>
      <c r="S327" s="1702"/>
      <c r="T327" s="1702"/>
      <c r="U327" s="1702"/>
      <c r="V327" s="1702"/>
      <c r="W327" s="1702"/>
      <c r="X327" s="1702"/>
      <c r="Y327" s="1702"/>
      <c r="Z327" s="1702"/>
      <c r="AA327" s="1702"/>
      <c r="AB327" s="1702"/>
      <c r="AC327" s="1702"/>
      <c r="AD327" s="1702"/>
      <c r="AE327" s="1702"/>
      <c r="AF327" s="1702"/>
      <c r="AG327" s="1702"/>
      <c r="AH327" s="1702"/>
      <c r="AI327" s="1702"/>
      <c r="AJ327" s="1702"/>
      <c r="AK327" s="1702"/>
      <c r="AL327" s="1702"/>
      <c r="AM327" s="1702"/>
      <c r="AN327" s="1702"/>
      <c r="AO327" s="1702"/>
      <c r="AP327" s="1702"/>
      <c r="AQ327" s="1702"/>
      <c r="AR327" s="1702"/>
      <c r="AS327" s="1702"/>
      <c r="AT327" s="1702"/>
      <c r="AU327" s="1702"/>
      <c r="AV327" s="1702"/>
      <c r="AW327" s="1702"/>
      <c r="AX327" s="1702"/>
      <c r="AY327" s="1702"/>
      <c r="AZ327" s="1702"/>
      <c r="BA327" s="1702"/>
      <c r="BB327" s="1702"/>
      <c r="BC327" s="1702"/>
      <c r="BD327" s="1702"/>
      <c r="BE327" s="1702"/>
      <c r="BF327" s="1702"/>
      <c r="BG327" s="1702"/>
      <c r="BH327" s="1702"/>
      <c r="BI327" s="1702"/>
      <c r="BJ327" s="1702"/>
      <c r="BK327" s="1702"/>
      <c r="BL327" s="1702"/>
      <c r="BM327" s="1702"/>
      <c r="BN327" s="1702"/>
      <c r="BO327" s="1702"/>
      <c r="BP327" s="1702"/>
      <c r="BQ327" s="1702"/>
      <c r="BR327" s="1702"/>
      <c r="BS327" s="1702"/>
      <c r="BT327" s="1702"/>
      <c r="BU327" s="1702"/>
      <c r="BV327" s="1702"/>
      <c r="BW327" s="1702"/>
      <c r="BX327" s="1702"/>
      <c r="BY327" s="1702"/>
      <c r="BZ327" s="1702"/>
      <c r="CA327" s="1702"/>
      <c r="CB327" s="1702"/>
    </row>
    <row r="328" spans="1:80" s="1505" customFormat="1" x14ac:dyDescent="0.2">
      <c r="D328" s="1505" t="s">
        <v>69</v>
      </c>
      <c r="E328" s="1700">
        <f>SUM(E323:E327)</f>
        <v>453475</v>
      </c>
      <c r="F328" s="1701"/>
      <c r="G328" s="1701"/>
      <c r="H328" s="1701"/>
      <c r="I328" s="1701"/>
      <c r="J328" s="1701"/>
      <c r="K328" s="1701"/>
      <c r="L328" s="1701"/>
      <c r="M328" s="1701"/>
      <c r="N328" s="1701"/>
      <c r="O328" s="1701"/>
      <c r="P328" s="1705"/>
      <c r="Q328" s="1706"/>
      <c r="R328" s="1702"/>
      <c r="S328" s="1702"/>
      <c r="T328" s="1702"/>
      <c r="U328" s="1702"/>
      <c r="V328" s="1702"/>
      <c r="W328" s="1702"/>
      <c r="X328" s="1702"/>
      <c r="Y328" s="1702"/>
      <c r="Z328" s="1702"/>
      <c r="AA328" s="1702"/>
      <c r="AB328" s="1702"/>
      <c r="AC328" s="1702"/>
      <c r="AD328" s="1702"/>
      <c r="AE328" s="1702"/>
      <c r="AF328" s="1702"/>
      <c r="AG328" s="1702"/>
      <c r="AH328" s="1702"/>
      <c r="AI328" s="1702"/>
      <c r="AJ328" s="1702"/>
      <c r="AK328" s="1702"/>
      <c r="AL328" s="1702"/>
      <c r="AM328" s="1702"/>
      <c r="AN328" s="1702"/>
      <c r="AO328" s="1702"/>
      <c r="AP328" s="1702"/>
      <c r="AQ328" s="1702"/>
      <c r="AR328" s="1702"/>
      <c r="AS328" s="1702"/>
      <c r="AT328" s="1702"/>
      <c r="AU328" s="1702"/>
      <c r="AV328" s="1702"/>
      <c r="AW328" s="1702"/>
      <c r="AX328" s="1702"/>
      <c r="AY328" s="1702"/>
      <c r="AZ328" s="1702"/>
      <c r="BA328" s="1702"/>
      <c r="BB328" s="1702"/>
      <c r="BC328" s="1702"/>
      <c r="BD328" s="1702"/>
      <c r="BE328" s="1702"/>
      <c r="BF328" s="1702"/>
      <c r="BG328" s="1702"/>
      <c r="BH328" s="1702"/>
      <c r="BI328" s="1702"/>
      <c r="BJ328" s="1702"/>
      <c r="BK328" s="1702"/>
      <c r="BL328" s="1702"/>
      <c r="BM328" s="1702"/>
      <c r="BN328" s="1702"/>
      <c r="BO328" s="1702"/>
      <c r="BP328" s="1702"/>
      <c r="BQ328" s="1702"/>
      <c r="BR328" s="1702"/>
      <c r="BS328" s="1702"/>
      <c r="BT328" s="1702"/>
      <c r="BU328" s="1702"/>
      <c r="BV328" s="1702"/>
      <c r="BW328" s="1702"/>
      <c r="BX328" s="1702"/>
      <c r="BY328" s="1702"/>
      <c r="BZ328" s="1702"/>
      <c r="CA328" s="1702"/>
      <c r="CB328" s="1702"/>
    </row>
    <row r="329" spans="1:80" x14ac:dyDescent="0.2">
      <c r="A329" s="39"/>
      <c r="B329" s="39"/>
      <c r="C329" s="39"/>
      <c r="D329" s="39"/>
      <c r="E329" s="1671"/>
      <c r="F329" s="66"/>
      <c r="G329" s="66"/>
      <c r="H329" s="66"/>
      <c r="I329" s="66"/>
      <c r="J329" s="66"/>
      <c r="K329" s="66"/>
      <c r="L329" s="66"/>
      <c r="M329" s="66"/>
      <c r="N329" s="66"/>
      <c r="O329" s="66"/>
      <c r="P329" s="1712"/>
      <c r="Q329" s="1685"/>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288"/>
      <c r="AN329" s="288"/>
      <c r="AO329" s="288"/>
      <c r="AP329" s="288"/>
      <c r="AQ329" s="288"/>
      <c r="AR329" s="288"/>
      <c r="AS329" s="288"/>
      <c r="AT329" s="288"/>
      <c r="AU329" s="288"/>
      <c r="AV329" s="288"/>
      <c r="AW329" s="288"/>
      <c r="AX329" s="288"/>
      <c r="AY329" s="288"/>
      <c r="AZ329" s="288"/>
      <c r="BA329" s="288"/>
      <c r="BB329" s="288"/>
      <c r="BC329" s="288"/>
      <c r="BD329" s="288"/>
      <c r="BE329" s="288"/>
      <c r="BF329" s="288"/>
      <c r="BG329" s="288"/>
      <c r="BH329" s="288"/>
      <c r="BI329" s="288"/>
      <c r="BJ329" s="288"/>
      <c r="BK329" s="288"/>
      <c r="BL329" s="288"/>
      <c r="BM329" s="288"/>
      <c r="BN329" s="288"/>
      <c r="BO329" s="288"/>
      <c r="BP329" s="288"/>
      <c r="BQ329" s="288"/>
      <c r="BR329" s="288"/>
      <c r="BS329" s="288"/>
      <c r="BT329" s="288"/>
      <c r="BU329" s="288"/>
      <c r="BV329" s="288"/>
      <c r="BW329" s="288"/>
      <c r="BX329" s="288"/>
      <c r="BY329" s="288"/>
      <c r="BZ329" s="288"/>
      <c r="CA329" s="288"/>
      <c r="CB329" s="288"/>
    </row>
    <row r="330" spans="1:80" s="1505" customFormat="1" x14ac:dyDescent="0.2">
      <c r="A330" s="1251" t="s">
        <v>1034</v>
      </c>
      <c r="D330" s="1505">
        <v>2011</v>
      </c>
      <c r="E330" s="1700">
        <v>336944.85748186253</v>
      </c>
      <c r="F330" s="1701"/>
      <c r="G330" s="1701"/>
      <c r="I330" s="1701">
        <v>67389</v>
      </c>
      <c r="J330" s="1701">
        <v>67388.971496372513</v>
      </c>
      <c r="K330" s="1701">
        <v>67388.971496372513</v>
      </c>
      <c r="L330" s="1701">
        <v>67388.971496372513</v>
      </c>
      <c r="M330" s="1701">
        <v>67388.971496372513</v>
      </c>
      <c r="N330" s="1701"/>
      <c r="O330" s="1701"/>
      <c r="P330" s="1705"/>
      <c r="Q330" s="1705"/>
      <c r="R330" s="1702"/>
      <c r="S330" s="1702"/>
      <c r="T330" s="1702"/>
      <c r="U330" s="1702"/>
      <c r="V330" s="1702"/>
      <c r="W330" s="1702"/>
      <c r="X330" s="1702"/>
      <c r="Y330" s="1702"/>
      <c r="Z330" s="1702"/>
      <c r="AA330" s="1702"/>
      <c r="AB330" s="1702"/>
      <c r="AC330" s="1702"/>
      <c r="AD330" s="1702"/>
      <c r="AE330" s="1702"/>
      <c r="AF330" s="1702"/>
      <c r="AG330" s="1702"/>
      <c r="AH330" s="1702"/>
      <c r="AI330" s="1702"/>
      <c r="AJ330" s="1702"/>
      <c r="AK330" s="1702"/>
      <c r="AL330" s="1702"/>
      <c r="AM330" s="1702"/>
      <c r="AN330" s="1702"/>
      <c r="AO330" s="1702"/>
      <c r="AP330" s="1702"/>
      <c r="AQ330" s="1702"/>
      <c r="AR330" s="1702"/>
      <c r="AS330" s="1702"/>
      <c r="AT330" s="1702"/>
      <c r="AU330" s="1702"/>
      <c r="AV330" s="1702"/>
      <c r="AW330" s="1702"/>
      <c r="AX330" s="1702"/>
      <c r="AY330" s="1702"/>
      <c r="AZ330" s="1702"/>
      <c r="BA330" s="1702"/>
      <c r="BB330" s="1702"/>
      <c r="BC330" s="1702"/>
      <c r="BD330" s="1702"/>
      <c r="BE330" s="1702"/>
      <c r="BF330" s="1702"/>
      <c r="BG330" s="1702"/>
      <c r="BH330" s="1702"/>
      <c r="BI330" s="1702"/>
      <c r="BJ330" s="1702"/>
      <c r="BK330" s="1702"/>
      <c r="BL330" s="1702"/>
      <c r="BM330" s="1702"/>
      <c r="BN330" s="1702"/>
      <c r="BO330" s="1702"/>
      <c r="BP330" s="1702"/>
      <c r="BQ330" s="1702"/>
      <c r="BR330" s="1702"/>
      <c r="BS330" s="1702"/>
      <c r="BT330" s="1702"/>
      <c r="BU330" s="1702"/>
      <c r="BV330" s="1702"/>
      <c r="BW330" s="1702"/>
      <c r="BX330" s="1702"/>
      <c r="BY330" s="1702"/>
      <c r="BZ330" s="1702"/>
      <c r="CA330" s="1702"/>
      <c r="CB330" s="1702"/>
    </row>
    <row r="331" spans="1:80" s="1505" customFormat="1" x14ac:dyDescent="0.2">
      <c r="D331" s="1505">
        <v>2012</v>
      </c>
      <c r="E331" s="1700">
        <v>286688.37710072228</v>
      </c>
      <c r="F331" s="1701"/>
      <c r="G331" s="1701"/>
      <c r="I331" s="1701"/>
      <c r="J331" s="1701">
        <v>57338</v>
      </c>
      <c r="K331" s="1701">
        <v>57337.675420144456</v>
      </c>
      <c r="L331" s="1701">
        <v>57337.675420144456</v>
      </c>
      <c r="M331" s="1701">
        <v>57337.675420144456</v>
      </c>
      <c r="N331" s="1701">
        <v>57337.675420144456</v>
      </c>
      <c r="O331" s="1701"/>
      <c r="P331" s="1705"/>
      <c r="Q331" s="1705"/>
      <c r="R331" s="1702"/>
      <c r="S331" s="1702"/>
      <c r="T331" s="1702"/>
      <c r="U331" s="1702"/>
      <c r="V331" s="1702"/>
      <c r="W331" s="1702"/>
      <c r="X331" s="1702"/>
      <c r="Y331" s="1702"/>
      <c r="Z331" s="1702"/>
      <c r="AA331" s="1702"/>
      <c r="AB331" s="1702"/>
      <c r="AC331" s="1702"/>
      <c r="AD331" s="1702"/>
      <c r="AE331" s="1702"/>
      <c r="AF331" s="1702"/>
      <c r="AG331" s="1702"/>
      <c r="AH331" s="1702"/>
      <c r="AI331" s="1702"/>
      <c r="AJ331" s="1702"/>
      <c r="AK331" s="1702"/>
      <c r="AL331" s="1702"/>
      <c r="AM331" s="1702"/>
      <c r="AN331" s="1702"/>
      <c r="AO331" s="1702"/>
      <c r="AP331" s="1702"/>
      <c r="AQ331" s="1702"/>
      <c r="AR331" s="1702"/>
      <c r="AS331" s="1702"/>
      <c r="AT331" s="1702"/>
      <c r="AU331" s="1702"/>
      <c r="AV331" s="1702"/>
      <c r="AW331" s="1702"/>
      <c r="AX331" s="1702"/>
      <c r="AY331" s="1702"/>
      <c r="AZ331" s="1702"/>
      <c r="BA331" s="1702"/>
      <c r="BB331" s="1702"/>
      <c r="BC331" s="1702"/>
      <c r="BD331" s="1702"/>
      <c r="BE331" s="1702"/>
      <c r="BF331" s="1702"/>
      <c r="BG331" s="1702"/>
      <c r="BH331" s="1702"/>
      <c r="BI331" s="1702"/>
      <c r="BJ331" s="1702"/>
      <c r="BK331" s="1702"/>
      <c r="BL331" s="1702"/>
      <c r="BM331" s="1702"/>
      <c r="BN331" s="1702"/>
      <c r="BO331" s="1702"/>
      <c r="BP331" s="1702"/>
      <c r="BQ331" s="1702"/>
      <c r="BR331" s="1702"/>
      <c r="BS331" s="1702"/>
      <c r="BT331" s="1702"/>
      <c r="BU331" s="1702"/>
      <c r="BV331" s="1702"/>
      <c r="BW331" s="1702"/>
      <c r="BX331" s="1702"/>
      <c r="BY331" s="1702"/>
      <c r="BZ331" s="1702"/>
      <c r="CA331" s="1702"/>
      <c r="CB331" s="1702"/>
    </row>
    <row r="332" spans="1:80" s="1505" customFormat="1" x14ac:dyDescent="0.2">
      <c r="D332" s="1505">
        <v>2013</v>
      </c>
      <c r="E332" s="1700">
        <v>309572.34309201955</v>
      </c>
      <c r="F332" s="1701"/>
      <c r="G332" s="1701"/>
      <c r="I332" s="1701"/>
      <c r="J332" s="1701"/>
      <c r="K332" s="1701">
        <v>61914</v>
      </c>
      <c r="L332" s="1701">
        <v>61914.468618403909</v>
      </c>
      <c r="M332" s="1701">
        <v>61914.468618403909</v>
      </c>
      <c r="N332" s="1701">
        <v>61914.468618403909</v>
      </c>
      <c r="O332" s="1701">
        <v>61914.468618403909</v>
      </c>
      <c r="P332" s="1705"/>
      <c r="Q332" s="1705"/>
      <c r="R332" s="1702"/>
      <c r="S332" s="1702"/>
      <c r="T332" s="1702"/>
      <c r="U332" s="1702"/>
      <c r="V332" s="1702"/>
      <c r="W332" s="1702"/>
      <c r="X332" s="1702"/>
      <c r="Y332" s="1702"/>
      <c r="Z332" s="1702"/>
      <c r="AA332" s="1702"/>
      <c r="AB332" s="1702"/>
      <c r="AC332" s="1702"/>
      <c r="AD332" s="1702"/>
      <c r="AE332" s="1702"/>
      <c r="AF332" s="1702"/>
      <c r="AG332" s="1702"/>
      <c r="AH332" s="1702"/>
      <c r="AI332" s="1702"/>
      <c r="AJ332" s="1702"/>
      <c r="AK332" s="1702"/>
      <c r="AL332" s="1702"/>
      <c r="AM332" s="1702"/>
      <c r="AN332" s="1702"/>
      <c r="AO332" s="1702"/>
      <c r="AP332" s="1702"/>
      <c r="AQ332" s="1702"/>
      <c r="AR332" s="1702"/>
      <c r="AS332" s="1702"/>
      <c r="AT332" s="1702"/>
      <c r="AU332" s="1702"/>
      <c r="AV332" s="1702"/>
      <c r="AW332" s="1702"/>
      <c r="AX332" s="1702"/>
      <c r="AY332" s="1702"/>
      <c r="AZ332" s="1702"/>
      <c r="BA332" s="1702"/>
      <c r="BB332" s="1702"/>
      <c r="BC332" s="1702"/>
      <c r="BD332" s="1702"/>
      <c r="BE332" s="1702"/>
      <c r="BF332" s="1702"/>
      <c r="BG332" s="1702"/>
      <c r="BH332" s="1702"/>
      <c r="BI332" s="1702"/>
      <c r="BJ332" s="1702"/>
      <c r="BK332" s="1702"/>
      <c r="BL332" s="1702"/>
      <c r="BM332" s="1702"/>
      <c r="BN332" s="1702"/>
      <c r="BO332" s="1702"/>
      <c r="BP332" s="1702"/>
      <c r="BQ332" s="1702"/>
      <c r="BR332" s="1702"/>
      <c r="BS332" s="1702"/>
      <c r="BT332" s="1702"/>
      <c r="BU332" s="1702"/>
      <c r="BV332" s="1702"/>
      <c r="BW332" s="1702"/>
      <c r="BX332" s="1702"/>
      <c r="BY332" s="1702"/>
      <c r="BZ332" s="1702"/>
      <c r="CA332" s="1702"/>
      <c r="CB332" s="1702"/>
    </row>
    <row r="333" spans="1:80" s="1505" customFormat="1" x14ac:dyDescent="0.2">
      <c r="D333" s="1505">
        <v>2014</v>
      </c>
      <c r="E333" s="1700">
        <v>0</v>
      </c>
      <c r="F333" s="1701"/>
      <c r="G333" s="1701"/>
      <c r="I333" s="1701"/>
      <c r="J333" s="1701"/>
      <c r="K333" s="1701"/>
      <c r="L333" s="1701">
        <v>0</v>
      </c>
      <c r="M333" s="1701">
        <v>0</v>
      </c>
      <c r="N333" s="1701">
        <v>0</v>
      </c>
      <c r="O333" s="1701">
        <v>0</v>
      </c>
      <c r="P333" s="1705">
        <v>0</v>
      </c>
      <c r="Q333" s="1705"/>
      <c r="R333" s="1702"/>
      <c r="S333" s="1702"/>
      <c r="T333" s="1702"/>
      <c r="U333" s="1702"/>
      <c r="V333" s="1702"/>
      <c r="W333" s="1702"/>
      <c r="X333" s="1702"/>
      <c r="Y333" s="1702"/>
      <c r="Z333" s="1702"/>
      <c r="AA333" s="1702"/>
      <c r="AB333" s="1702"/>
      <c r="AC333" s="1702"/>
      <c r="AD333" s="1702"/>
      <c r="AE333" s="1702"/>
      <c r="AF333" s="1702"/>
      <c r="AG333" s="1702"/>
      <c r="AH333" s="1702"/>
      <c r="AI333" s="1702"/>
      <c r="AJ333" s="1702"/>
      <c r="AK333" s="1702"/>
      <c r="AL333" s="1702"/>
      <c r="AM333" s="1702"/>
      <c r="AN333" s="1702"/>
      <c r="AO333" s="1702"/>
      <c r="AP333" s="1702"/>
      <c r="AQ333" s="1702"/>
      <c r="AR333" s="1702"/>
      <c r="AS333" s="1702"/>
      <c r="AT333" s="1702"/>
      <c r="AU333" s="1702"/>
      <c r="AV333" s="1702"/>
      <c r="AW333" s="1702"/>
      <c r="AX333" s="1702"/>
      <c r="AY333" s="1702"/>
      <c r="AZ333" s="1702"/>
      <c r="BA333" s="1702"/>
      <c r="BB333" s="1702"/>
      <c r="BC333" s="1702"/>
      <c r="BD333" s="1702"/>
      <c r="BE333" s="1702"/>
      <c r="BF333" s="1702"/>
      <c r="BG333" s="1702"/>
      <c r="BH333" s="1702"/>
      <c r="BI333" s="1702"/>
      <c r="BJ333" s="1702"/>
      <c r="BK333" s="1702"/>
      <c r="BL333" s="1702"/>
      <c r="BM333" s="1702"/>
      <c r="BN333" s="1702"/>
      <c r="BO333" s="1702"/>
      <c r="BP333" s="1702"/>
      <c r="BQ333" s="1702"/>
      <c r="BR333" s="1702"/>
      <c r="BS333" s="1702"/>
      <c r="BT333" s="1702"/>
      <c r="BU333" s="1702"/>
      <c r="BV333" s="1702"/>
      <c r="BW333" s="1702"/>
      <c r="BX333" s="1702"/>
      <c r="BY333" s="1702"/>
      <c r="BZ333" s="1702"/>
      <c r="CA333" s="1702"/>
      <c r="CB333" s="1702"/>
    </row>
    <row r="334" spans="1:80" s="1505" customFormat="1" x14ac:dyDescent="0.2">
      <c r="D334" s="1505">
        <v>2015</v>
      </c>
      <c r="E334" s="1700">
        <v>0</v>
      </c>
      <c r="F334" s="1701"/>
      <c r="G334" s="1701"/>
      <c r="I334" s="1701"/>
      <c r="J334" s="1701"/>
      <c r="K334" s="1701"/>
      <c r="L334" s="1701"/>
      <c r="M334" s="1701">
        <v>0</v>
      </c>
      <c r="N334" s="1701">
        <v>0</v>
      </c>
      <c r="O334" s="1701">
        <v>0</v>
      </c>
      <c r="P334" s="1705">
        <v>0</v>
      </c>
      <c r="Q334" s="1705">
        <v>0</v>
      </c>
      <c r="R334" s="1702"/>
      <c r="S334" s="1702"/>
      <c r="T334" s="1702"/>
      <c r="U334" s="1702"/>
      <c r="V334" s="1702"/>
      <c r="W334" s="1702"/>
      <c r="X334" s="1702"/>
      <c r="Y334" s="1702"/>
      <c r="Z334" s="1702"/>
      <c r="AA334" s="1702"/>
      <c r="AB334" s="1702"/>
      <c r="AC334" s="1702"/>
      <c r="AD334" s="1702"/>
      <c r="AE334" s="1702"/>
      <c r="AF334" s="1702"/>
      <c r="AG334" s="1702"/>
      <c r="AH334" s="1702"/>
      <c r="AI334" s="1702"/>
      <c r="AJ334" s="1702"/>
      <c r="AK334" s="1702"/>
      <c r="AL334" s="1702"/>
      <c r="AM334" s="1702"/>
      <c r="AN334" s="1702"/>
      <c r="AO334" s="1702"/>
      <c r="AP334" s="1702"/>
      <c r="AQ334" s="1702"/>
      <c r="AR334" s="1702"/>
      <c r="AS334" s="1702"/>
      <c r="AT334" s="1702"/>
      <c r="AU334" s="1702"/>
      <c r="AV334" s="1702"/>
      <c r="AW334" s="1702"/>
      <c r="AX334" s="1702"/>
      <c r="AY334" s="1702"/>
      <c r="AZ334" s="1702"/>
      <c r="BA334" s="1702"/>
      <c r="BB334" s="1702"/>
      <c r="BC334" s="1702"/>
      <c r="BD334" s="1702"/>
      <c r="BE334" s="1702"/>
      <c r="BF334" s="1702"/>
      <c r="BG334" s="1702"/>
      <c r="BH334" s="1702"/>
      <c r="BI334" s="1702"/>
      <c r="BJ334" s="1702"/>
      <c r="BK334" s="1702"/>
      <c r="BL334" s="1702"/>
      <c r="BM334" s="1702"/>
      <c r="BN334" s="1702"/>
      <c r="BO334" s="1702"/>
      <c r="BP334" s="1702"/>
      <c r="BQ334" s="1702"/>
      <c r="BR334" s="1702"/>
      <c r="BS334" s="1702"/>
      <c r="BT334" s="1702"/>
      <c r="BU334" s="1702"/>
      <c r="BV334" s="1702"/>
      <c r="BW334" s="1702"/>
      <c r="BX334" s="1702"/>
      <c r="BY334" s="1702"/>
      <c r="BZ334" s="1702"/>
      <c r="CA334" s="1702"/>
      <c r="CB334" s="1702"/>
    </row>
    <row r="335" spans="1:80" s="1505" customFormat="1" x14ac:dyDescent="0.2">
      <c r="D335" s="1505" t="s">
        <v>69</v>
      </c>
      <c r="E335" s="1700">
        <f>SUM(E330:E334)</f>
        <v>933205.57767460437</v>
      </c>
      <c r="F335" s="1701"/>
      <c r="G335" s="1701"/>
      <c r="H335" s="1701"/>
      <c r="I335" s="1701"/>
      <c r="J335" s="1701"/>
      <c r="K335" s="1701"/>
      <c r="L335" s="1701"/>
      <c r="M335" s="1701"/>
      <c r="N335" s="1701"/>
      <c r="O335" s="1701"/>
      <c r="P335" s="1705"/>
      <c r="Q335" s="1706"/>
      <c r="R335" s="1702"/>
      <c r="S335" s="1702"/>
      <c r="T335" s="1702"/>
      <c r="U335" s="1702"/>
      <c r="V335" s="1702"/>
      <c r="W335" s="1702"/>
      <c r="X335" s="1702"/>
      <c r="Y335" s="1702"/>
      <c r="Z335" s="1702"/>
      <c r="AA335" s="1702"/>
      <c r="AB335" s="1702"/>
      <c r="AC335" s="1702"/>
      <c r="AD335" s="1702"/>
      <c r="AE335" s="1702"/>
      <c r="AF335" s="1702"/>
      <c r="AG335" s="1702"/>
      <c r="AH335" s="1702"/>
      <c r="AI335" s="1702"/>
      <c r="AJ335" s="1702"/>
      <c r="AK335" s="1702"/>
      <c r="AL335" s="1702"/>
      <c r="AM335" s="1702"/>
      <c r="AN335" s="1702"/>
      <c r="AO335" s="1702"/>
      <c r="AP335" s="1702"/>
      <c r="AQ335" s="1702"/>
      <c r="AR335" s="1702"/>
      <c r="AS335" s="1702"/>
      <c r="AT335" s="1702"/>
      <c r="AU335" s="1702"/>
      <c r="AV335" s="1702"/>
      <c r="AW335" s="1702"/>
      <c r="AX335" s="1702"/>
      <c r="AY335" s="1702"/>
      <c r="AZ335" s="1702"/>
      <c r="BA335" s="1702"/>
      <c r="BB335" s="1702"/>
      <c r="BC335" s="1702"/>
      <c r="BD335" s="1702"/>
      <c r="BE335" s="1702"/>
      <c r="BF335" s="1702"/>
      <c r="BG335" s="1702"/>
      <c r="BH335" s="1702"/>
      <c r="BI335" s="1702"/>
      <c r="BJ335" s="1702"/>
      <c r="BK335" s="1702"/>
      <c r="BL335" s="1702"/>
      <c r="BM335" s="1702"/>
      <c r="BN335" s="1702"/>
      <c r="BO335" s="1702"/>
      <c r="BP335" s="1702"/>
      <c r="BQ335" s="1702"/>
      <c r="BR335" s="1702"/>
      <c r="BS335" s="1702"/>
      <c r="BT335" s="1702"/>
      <c r="BU335" s="1702"/>
      <c r="BV335" s="1702"/>
      <c r="BW335" s="1702"/>
      <c r="BX335" s="1702"/>
      <c r="BY335" s="1702"/>
      <c r="BZ335" s="1702"/>
      <c r="CA335" s="1702"/>
      <c r="CB335" s="1702"/>
    </row>
    <row r="336" spans="1:80" x14ac:dyDescent="0.2">
      <c r="A336" s="39"/>
      <c r="B336" s="39"/>
      <c r="C336" s="39"/>
      <c r="D336" s="39"/>
      <c r="E336" s="1671"/>
      <c r="F336" s="66"/>
      <c r="G336" s="66"/>
      <c r="H336" s="66"/>
      <c r="I336" s="66"/>
      <c r="J336" s="66"/>
      <c r="K336" s="66"/>
      <c r="L336" s="66"/>
      <c r="M336" s="66"/>
      <c r="N336" s="66"/>
      <c r="O336" s="66"/>
      <c r="P336" s="1712"/>
      <c r="Q336" s="1685"/>
      <c r="R336" s="288"/>
      <c r="S336" s="288"/>
      <c r="T336" s="288"/>
      <c r="U336" s="288"/>
      <c r="V336" s="288"/>
      <c r="W336" s="288"/>
      <c r="X336" s="288"/>
      <c r="Y336" s="288"/>
      <c r="Z336" s="288"/>
      <c r="AA336" s="288"/>
      <c r="AB336" s="288"/>
      <c r="AC336" s="288"/>
      <c r="AD336" s="288"/>
      <c r="AE336" s="288"/>
      <c r="AF336" s="288"/>
      <c r="AG336" s="288"/>
      <c r="AH336" s="288"/>
      <c r="AI336" s="288"/>
      <c r="AJ336" s="288"/>
      <c r="AK336" s="288"/>
      <c r="AL336" s="288"/>
      <c r="AM336" s="288"/>
      <c r="AN336" s="288"/>
      <c r="AO336" s="288"/>
      <c r="AP336" s="288"/>
      <c r="AQ336" s="288"/>
      <c r="AR336" s="288"/>
      <c r="AS336" s="288"/>
      <c r="AT336" s="288"/>
      <c r="AU336" s="288"/>
      <c r="AV336" s="288"/>
      <c r="AW336" s="288"/>
      <c r="AX336" s="288"/>
      <c r="AY336" s="288"/>
      <c r="AZ336" s="288"/>
      <c r="BA336" s="288"/>
      <c r="BB336" s="288"/>
      <c r="BC336" s="288"/>
      <c r="BD336" s="288"/>
      <c r="BE336" s="288"/>
      <c r="BF336" s="288"/>
      <c r="BG336" s="288"/>
      <c r="BH336" s="288"/>
      <c r="BI336" s="288"/>
      <c r="BJ336" s="288"/>
      <c r="BK336" s="288"/>
      <c r="BL336" s="288"/>
      <c r="BM336" s="288"/>
      <c r="BN336" s="288"/>
      <c r="BO336" s="288"/>
      <c r="BP336" s="288"/>
      <c r="BQ336" s="288"/>
      <c r="BR336" s="288"/>
      <c r="BS336" s="288"/>
      <c r="BT336" s="288"/>
      <c r="BU336" s="288"/>
      <c r="BV336" s="288"/>
      <c r="BW336" s="288"/>
      <c r="BX336" s="288"/>
      <c r="BY336" s="288"/>
      <c r="BZ336" s="288"/>
      <c r="CA336" s="288"/>
      <c r="CB336" s="288"/>
    </row>
    <row r="337" spans="1:80" x14ac:dyDescent="0.2">
      <c r="A337" s="39"/>
      <c r="B337" s="39"/>
      <c r="C337" s="39"/>
      <c r="D337" s="39"/>
      <c r="E337" s="1671"/>
      <c r="F337" s="66"/>
      <c r="G337" s="66"/>
      <c r="H337" s="66"/>
      <c r="I337" s="66"/>
      <c r="J337" s="66"/>
      <c r="K337" s="66"/>
      <c r="L337" s="66"/>
      <c r="M337" s="66"/>
      <c r="N337" s="66"/>
      <c r="O337" s="66"/>
      <c r="P337" s="1712"/>
      <c r="Q337" s="1685"/>
      <c r="R337" s="288"/>
      <c r="S337" s="288"/>
      <c r="T337" s="288"/>
      <c r="U337" s="288"/>
      <c r="V337" s="288"/>
      <c r="W337" s="288"/>
      <c r="X337" s="288"/>
      <c r="Y337" s="288"/>
      <c r="Z337" s="288"/>
      <c r="AA337" s="288"/>
      <c r="AB337" s="288"/>
      <c r="AC337" s="288"/>
      <c r="AD337" s="288"/>
      <c r="AE337" s="288"/>
      <c r="AF337" s="288"/>
      <c r="AG337" s="288"/>
      <c r="AH337" s="288"/>
      <c r="AI337" s="288"/>
      <c r="AJ337" s="288"/>
      <c r="AK337" s="288"/>
      <c r="AL337" s="288"/>
      <c r="AM337" s="288"/>
      <c r="AN337" s="288"/>
      <c r="AO337" s="288"/>
      <c r="AP337" s="288"/>
      <c r="AQ337" s="288"/>
      <c r="AR337" s="288"/>
      <c r="AS337" s="288"/>
      <c r="AT337" s="288"/>
      <c r="AU337" s="288"/>
      <c r="AV337" s="288"/>
      <c r="AW337" s="288"/>
      <c r="AX337" s="288"/>
      <c r="AY337" s="288"/>
      <c r="AZ337" s="288"/>
      <c r="BA337" s="288"/>
      <c r="BB337" s="288"/>
      <c r="BC337" s="288"/>
      <c r="BD337" s="288"/>
      <c r="BE337" s="288"/>
      <c r="BF337" s="288"/>
      <c r="BG337" s="288"/>
      <c r="BH337" s="288"/>
      <c r="BI337" s="288"/>
      <c r="BJ337" s="288"/>
      <c r="BK337" s="288"/>
      <c r="BL337" s="288"/>
      <c r="BM337" s="288"/>
      <c r="BN337" s="288"/>
      <c r="BO337" s="288"/>
      <c r="BP337" s="288"/>
      <c r="BQ337" s="288"/>
      <c r="BR337" s="288"/>
      <c r="BS337" s="288"/>
      <c r="BT337" s="288"/>
      <c r="BU337" s="288"/>
      <c r="BV337" s="288"/>
      <c r="BW337" s="288"/>
      <c r="BX337" s="288"/>
      <c r="BY337" s="288"/>
      <c r="BZ337" s="288"/>
      <c r="CA337" s="288"/>
      <c r="CB337" s="288"/>
    </row>
    <row r="338" spans="1:80" x14ac:dyDescent="0.2">
      <c r="E338" s="1671"/>
      <c r="F338" s="66"/>
      <c r="G338" s="66"/>
      <c r="H338" s="66"/>
      <c r="I338" s="66"/>
      <c r="J338" s="66"/>
      <c r="K338" s="66"/>
      <c r="L338" s="66"/>
      <c r="M338" s="66"/>
      <c r="N338" s="66"/>
      <c r="O338" s="66"/>
      <c r="P338" s="1712"/>
      <c r="Q338" s="1685"/>
      <c r="R338" s="288"/>
      <c r="S338" s="288"/>
      <c r="T338" s="288"/>
      <c r="U338" s="288"/>
      <c r="V338" s="288"/>
      <c r="W338" s="288"/>
      <c r="X338" s="288"/>
      <c r="Y338" s="288"/>
      <c r="Z338" s="288"/>
      <c r="AA338" s="288"/>
      <c r="AB338" s="288"/>
      <c r="AC338" s="288"/>
      <c r="AD338" s="288"/>
      <c r="AE338" s="288"/>
      <c r="AF338" s="288"/>
      <c r="AG338" s="288"/>
      <c r="AH338" s="288"/>
      <c r="AI338" s="288"/>
      <c r="AJ338" s="288"/>
      <c r="AK338" s="288"/>
      <c r="AL338" s="288"/>
      <c r="AM338" s="288"/>
      <c r="AN338" s="288"/>
      <c r="AO338" s="288"/>
      <c r="AP338" s="288"/>
      <c r="AQ338" s="288"/>
      <c r="AR338" s="288"/>
      <c r="AS338" s="288"/>
      <c r="AT338" s="288"/>
      <c r="AU338" s="288"/>
      <c r="AV338" s="288"/>
      <c r="AW338" s="288"/>
      <c r="AX338" s="288"/>
      <c r="AY338" s="288"/>
      <c r="AZ338" s="288"/>
      <c r="BA338" s="288"/>
      <c r="BB338" s="288"/>
      <c r="BC338" s="288"/>
      <c r="BD338" s="288"/>
      <c r="BE338" s="288"/>
      <c r="BF338" s="288"/>
      <c r="BG338" s="288"/>
      <c r="BH338" s="288"/>
      <c r="BI338" s="288"/>
      <c r="BJ338" s="288"/>
      <c r="BK338" s="288"/>
      <c r="BL338" s="288"/>
      <c r="BM338" s="288"/>
      <c r="BN338" s="288"/>
      <c r="BO338" s="288"/>
      <c r="BP338" s="288"/>
      <c r="BQ338" s="288"/>
      <c r="BR338" s="288"/>
      <c r="BS338" s="288"/>
      <c r="BT338" s="288"/>
      <c r="BU338" s="288"/>
      <c r="BV338" s="288"/>
      <c r="BW338" s="288"/>
      <c r="BX338" s="288"/>
      <c r="BY338" s="288"/>
      <c r="BZ338" s="288"/>
      <c r="CA338" s="288"/>
      <c r="CB338" s="288"/>
    </row>
    <row r="339" spans="1:80" x14ac:dyDescent="0.2">
      <c r="E339" s="1671"/>
      <c r="F339" s="66"/>
      <c r="G339" s="66"/>
      <c r="H339" s="66"/>
      <c r="I339" s="66"/>
      <c r="J339" s="66"/>
      <c r="K339" s="66"/>
      <c r="L339" s="66"/>
      <c r="M339" s="66"/>
      <c r="N339" s="66"/>
      <c r="O339" s="66"/>
      <c r="P339" s="1712"/>
      <c r="Q339" s="1685"/>
      <c r="R339" s="288"/>
      <c r="S339" s="288"/>
      <c r="T339" s="288"/>
      <c r="U339" s="288"/>
      <c r="V339" s="288"/>
      <c r="W339" s="288"/>
      <c r="X339" s="288"/>
      <c r="Y339" s="288"/>
      <c r="Z339" s="288"/>
      <c r="AA339" s="288"/>
      <c r="AB339" s="288"/>
      <c r="AC339" s="288"/>
      <c r="AD339" s="288"/>
      <c r="AE339" s="288"/>
      <c r="AF339" s="288"/>
      <c r="AG339" s="288"/>
      <c r="AH339" s="288"/>
      <c r="AI339" s="288"/>
      <c r="AJ339" s="288"/>
      <c r="AK339" s="288"/>
      <c r="AL339" s="288"/>
      <c r="AM339" s="288"/>
      <c r="AN339" s="288"/>
      <c r="AO339" s="288"/>
      <c r="AP339" s="288"/>
      <c r="AQ339" s="288"/>
      <c r="AR339" s="288"/>
      <c r="AS339" s="288"/>
      <c r="AT339" s="288"/>
      <c r="AU339" s="288"/>
      <c r="AV339" s="288"/>
      <c r="AW339" s="288"/>
      <c r="AX339" s="288"/>
      <c r="AY339" s="288"/>
      <c r="AZ339" s="288"/>
      <c r="BA339" s="288"/>
      <c r="BB339" s="288"/>
      <c r="BC339" s="288"/>
      <c r="BD339" s="288"/>
      <c r="BE339" s="288"/>
      <c r="BF339" s="288"/>
      <c r="BG339" s="288"/>
      <c r="BH339" s="288"/>
      <c r="BI339" s="288"/>
      <c r="BJ339" s="288"/>
      <c r="BK339" s="288"/>
      <c r="BL339" s="288"/>
      <c r="BM339" s="288"/>
      <c r="BN339" s="288"/>
      <c r="BO339" s="288"/>
      <c r="BP339" s="288"/>
      <c r="BQ339" s="288"/>
      <c r="BR339" s="288"/>
      <c r="BS339" s="288"/>
      <c r="BT339" s="288"/>
      <c r="BU339" s="288"/>
      <c r="BV339" s="288"/>
      <c r="BW339" s="288"/>
      <c r="BX339" s="288"/>
      <c r="BY339" s="288"/>
      <c r="BZ339" s="288"/>
      <c r="CA339" s="288"/>
      <c r="CB339" s="288"/>
    </row>
    <row r="340" spans="1:80" x14ac:dyDescent="0.2">
      <c r="A340" s="77" t="s">
        <v>357</v>
      </c>
      <c r="B340" s="77" t="s">
        <v>382</v>
      </c>
      <c r="D340" s="77" t="s">
        <v>357</v>
      </c>
      <c r="E340" s="1672">
        <f>SUM(E178,E171,E149,E156,E163,E223,E215,E186,E193,E230,E208,E201,E237,E244,E251,E258,E265,E272,E279,E286,E293,E300,E307,E314,E321,E328,E335)</f>
        <v>16037504.703130901</v>
      </c>
      <c r="F340" s="66">
        <f t="shared" ref="F340:Q340" si="28">SUM(F143:F338)</f>
        <v>354712.4</v>
      </c>
      <c r="G340" s="66">
        <f t="shared" si="28"/>
        <v>1281178.3999999999</v>
      </c>
      <c r="H340" s="66">
        <f t="shared" si="28"/>
        <v>1121518.7362547712</v>
      </c>
      <c r="I340" s="66">
        <f t="shared" si="28"/>
        <v>1862396.5857014919</v>
      </c>
      <c r="J340" s="66">
        <f t="shared" si="28"/>
        <v>2401552.4066072372</v>
      </c>
      <c r="K340" s="66">
        <f t="shared" si="28"/>
        <v>2653423.5196266086</v>
      </c>
      <c r="L340" s="66">
        <f t="shared" si="28"/>
        <v>2413031.9406261803</v>
      </c>
      <c r="M340" s="66">
        <f t="shared" si="28"/>
        <v>2085982.2043714093</v>
      </c>
      <c r="N340" s="66">
        <f t="shared" si="28"/>
        <v>1345104.3834283159</v>
      </c>
      <c r="O340" s="66">
        <f t="shared" si="28"/>
        <v>805948.85859879816</v>
      </c>
      <c r="P340" s="1712">
        <f t="shared" si="28"/>
        <v>376720.75238116743</v>
      </c>
      <c r="Q340" s="1712">
        <f t="shared" si="28"/>
        <v>153879.80000000002</v>
      </c>
      <c r="R340" s="288"/>
      <c r="S340" s="288"/>
      <c r="T340" s="288"/>
      <c r="U340" s="288"/>
      <c r="V340" s="288"/>
      <c r="W340" s="288"/>
      <c r="X340" s="288"/>
      <c r="Y340" s="288"/>
      <c r="Z340" s="288"/>
      <c r="AA340" s="288"/>
      <c r="AB340" s="288"/>
      <c r="AC340" s="288"/>
      <c r="AD340" s="288"/>
      <c r="AE340" s="288"/>
      <c r="AF340" s="288"/>
      <c r="AG340" s="288"/>
      <c r="AH340" s="288"/>
      <c r="AI340" s="288"/>
      <c r="AJ340" s="288"/>
      <c r="AK340" s="288"/>
      <c r="AL340" s="288"/>
      <c r="AM340" s="288"/>
      <c r="AN340" s="288"/>
      <c r="AO340" s="288"/>
      <c r="AP340" s="288"/>
      <c r="AQ340" s="288"/>
      <c r="AR340" s="288"/>
      <c r="AS340" s="288"/>
      <c r="AT340" s="288"/>
      <c r="AU340" s="288"/>
      <c r="AV340" s="288"/>
      <c r="AW340" s="288"/>
      <c r="AX340" s="288"/>
      <c r="AY340" s="288"/>
      <c r="AZ340" s="288"/>
      <c r="BA340" s="288"/>
      <c r="BB340" s="288"/>
      <c r="BC340" s="288"/>
      <c r="BD340" s="288"/>
      <c r="BE340" s="288"/>
      <c r="BF340" s="288"/>
      <c r="BG340" s="288"/>
      <c r="BH340" s="288"/>
      <c r="BI340" s="288"/>
      <c r="BJ340" s="288"/>
      <c r="BK340" s="288"/>
      <c r="BL340" s="288"/>
      <c r="BM340" s="288"/>
      <c r="BN340" s="288"/>
      <c r="BO340" s="288"/>
      <c r="BP340" s="288"/>
      <c r="BQ340" s="288"/>
      <c r="BR340" s="288"/>
      <c r="BS340" s="288"/>
      <c r="BT340" s="288"/>
      <c r="BU340" s="288"/>
      <c r="BV340" s="288"/>
      <c r="BW340" s="288"/>
      <c r="BX340" s="288"/>
      <c r="BY340" s="288"/>
      <c r="BZ340" s="288"/>
      <c r="CA340" s="288"/>
      <c r="CB340" s="288"/>
    </row>
    <row r="341" spans="1:80" x14ac:dyDescent="0.2">
      <c r="E341" s="1671"/>
      <c r="F341" s="314">
        <f>SUM(F340:Q340)</f>
        <v>16855449.987595979</v>
      </c>
      <c r="G341" s="66"/>
      <c r="H341" s="66"/>
      <c r="I341" s="66"/>
      <c r="J341" s="66"/>
      <c r="K341" s="66"/>
      <c r="L341" s="66"/>
      <c r="M341" s="66"/>
      <c r="N341" s="66"/>
      <c r="O341" s="66"/>
      <c r="P341" s="1712"/>
      <c r="Q341" s="1685"/>
      <c r="R341" s="288"/>
      <c r="S341" s="288"/>
      <c r="T341" s="288"/>
      <c r="U341" s="288"/>
      <c r="V341" s="288"/>
      <c r="W341" s="288"/>
      <c r="X341" s="288"/>
      <c r="Y341" s="288"/>
      <c r="Z341" s="288"/>
      <c r="AA341" s="288"/>
      <c r="AB341" s="288"/>
      <c r="AC341" s="288"/>
      <c r="AD341" s="288"/>
      <c r="AE341" s="288"/>
      <c r="AF341" s="288"/>
      <c r="AG341" s="288"/>
      <c r="AH341" s="288"/>
      <c r="AI341" s="288"/>
      <c r="AJ341" s="288"/>
      <c r="AK341" s="288"/>
      <c r="AL341" s="288"/>
      <c r="AM341" s="288"/>
      <c r="AN341" s="288"/>
      <c r="AO341" s="288"/>
      <c r="AP341" s="288"/>
      <c r="AQ341" s="288"/>
      <c r="AR341" s="288"/>
      <c r="AS341" s="288"/>
      <c r="AT341" s="288"/>
      <c r="AU341" s="288"/>
      <c r="AV341" s="288"/>
      <c r="AW341" s="288"/>
      <c r="AX341" s="288"/>
      <c r="AY341" s="288"/>
      <c r="AZ341" s="288"/>
      <c r="BA341" s="288"/>
      <c r="BB341" s="288"/>
      <c r="BC341" s="288"/>
      <c r="BD341" s="288"/>
      <c r="BE341" s="288"/>
      <c r="BF341" s="288"/>
      <c r="BG341" s="288"/>
      <c r="BH341" s="288"/>
      <c r="BI341" s="288"/>
      <c r="BJ341" s="288"/>
      <c r="BK341" s="288"/>
      <c r="BL341" s="288"/>
      <c r="BM341" s="288"/>
      <c r="BN341" s="288"/>
      <c r="BO341" s="288"/>
      <c r="BP341" s="288"/>
      <c r="BQ341" s="288"/>
      <c r="BR341" s="288"/>
      <c r="BS341" s="288"/>
      <c r="BT341" s="288"/>
      <c r="BU341" s="288"/>
      <c r="BV341" s="288"/>
      <c r="BW341" s="288"/>
      <c r="BX341" s="288"/>
      <c r="BY341" s="288"/>
      <c r="BZ341" s="288"/>
      <c r="CA341" s="288"/>
      <c r="CB341" s="288"/>
    </row>
    <row r="342" spans="1:80" x14ac:dyDescent="0.2">
      <c r="C342" s="38" t="s">
        <v>866</v>
      </c>
      <c r="D342" s="38" t="s">
        <v>865</v>
      </c>
      <c r="E342" s="1671"/>
      <c r="F342" s="66"/>
      <c r="G342" s="66"/>
      <c r="H342" s="66"/>
      <c r="I342" s="66"/>
      <c r="J342" s="66"/>
      <c r="K342" s="66"/>
      <c r="L342" s="66"/>
      <c r="M342" s="66"/>
      <c r="N342" s="66"/>
      <c r="O342" s="66"/>
      <c r="P342" s="1712"/>
      <c r="Q342" s="1685"/>
      <c r="R342" s="288"/>
      <c r="S342" s="288"/>
      <c r="T342" s="288"/>
      <c r="U342" s="288"/>
      <c r="V342" s="288"/>
      <c r="W342" s="288"/>
      <c r="X342" s="288"/>
      <c r="Y342" s="288"/>
      <c r="Z342" s="288"/>
      <c r="AA342" s="288"/>
      <c r="AB342" s="288"/>
      <c r="AC342" s="288"/>
      <c r="AD342" s="288"/>
      <c r="AE342" s="288"/>
      <c r="AF342" s="288"/>
      <c r="AG342" s="288"/>
      <c r="AH342" s="288"/>
      <c r="AI342" s="288"/>
      <c r="AJ342" s="288"/>
      <c r="AK342" s="288"/>
      <c r="AL342" s="288"/>
      <c r="AM342" s="288"/>
      <c r="AN342" s="288"/>
      <c r="AO342" s="288"/>
      <c r="AP342" s="288"/>
      <c r="AQ342" s="288"/>
      <c r="AR342" s="288"/>
      <c r="AS342" s="288"/>
      <c r="AT342" s="288"/>
      <c r="AU342" s="288"/>
      <c r="AV342" s="288"/>
      <c r="AW342" s="288"/>
      <c r="AX342" s="288"/>
      <c r="AY342" s="288"/>
      <c r="AZ342" s="288"/>
      <c r="BA342" s="288"/>
      <c r="BB342" s="288"/>
      <c r="BC342" s="288"/>
      <c r="BD342" s="288"/>
      <c r="BE342" s="288"/>
      <c r="BF342" s="288"/>
      <c r="BG342" s="288"/>
      <c r="BH342" s="288"/>
      <c r="BI342" s="288"/>
      <c r="BJ342" s="288"/>
      <c r="BK342" s="288"/>
      <c r="BL342" s="288"/>
      <c r="BM342" s="288"/>
      <c r="BN342" s="288"/>
      <c r="BO342" s="288"/>
      <c r="BP342" s="288"/>
      <c r="BQ342" s="288"/>
      <c r="BR342" s="288"/>
      <c r="BS342" s="288"/>
      <c r="BT342" s="288"/>
      <c r="BU342" s="288"/>
      <c r="BV342" s="288"/>
      <c r="BW342" s="288"/>
      <c r="BX342" s="288"/>
      <c r="BY342" s="288"/>
      <c r="BZ342" s="288"/>
      <c r="CA342" s="288"/>
      <c r="CB342" s="288"/>
    </row>
    <row r="343" spans="1:80" x14ac:dyDescent="0.2">
      <c r="B343" s="77"/>
      <c r="C343">
        <v>2007</v>
      </c>
      <c r="D343">
        <v>2008</v>
      </c>
      <c r="E343" s="1671">
        <f>SUM(E144,E151,E158,E166,E173,)</f>
        <v>886781</v>
      </c>
      <c r="F343" s="66"/>
      <c r="G343" s="66"/>
      <c r="H343" s="66"/>
      <c r="I343" s="66"/>
      <c r="J343" s="66"/>
      <c r="K343" s="66"/>
      <c r="L343" s="66"/>
      <c r="M343" s="66"/>
      <c r="N343" s="66"/>
      <c r="O343" s="66"/>
      <c r="P343" s="1712"/>
      <c r="Q343" s="1685"/>
      <c r="R343" s="288"/>
      <c r="S343" s="288"/>
      <c r="T343" s="288"/>
      <c r="U343" s="288"/>
      <c r="V343" s="288"/>
      <c r="W343" s="288"/>
      <c r="X343" s="288"/>
      <c r="Y343" s="288"/>
      <c r="Z343" s="288"/>
      <c r="AA343" s="288"/>
      <c r="AB343" s="288"/>
      <c r="AC343" s="288"/>
      <c r="AD343" s="288"/>
      <c r="AE343" s="288"/>
      <c r="AF343" s="288"/>
      <c r="AG343" s="288"/>
      <c r="AH343" s="288"/>
      <c r="AI343" s="288"/>
      <c r="AJ343" s="288"/>
      <c r="AK343" s="288"/>
      <c r="AL343" s="288"/>
      <c r="AM343" s="288"/>
      <c r="AN343" s="288"/>
      <c r="AO343" s="288"/>
      <c r="AP343" s="288"/>
      <c r="AQ343" s="288"/>
      <c r="AR343" s="288"/>
      <c r="AS343" s="288"/>
      <c r="AT343" s="288"/>
      <c r="AU343" s="288"/>
      <c r="AV343" s="288"/>
      <c r="AW343" s="288"/>
      <c r="AX343" s="288"/>
      <c r="AY343" s="288"/>
      <c r="AZ343" s="288"/>
      <c r="BA343" s="288"/>
      <c r="BB343" s="288"/>
      <c r="BC343" s="288"/>
      <c r="BD343" s="288"/>
      <c r="BE343" s="288"/>
      <c r="BF343" s="288"/>
      <c r="BG343" s="288"/>
      <c r="BH343" s="288"/>
      <c r="BI343" s="288"/>
      <c r="BJ343" s="288"/>
      <c r="BK343" s="288"/>
      <c r="BL343" s="288"/>
      <c r="BM343" s="288"/>
      <c r="BN343" s="288"/>
      <c r="BO343" s="288"/>
      <c r="BP343" s="288"/>
      <c r="BQ343" s="288"/>
      <c r="BR343" s="288"/>
      <c r="BS343" s="288"/>
      <c r="BT343" s="288"/>
      <c r="BU343" s="288"/>
      <c r="BV343" s="288"/>
      <c r="BW343" s="288"/>
      <c r="BX343" s="288"/>
      <c r="BY343" s="288"/>
      <c r="BZ343" s="288"/>
      <c r="CA343" s="288"/>
      <c r="CB343" s="288"/>
    </row>
    <row r="344" spans="1:80" x14ac:dyDescent="0.2">
      <c r="C344">
        <v>2008</v>
      </c>
      <c r="D344">
        <v>2009</v>
      </c>
      <c r="E344" s="1671">
        <f>SUM(E145,E152,E159,E167,E174,E181,E188,E196,E203,E210)</f>
        <v>2316165</v>
      </c>
      <c r="F344" s="66"/>
      <c r="G344" s="66"/>
      <c r="H344" s="66"/>
      <c r="I344" s="66"/>
      <c r="J344" s="66"/>
      <c r="K344" s="66"/>
      <c r="L344" s="66"/>
      <c r="M344" s="66"/>
      <c r="N344" s="66"/>
      <c r="O344" s="66"/>
      <c r="P344" s="1712"/>
      <c r="Q344" s="1685"/>
      <c r="R344" s="288"/>
      <c r="S344" s="288"/>
      <c r="T344" s="288"/>
      <c r="U344" s="288"/>
      <c r="V344" s="288"/>
      <c r="W344" s="288"/>
      <c r="X344" s="288"/>
      <c r="Y344" s="288"/>
      <c r="Z344" s="288"/>
      <c r="AA344" s="288"/>
      <c r="AB344" s="288"/>
      <c r="AC344" s="288"/>
      <c r="AD344" s="288"/>
      <c r="AE344" s="288"/>
      <c r="AF344" s="288"/>
      <c r="AG344" s="288"/>
      <c r="AH344" s="288"/>
      <c r="AI344" s="288"/>
      <c r="AJ344" s="288"/>
      <c r="AK344" s="288"/>
      <c r="AL344" s="288"/>
      <c r="AM344" s="288"/>
      <c r="AN344" s="288"/>
      <c r="AO344" s="288"/>
      <c r="AP344" s="288"/>
      <c r="AQ344" s="288"/>
      <c r="AR344" s="288"/>
      <c r="AS344" s="288"/>
      <c r="AT344" s="288"/>
      <c r="AU344" s="288"/>
      <c r="AV344" s="288"/>
      <c r="AW344" s="288"/>
      <c r="AX344" s="288"/>
      <c r="AY344" s="288"/>
      <c r="AZ344" s="288"/>
      <c r="BA344" s="288"/>
      <c r="BB344" s="288"/>
      <c r="BC344" s="288"/>
      <c r="BD344" s="288"/>
      <c r="BE344" s="288"/>
      <c r="BF344" s="288"/>
      <c r="BG344" s="288"/>
      <c r="BH344" s="288"/>
      <c r="BI344" s="288"/>
      <c r="BJ344" s="288"/>
      <c r="BK344" s="288"/>
      <c r="BL344" s="288"/>
      <c r="BM344" s="288"/>
      <c r="BN344" s="288"/>
      <c r="BO344" s="288"/>
      <c r="BP344" s="288"/>
      <c r="BQ344" s="288"/>
      <c r="BR344" s="288"/>
      <c r="BS344" s="288"/>
      <c r="BT344" s="288"/>
      <c r="BU344" s="288"/>
      <c r="BV344" s="288"/>
      <c r="BW344" s="288"/>
      <c r="BX344" s="288"/>
      <c r="BY344" s="288"/>
      <c r="BZ344" s="288"/>
      <c r="CA344" s="288"/>
      <c r="CB344" s="288"/>
    </row>
    <row r="345" spans="1:80" x14ac:dyDescent="0.2">
      <c r="C345">
        <v>2009</v>
      </c>
      <c r="D345">
        <v>2010</v>
      </c>
      <c r="E345" s="1671">
        <f>SUM(E146,E153,E160,E168,E175,E182,E189,E197,E204,E211,E218,E225,E232,E239,E246,E253,E260,E267,E274,E281,E288,E295,E302)</f>
        <v>2404647.6812738571</v>
      </c>
      <c r="F345" s="66"/>
      <c r="G345" s="66"/>
      <c r="H345" s="66"/>
      <c r="I345" s="66"/>
      <c r="J345" s="66"/>
      <c r="K345" s="66"/>
      <c r="L345" s="66"/>
      <c r="M345" s="66"/>
      <c r="N345" s="66"/>
      <c r="O345" s="66"/>
      <c r="P345" s="1712"/>
      <c r="Q345" s="1685"/>
      <c r="R345" s="288"/>
      <c r="S345" s="288"/>
      <c r="T345" s="288"/>
      <c r="U345" s="288"/>
      <c r="V345" s="288"/>
      <c r="W345" s="288"/>
      <c r="X345" s="288"/>
      <c r="Y345" s="288"/>
      <c r="Z345" s="288"/>
      <c r="AA345" s="288"/>
      <c r="AB345" s="288"/>
      <c r="AC345" s="288"/>
      <c r="AD345" s="288"/>
      <c r="AE345" s="288"/>
      <c r="AF345" s="288"/>
      <c r="AG345" s="288"/>
      <c r="AH345" s="288"/>
      <c r="AI345" s="288"/>
      <c r="AJ345" s="288"/>
      <c r="AK345" s="288"/>
      <c r="AL345" s="288"/>
      <c r="AM345" s="288"/>
      <c r="AN345" s="288"/>
      <c r="AO345" s="288"/>
      <c r="AP345" s="288"/>
      <c r="AQ345" s="288"/>
      <c r="AR345" s="288"/>
      <c r="AS345" s="288"/>
      <c r="AT345" s="288"/>
      <c r="AU345" s="288"/>
      <c r="AV345" s="288"/>
      <c r="AW345" s="288"/>
      <c r="AX345" s="288"/>
      <c r="AY345" s="288"/>
      <c r="AZ345" s="288"/>
      <c r="BA345" s="288"/>
      <c r="BB345" s="288"/>
      <c r="BC345" s="288"/>
      <c r="BD345" s="288"/>
      <c r="BE345" s="288"/>
      <c r="BF345" s="288"/>
      <c r="BG345" s="288"/>
      <c r="BH345" s="288"/>
      <c r="BI345" s="288"/>
      <c r="BJ345" s="288"/>
      <c r="BK345" s="288"/>
      <c r="BL345" s="288"/>
      <c r="BM345" s="288"/>
      <c r="BN345" s="288"/>
      <c r="BO345" s="288"/>
      <c r="BP345" s="288"/>
      <c r="BQ345" s="288"/>
      <c r="BR345" s="288"/>
      <c r="BS345" s="288"/>
      <c r="BT345" s="288"/>
      <c r="BU345" s="288"/>
      <c r="BV345" s="288"/>
      <c r="BW345" s="288"/>
      <c r="BX345" s="288"/>
      <c r="BY345" s="288"/>
      <c r="BZ345" s="288"/>
      <c r="CA345" s="288"/>
      <c r="CB345" s="288"/>
    </row>
    <row r="346" spans="1:80" x14ac:dyDescent="0.2">
      <c r="C346">
        <v>2010</v>
      </c>
      <c r="D346">
        <v>2011</v>
      </c>
      <c r="E346" s="1671">
        <f>SUM(E147,E154,E161,E169,E176,E183,E190,E198,E205,E212,E219,E226,E233,E240,E247,E254,E261,E268,E275,E282,E289,E296,E303,E309,E316,E323,E330)</f>
        <v>3704389.1047154632</v>
      </c>
      <c r="F346" s="66"/>
      <c r="G346" s="66"/>
      <c r="H346" s="66"/>
      <c r="I346" s="66"/>
      <c r="J346" s="66"/>
      <c r="K346" s="66"/>
      <c r="L346" s="66"/>
      <c r="M346" s="66"/>
      <c r="N346" s="66"/>
      <c r="O346" s="66"/>
      <c r="P346" s="1712"/>
      <c r="Q346" s="1685"/>
      <c r="R346" s="288"/>
      <c r="S346" s="288"/>
      <c r="T346" s="288"/>
      <c r="U346" s="288"/>
      <c r="V346" s="288"/>
      <c r="W346" s="288"/>
      <c r="X346" s="288"/>
      <c r="Y346" s="288"/>
      <c r="Z346" s="288"/>
      <c r="AA346" s="288"/>
      <c r="AB346" s="288"/>
      <c r="AC346" s="288"/>
      <c r="AD346" s="288"/>
      <c r="AE346" s="288"/>
      <c r="AF346" s="288"/>
      <c r="AG346" s="288"/>
      <c r="AH346" s="288"/>
      <c r="AI346" s="288"/>
      <c r="AJ346" s="288"/>
      <c r="AK346" s="288"/>
      <c r="AL346" s="288"/>
      <c r="AM346" s="288"/>
      <c r="AN346" s="288"/>
      <c r="AO346" s="288"/>
      <c r="AP346" s="288"/>
      <c r="AQ346" s="288"/>
      <c r="AR346" s="288"/>
      <c r="AS346" s="288"/>
      <c r="AT346" s="288"/>
      <c r="AU346" s="288"/>
      <c r="AV346" s="288"/>
      <c r="AW346" s="288"/>
      <c r="AX346" s="288"/>
      <c r="AY346" s="288"/>
      <c r="AZ346" s="288"/>
      <c r="BA346" s="288"/>
      <c r="BB346" s="288"/>
      <c r="BC346" s="288"/>
      <c r="BD346" s="288"/>
      <c r="BE346" s="288"/>
      <c r="BF346" s="288"/>
      <c r="BG346" s="288"/>
      <c r="BH346" s="288"/>
      <c r="BI346" s="288"/>
      <c r="BJ346" s="288"/>
      <c r="BK346" s="288"/>
      <c r="BL346" s="288"/>
      <c r="BM346" s="288"/>
      <c r="BN346" s="288"/>
      <c r="BO346" s="288"/>
      <c r="BP346" s="288"/>
      <c r="BQ346" s="288"/>
      <c r="BR346" s="288"/>
      <c r="BS346" s="288"/>
      <c r="BT346" s="288"/>
      <c r="BU346" s="288"/>
      <c r="BV346" s="288"/>
      <c r="BW346" s="288"/>
      <c r="BX346" s="288"/>
      <c r="BY346" s="288"/>
      <c r="BZ346" s="288"/>
      <c r="CA346" s="288"/>
      <c r="CB346" s="288"/>
    </row>
    <row r="347" spans="1:80" x14ac:dyDescent="0.2">
      <c r="C347">
        <v>2011</v>
      </c>
      <c r="D347">
        <v>2012</v>
      </c>
      <c r="E347" s="1671">
        <f>SUM(E148,E155,E162,E170,E177,E184,E191,E199,E206,E213,E220,E227,E234,E241,E248,E255,E262,E269,E276,E283,E290,E297,E304,E310,E317,E324,E331)</f>
        <v>2695777.6241475879</v>
      </c>
      <c r="F347" s="66"/>
      <c r="G347" s="66"/>
      <c r="H347" s="66"/>
      <c r="I347" s="66"/>
      <c r="J347" s="66"/>
      <c r="K347" s="66"/>
      <c r="L347" s="66"/>
      <c r="M347" s="66"/>
      <c r="N347" s="66"/>
      <c r="O347" s="66"/>
      <c r="P347" s="1712"/>
      <c r="Q347" s="1685"/>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288"/>
      <c r="AN347" s="288"/>
      <c r="AO347" s="288"/>
      <c r="AP347" s="288"/>
      <c r="AQ347" s="288"/>
      <c r="AR347" s="288"/>
      <c r="AS347" s="288"/>
      <c r="AT347" s="288"/>
      <c r="AU347" s="288"/>
      <c r="AV347" s="288"/>
      <c r="AW347" s="288"/>
      <c r="AX347" s="288"/>
      <c r="AY347" s="288"/>
      <c r="AZ347" s="288"/>
      <c r="BA347" s="288"/>
      <c r="BB347" s="288"/>
      <c r="BC347" s="288"/>
      <c r="BD347" s="288"/>
      <c r="BE347" s="288"/>
      <c r="BF347" s="288"/>
      <c r="BG347" s="288"/>
      <c r="BH347" s="288"/>
      <c r="BI347" s="288"/>
      <c r="BJ347" s="288"/>
      <c r="BK347" s="288"/>
      <c r="BL347" s="288"/>
      <c r="BM347" s="288"/>
      <c r="BN347" s="288"/>
      <c r="BO347" s="288"/>
      <c r="BP347" s="288"/>
      <c r="BQ347" s="288"/>
      <c r="BR347" s="288"/>
      <c r="BS347" s="288"/>
      <c r="BT347" s="288"/>
      <c r="BU347" s="288"/>
      <c r="BV347" s="288"/>
      <c r="BW347" s="288"/>
      <c r="BX347" s="288"/>
      <c r="BY347" s="288"/>
      <c r="BZ347" s="288"/>
      <c r="CA347" s="288"/>
      <c r="CB347" s="288"/>
    </row>
    <row r="348" spans="1:80" x14ac:dyDescent="0.2">
      <c r="C348">
        <v>2012</v>
      </c>
      <c r="D348">
        <v>2013</v>
      </c>
      <c r="E348" s="1671">
        <f>SUM(E185,E192,E200,E207,E214,E221,E228,E235,E242,E249,E256,E263,E270,E277,E284,E291,E298,E305,E311,E318,E325,E332)</f>
        <v>2146140.5310881543</v>
      </c>
      <c r="F348" s="66"/>
      <c r="G348" s="66"/>
      <c r="H348" s="66"/>
      <c r="I348" s="66"/>
      <c r="J348" s="66"/>
      <c r="K348" s="66"/>
      <c r="L348" s="66"/>
      <c r="M348" s="66"/>
      <c r="N348" s="66"/>
      <c r="O348" s="66"/>
      <c r="P348" s="1712"/>
      <c r="Q348" s="1685"/>
      <c r="R348" s="288"/>
      <c r="S348" s="288"/>
      <c r="T348" s="288"/>
      <c r="U348" s="288"/>
      <c r="V348" s="288"/>
      <c r="W348" s="288"/>
      <c r="X348" s="288"/>
      <c r="Y348" s="288"/>
      <c r="Z348" s="288"/>
      <c r="AA348" s="288"/>
      <c r="AB348" s="288"/>
      <c r="AC348" s="288"/>
      <c r="AD348" s="288"/>
      <c r="AE348" s="288"/>
      <c r="AF348" s="288"/>
      <c r="AG348" s="288"/>
      <c r="AH348" s="288"/>
      <c r="AI348" s="288"/>
      <c r="AJ348" s="288"/>
      <c r="AK348" s="288"/>
      <c r="AL348" s="288"/>
      <c r="AM348" s="288"/>
      <c r="AN348" s="288"/>
      <c r="AO348" s="288"/>
      <c r="AP348" s="288"/>
      <c r="AQ348" s="288"/>
      <c r="AR348" s="288"/>
      <c r="AS348" s="288"/>
      <c r="AT348" s="288"/>
      <c r="AU348" s="288"/>
      <c r="AV348" s="288"/>
      <c r="AW348" s="288"/>
      <c r="AX348" s="288"/>
      <c r="AY348" s="288"/>
      <c r="AZ348" s="288"/>
      <c r="BA348" s="288"/>
      <c r="BB348" s="288"/>
      <c r="BC348" s="288"/>
      <c r="BD348" s="288"/>
      <c r="BE348" s="288"/>
      <c r="BF348" s="288"/>
      <c r="BG348" s="288"/>
      <c r="BH348" s="288"/>
      <c r="BI348" s="288"/>
      <c r="BJ348" s="288"/>
      <c r="BK348" s="288"/>
      <c r="BL348" s="288"/>
      <c r="BM348" s="288"/>
      <c r="BN348" s="288"/>
      <c r="BO348" s="288"/>
      <c r="BP348" s="288"/>
      <c r="BQ348" s="288"/>
      <c r="BR348" s="288"/>
      <c r="BS348" s="288"/>
      <c r="BT348" s="288"/>
      <c r="BU348" s="288"/>
      <c r="BV348" s="288"/>
      <c r="BW348" s="288"/>
      <c r="BX348" s="288"/>
      <c r="BY348" s="288"/>
      <c r="BZ348" s="288"/>
      <c r="CA348" s="288"/>
      <c r="CB348" s="288"/>
    </row>
    <row r="349" spans="1:80" x14ac:dyDescent="0.2">
      <c r="C349">
        <v>2013</v>
      </c>
      <c r="D349">
        <v>2014</v>
      </c>
      <c r="E349" s="1671">
        <f>SUM(E222,E229,E236,E243,E250,E257,E264,E271,E278,E285,E292,E299,E306,E312,E319,E326,E333)</f>
        <v>1114204.7619058371</v>
      </c>
      <c r="F349" s="66"/>
      <c r="G349" s="66"/>
      <c r="H349" s="66"/>
      <c r="I349" s="66"/>
      <c r="J349" s="66"/>
      <c r="K349" s="66"/>
      <c r="L349" s="66"/>
      <c r="M349" s="66"/>
      <c r="N349" s="66"/>
      <c r="O349" s="66"/>
      <c r="P349" s="1712"/>
      <c r="Q349" s="1685"/>
      <c r="R349" s="288"/>
      <c r="S349" s="288"/>
      <c r="T349" s="288"/>
      <c r="U349" s="288"/>
      <c r="V349" s="288"/>
      <c r="W349" s="288"/>
      <c r="X349" s="288"/>
      <c r="Y349" s="288"/>
      <c r="Z349" s="288"/>
      <c r="AA349" s="288"/>
      <c r="AB349" s="288"/>
      <c r="AC349" s="288"/>
      <c r="AD349" s="288"/>
      <c r="AE349" s="288"/>
      <c r="AF349" s="288"/>
      <c r="AG349" s="288"/>
      <c r="AH349" s="288"/>
      <c r="AI349" s="288"/>
      <c r="AJ349" s="288"/>
      <c r="AK349" s="288"/>
      <c r="AL349" s="288"/>
      <c r="AM349" s="288"/>
      <c r="AN349" s="288"/>
      <c r="AO349" s="288"/>
      <c r="AP349" s="288"/>
      <c r="AQ349" s="288"/>
      <c r="AR349" s="288"/>
      <c r="AS349" s="288"/>
      <c r="AT349" s="288"/>
      <c r="AU349" s="288"/>
      <c r="AV349" s="288"/>
      <c r="AW349" s="288"/>
      <c r="AX349" s="288"/>
      <c r="AY349" s="288"/>
      <c r="AZ349" s="288"/>
      <c r="BA349" s="288"/>
      <c r="BB349" s="288"/>
      <c r="BC349" s="288"/>
      <c r="BD349" s="288"/>
      <c r="BE349" s="288"/>
      <c r="BF349" s="288"/>
      <c r="BG349" s="288"/>
      <c r="BH349" s="288"/>
      <c r="BI349" s="288"/>
      <c r="BJ349" s="288"/>
      <c r="BK349" s="288"/>
      <c r="BL349" s="288"/>
      <c r="BM349" s="288"/>
      <c r="BN349" s="288"/>
      <c r="BO349" s="288"/>
      <c r="BP349" s="288"/>
      <c r="BQ349" s="288"/>
      <c r="BR349" s="288"/>
      <c r="BS349" s="288"/>
      <c r="BT349" s="288"/>
      <c r="BU349" s="288"/>
      <c r="BV349" s="288"/>
      <c r="BW349" s="288"/>
      <c r="BX349" s="288"/>
      <c r="BY349" s="288"/>
      <c r="BZ349" s="288"/>
      <c r="CA349" s="288"/>
      <c r="CB349" s="288"/>
    </row>
    <row r="350" spans="1:80" x14ac:dyDescent="0.2">
      <c r="C350">
        <v>2014</v>
      </c>
      <c r="D350">
        <v>2015</v>
      </c>
      <c r="E350" s="1671">
        <f>SUM(E313,E320,E327,E334)</f>
        <v>769399</v>
      </c>
      <c r="F350" s="66"/>
      <c r="G350" s="66"/>
      <c r="H350" s="66"/>
      <c r="I350" s="66"/>
      <c r="J350" s="66"/>
      <c r="K350" s="66"/>
      <c r="L350" s="66"/>
      <c r="M350" s="66"/>
      <c r="N350" s="66"/>
      <c r="O350" s="66"/>
      <c r="P350" s="1712"/>
      <c r="Q350" s="1685"/>
      <c r="R350" s="288"/>
      <c r="S350" s="288"/>
      <c r="T350" s="288"/>
      <c r="U350" s="288"/>
      <c r="V350" s="288"/>
      <c r="W350" s="288"/>
      <c r="X350" s="288"/>
      <c r="Y350" s="288"/>
      <c r="Z350" s="288"/>
      <c r="AA350" s="288"/>
      <c r="AB350" s="288"/>
      <c r="AC350" s="288"/>
      <c r="AD350" s="288"/>
      <c r="AE350" s="288"/>
      <c r="AF350" s="288"/>
      <c r="AG350" s="288"/>
      <c r="AH350" s="288"/>
      <c r="AI350" s="288"/>
      <c r="AJ350" s="288"/>
      <c r="AK350" s="288"/>
      <c r="AL350" s="288"/>
      <c r="AM350" s="288"/>
      <c r="AN350" s="288"/>
      <c r="AO350" s="288"/>
      <c r="AP350" s="288"/>
      <c r="AQ350" s="288"/>
      <c r="AR350" s="288"/>
      <c r="AS350" s="288"/>
      <c r="AT350" s="288"/>
      <c r="AU350" s="288"/>
      <c r="AV350" s="288"/>
      <c r="AW350" s="288"/>
      <c r="AX350" s="288"/>
      <c r="AY350" s="288"/>
      <c r="AZ350" s="288"/>
      <c r="BA350" s="288"/>
      <c r="BB350" s="288"/>
      <c r="BC350" s="288"/>
      <c r="BD350" s="288"/>
      <c r="BE350" s="288"/>
      <c r="BF350" s="288"/>
      <c r="BG350" s="288"/>
      <c r="BH350" s="288"/>
      <c r="BI350" s="288"/>
      <c r="BJ350" s="288"/>
      <c r="BK350" s="288"/>
      <c r="BL350" s="288"/>
      <c r="BM350" s="288"/>
      <c r="BN350" s="288"/>
      <c r="BO350" s="288"/>
      <c r="BP350" s="288"/>
      <c r="BQ350" s="288"/>
      <c r="BR350" s="288"/>
      <c r="BS350" s="288"/>
      <c r="BT350" s="288"/>
      <c r="BU350" s="288"/>
      <c r="BV350" s="288"/>
      <c r="BW350" s="288"/>
      <c r="BX350" s="288"/>
      <c r="BY350" s="288"/>
      <c r="BZ350" s="288"/>
      <c r="CA350" s="288"/>
      <c r="CB350" s="288"/>
    </row>
    <row r="351" spans="1:80" x14ac:dyDescent="0.2">
      <c r="E351" s="1672">
        <f>SUM(E343:E350)</f>
        <v>16037504.703130901</v>
      </c>
      <c r="F351" s="66"/>
      <c r="G351" s="66"/>
      <c r="H351" s="66"/>
      <c r="I351" s="66"/>
      <c r="J351" s="66"/>
      <c r="K351" s="66"/>
      <c r="L351" s="66"/>
      <c r="M351" s="66"/>
      <c r="N351" s="66"/>
      <c r="O351" s="66"/>
      <c r="P351" s="1712"/>
      <c r="Q351" s="1685"/>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288"/>
      <c r="AN351" s="288"/>
      <c r="AO351" s="288"/>
      <c r="AP351" s="288"/>
      <c r="AQ351" s="288"/>
      <c r="AR351" s="288"/>
      <c r="AS351" s="288"/>
      <c r="AT351" s="288"/>
      <c r="AU351" s="288"/>
      <c r="AV351" s="288"/>
      <c r="AW351" s="288"/>
      <c r="AX351" s="288"/>
      <c r="AY351" s="288"/>
      <c r="AZ351" s="288"/>
      <c r="BA351" s="288"/>
      <c r="BB351" s="288"/>
      <c r="BC351" s="288"/>
      <c r="BD351" s="288"/>
      <c r="BE351" s="288"/>
      <c r="BF351" s="288"/>
      <c r="BG351" s="288"/>
      <c r="BH351" s="288"/>
      <c r="BI351" s="288"/>
      <c r="BJ351" s="288"/>
      <c r="BK351" s="288"/>
      <c r="BL351" s="288"/>
      <c r="BM351" s="288"/>
      <c r="BN351" s="288"/>
      <c r="BO351" s="288"/>
      <c r="BP351" s="288"/>
      <c r="BQ351" s="288"/>
      <c r="BR351" s="288"/>
      <c r="BS351" s="288"/>
      <c r="BT351" s="288"/>
      <c r="BU351" s="288"/>
      <c r="BV351" s="288"/>
      <c r="BW351" s="288"/>
      <c r="BX351" s="288"/>
      <c r="BY351" s="288"/>
      <c r="BZ351" s="288"/>
      <c r="CA351" s="288"/>
      <c r="CB351" s="288"/>
    </row>
    <row r="352" spans="1:80" x14ac:dyDescent="0.2">
      <c r="F352" s="288"/>
      <c r="G352" s="288"/>
      <c r="H352" s="288"/>
      <c r="I352" s="288"/>
      <c r="J352" s="288"/>
      <c r="K352" s="288"/>
      <c r="L352" s="288"/>
      <c r="M352" s="288"/>
      <c r="N352" s="288"/>
      <c r="O352" s="288"/>
      <c r="P352" s="1715"/>
      <c r="Q352" s="1685"/>
      <c r="R352" s="288"/>
      <c r="S352" s="288"/>
      <c r="T352" s="288"/>
      <c r="U352" s="288"/>
      <c r="V352" s="288"/>
      <c r="W352" s="288"/>
      <c r="X352" s="288"/>
      <c r="Y352" s="288"/>
      <c r="Z352" s="288"/>
      <c r="AA352" s="288"/>
      <c r="AB352" s="288"/>
      <c r="AC352" s="288"/>
      <c r="AD352" s="288"/>
      <c r="AE352" s="288"/>
      <c r="AF352" s="288"/>
      <c r="AG352" s="288"/>
      <c r="AH352" s="288"/>
      <c r="AI352" s="288"/>
      <c r="AJ352" s="288"/>
      <c r="AK352" s="288"/>
      <c r="AL352" s="288"/>
      <c r="AM352" s="288"/>
      <c r="AN352" s="288"/>
      <c r="AO352" s="288"/>
      <c r="AP352" s="288"/>
      <c r="AQ352" s="288"/>
      <c r="AR352" s="288"/>
      <c r="AS352" s="288"/>
      <c r="AT352" s="288"/>
      <c r="AU352" s="288"/>
      <c r="AV352" s="288"/>
      <c r="AW352" s="288"/>
      <c r="AX352" s="288"/>
      <c r="AY352" s="288"/>
      <c r="AZ352" s="288"/>
      <c r="BA352" s="288"/>
      <c r="BB352" s="288"/>
      <c r="BC352" s="288"/>
      <c r="BD352" s="288"/>
      <c r="BE352" s="288"/>
      <c r="BF352" s="288"/>
      <c r="BG352" s="288"/>
      <c r="BH352" s="288"/>
      <c r="BI352" s="288"/>
      <c r="BJ352" s="288"/>
      <c r="BK352" s="288"/>
      <c r="BL352" s="288"/>
      <c r="BM352" s="288"/>
      <c r="BN352" s="288"/>
      <c r="BO352" s="288"/>
      <c r="BP352" s="288"/>
      <c r="BQ352" s="288"/>
      <c r="BR352" s="288"/>
      <c r="BS352" s="288"/>
      <c r="BT352" s="288"/>
      <c r="BU352" s="288"/>
      <c r="BV352" s="288"/>
      <c r="BW352" s="288"/>
      <c r="BX352" s="288"/>
      <c r="BY352" s="288"/>
      <c r="BZ352" s="288"/>
      <c r="CA352" s="288"/>
      <c r="CB352" s="288"/>
    </row>
    <row r="353" spans="6:80" x14ac:dyDescent="0.2">
      <c r="F353" s="288"/>
      <c r="G353" s="288"/>
      <c r="H353" s="288"/>
      <c r="I353" s="288"/>
      <c r="J353" s="288"/>
      <c r="K353" s="288"/>
      <c r="L353" s="288"/>
      <c r="M353" s="288"/>
      <c r="N353" s="288"/>
      <c r="O353" s="288"/>
      <c r="P353" s="1715"/>
      <c r="Q353" s="1685"/>
      <c r="R353" s="288"/>
      <c r="S353" s="288"/>
      <c r="T353" s="288"/>
      <c r="U353" s="288"/>
      <c r="V353" s="288"/>
      <c r="W353" s="288"/>
      <c r="X353" s="288"/>
      <c r="Y353" s="288"/>
      <c r="Z353" s="288"/>
      <c r="AA353" s="288"/>
      <c r="AB353" s="288"/>
      <c r="AC353" s="288"/>
      <c r="AD353" s="288"/>
      <c r="AE353" s="288"/>
      <c r="AF353" s="288"/>
      <c r="AG353" s="288"/>
      <c r="AH353" s="288"/>
      <c r="AI353" s="288"/>
      <c r="AJ353" s="288"/>
      <c r="AK353" s="288"/>
      <c r="AL353" s="288"/>
      <c r="AM353" s="288"/>
      <c r="AN353" s="288"/>
      <c r="AO353" s="288"/>
      <c r="AP353" s="288"/>
      <c r="AQ353" s="288"/>
      <c r="AR353" s="288"/>
      <c r="AS353" s="288"/>
      <c r="AT353" s="288"/>
      <c r="AU353" s="288"/>
      <c r="AV353" s="288"/>
      <c r="AW353" s="288"/>
      <c r="AX353" s="288"/>
      <c r="AY353" s="288"/>
      <c r="AZ353" s="288"/>
      <c r="BA353" s="288"/>
      <c r="BB353" s="288"/>
      <c r="BC353" s="288"/>
      <c r="BD353" s="288"/>
      <c r="BE353" s="288"/>
      <c r="BF353" s="288"/>
      <c r="BG353" s="288"/>
      <c r="BH353" s="288"/>
      <c r="BI353" s="288"/>
      <c r="BJ353" s="288"/>
      <c r="BK353" s="288"/>
      <c r="BL353" s="288"/>
      <c r="BM353" s="288"/>
      <c r="BN353" s="288"/>
      <c r="BO353" s="288"/>
      <c r="BP353" s="288"/>
      <c r="BQ353" s="288"/>
      <c r="BR353" s="288"/>
      <c r="BS353" s="288"/>
      <c r="BT353" s="288"/>
      <c r="BU353" s="288"/>
      <c r="BV353" s="288"/>
      <c r="BW353" s="288"/>
      <c r="BX353" s="288"/>
      <c r="BY353" s="288"/>
      <c r="BZ353" s="288"/>
      <c r="CA353" s="288"/>
      <c r="CB353" s="288"/>
    </row>
    <row r="354" spans="6:80" x14ac:dyDescent="0.2">
      <c r="F354" s="288"/>
      <c r="G354" s="288"/>
      <c r="H354" s="288"/>
      <c r="I354" s="288"/>
      <c r="J354" s="288"/>
      <c r="K354" s="288"/>
      <c r="L354" s="288"/>
      <c r="M354" s="288"/>
      <c r="N354" s="288"/>
      <c r="O354" s="288"/>
      <c r="P354" s="1715"/>
      <c r="Q354" s="1685"/>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288"/>
      <c r="AN354" s="288"/>
      <c r="AO354" s="288"/>
      <c r="AP354" s="288"/>
      <c r="AQ354" s="288"/>
      <c r="AR354" s="288"/>
      <c r="AS354" s="288"/>
      <c r="AT354" s="288"/>
      <c r="AU354" s="288"/>
      <c r="AV354" s="288"/>
      <c r="AW354" s="288"/>
      <c r="AX354" s="288"/>
      <c r="AY354" s="288"/>
      <c r="AZ354" s="288"/>
      <c r="BA354" s="288"/>
      <c r="BB354" s="288"/>
      <c r="BC354" s="288"/>
      <c r="BD354" s="288"/>
      <c r="BE354" s="288"/>
      <c r="BF354" s="288"/>
      <c r="BG354" s="288"/>
      <c r="BH354" s="288"/>
      <c r="BI354" s="288"/>
      <c r="BJ354" s="288"/>
      <c r="BK354" s="288"/>
      <c r="BL354" s="288"/>
      <c r="BM354" s="288"/>
      <c r="BN354" s="288"/>
      <c r="BO354" s="288"/>
      <c r="BP354" s="288"/>
      <c r="BQ354" s="288"/>
      <c r="BR354" s="288"/>
      <c r="BS354" s="288"/>
      <c r="BT354" s="288"/>
      <c r="BU354" s="288"/>
      <c r="BV354" s="288"/>
      <c r="BW354" s="288"/>
      <c r="BX354" s="288"/>
      <c r="BY354" s="288"/>
      <c r="BZ354" s="288"/>
      <c r="CA354" s="288"/>
      <c r="CB354" s="288"/>
    </row>
    <row r="355" spans="6:80" x14ac:dyDescent="0.2">
      <c r="F355" s="288"/>
      <c r="G355" s="288"/>
      <c r="H355" s="288"/>
      <c r="I355" s="288"/>
      <c r="J355" s="288"/>
      <c r="K355" s="288"/>
      <c r="L355" s="288"/>
      <c r="M355" s="288"/>
      <c r="N355" s="288"/>
      <c r="O355" s="288"/>
      <c r="P355" s="1715"/>
      <c r="Q355" s="1685"/>
      <c r="R355" s="288"/>
      <c r="S355" s="288"/>
      <c r="T355" s="288"/>
      <c r="U355" s="288"/>
      <c r="V355" s="288"/>
      <c r="W355" s="288"/>
      <c r="X355" s="288"/>
      <c r="Y355" s="288"/>
      <c r="Z355" s="288"/>
      <c r="AA355" s="288"/>
      <c r="AB355" s="288"/>
      <c r="AC355" s="288"/>
      <c r="AD355" s="288"/>
      <c r="AE355" s="288"/>
      <c r="AF355" s="288"/>
      <c r="AG355" s="288"/>
      <c r="AH355" s="288"/>
      <c r="AI355" s="288"/>
      <c r="AJ355" s="288"/>
      <c r="AK355" s="288"/>
      <c r="AL355" s="288"/>
      <c r="AM355" s="288"/>
      <c r="AN355" s="288"/>
      <c r="AO355" s="288"/>
      <c r="AP355" s="288"/>
      <c r="AQ355" s="288"/>
      <c r="AR355" s="288"/>
      <c r="AS355" s="288"/>
      <c r="AT355" s="288"/>
      <c r="AU355" s="288"/>
      <c r="AV355" s="288"/>
      <c r="AW355" s="288"/>
      <c r="AX355" s="288"/>
      <c r="AY355" s="288"/>
      <c r="AZ355" s="288"/>
      <c r="BA355" s="288"/>
      <c r="BB355" s="288"/>
      <c r="BC355" s="288"/>
      <c r="BD355" s="288"/>
      <c r="BE355" s="288"/>
      <c r="BF355" s="288"/>
      <c r="BG355" s="288"/>
      <c r="BH355" s="288"/>
      <c r="BI355" s="288"/>
      <c r="BJ355" s="288"/>
      <c r="BK355" s="288"/>
      <c r="BL355" s="288"/>
      <c r="BM355" s="288"/>
      <c r="BN355" s="288"/>
      <c r="BO355" s="288"/>
      <c r="BP355" s="288"/>
      <c r="BQ355" s="288"/>
      <c r="BR355" s="288"/>
      <c r="BS355" s="288"/>
      <c r="BT355" s="288"/>
      <c r="BU355" s="288"/>
      <c r="BV355" s="288"/>
      <c r="BW355" s="288"/>
      <c r="BX355" s="288"/>
      <c r="BY355" s="288"/>
      <c r="BZ355" s="288"/>
      <c r="CA355" s="288"/>
      <c r="CB355" s="288"/>
    </row>
    <row r="356" spans="6:80" x14ac:dyDescent="0.2">
      <c r="F356" s="288"/>
      <c r="G356" s="288"/>
      <c r="H356" s="288"/>
      <c r="I356" s="288"/>
      <c r="J356" s="288"/>
      <c r="K356" s="288"/>
      <c r="L356" s="288"/>
      <c r="M356" s="288"/>
      <c r="N356" s="288"/>
      <c r="O356" s="288"/>
      <c r="P356" s="1715"/>
      <c r="Q356" s="1685"/>
      <c r="R356" s="288"/>
      <c r="S356" s="288"/>
      <c r="T356" s="288"/>
      <c r="U356" s="288"/>
      <c r="V356" s="288"/>
      <c r="W356" s="288"/>
      <c r="X356" s="288"/>
      <c r="Y356" s="288"/>
      <c r="Z356" s="288"/>
      <c r="AA356" s="288"/>
      <c r="AB356" s="288"/>
      <c r="AC356" s="288"/>
      <c r="AD356" s="288"/>
      <c r="AE356" s="288"/>
      <c r="AF356" s="288"/>
      <c r="AG356" s="288"/>
      <c r="AH356" s="288"/>
      <c r="AI356" s="288"/>
      <c r="AJ356" s="288"/>
      <c r="AK356" s="288"/>
      <c r="AL356" s="288"/>
      <c r="AM356" s="288"/>
      <c r="AN356" s="288"/>
      <c r="AO356" s="288"/>
      <c r="AP356" s="288"/>
      <c r="AQ356" s="288"/>
      <c r="AR356" s="288"/>
      <c r="AS356" s="288"/>
      <c r="AT356" s="288"/>
      <c r="AU356" s="288"/>
      <c r="AV356" s="288"/>
      <c r="AW356" s="288"/>
      <c r="AX356" s="288"/>
      <c r="AY356" s="288"/>
      <c r="AZ356" s="288"/>
      <c r="BA356" s="288"/>
      <c r="BB356" s="288"/>
      <c r="BC356" s="288"/>
      <c r="BD356" s="288"/>
      <c r="BE356" s="288"/>
      <c r="BF356" s="288"/>
      <c r="BG356" s="288"/>
      <c r="BH356" s="288"/>
      <c r="BI356" s="288"/>
      <c r="BJ356" s="288"/>
      <c r="BK356" s="288"/>
      <c r="BL356" s="288"/>
      <c r="BM356" s="288"/>
      <c r="BN356" s="288"/>
      <c r="BO356" s="288"/>
      <c r="BP356" s="288"/>
      <c r="BQ356" s="288"/>
      <c r="BR356" s="288"/>
      <c r="BS356" s="288"/>
      <c r="BT356" s="288"/>
      <c r="BU356" s="288"/>
      <c r="BV356" s="288"/>
      <c r="BW356" s="288"/>
      <c r="BX356" s="288"/>
      <c r="BY356" s="288"/>
      <c r="BZ356" s="288"/>
      <c r="CA356" s="288"/>
      <c r="CB356" s="288"/>
    </row>
    <row r="357" spans="6:80" x14ac:dyDescent="0.2">
      <c r="F357" s="288"/>
      <c r="G357" s="288"/>
      <c r="H357" s="288"/>
      <c r="I357" s="288"/>
      <c r="J357" s="288"/>
      <c r="K357" s="288"/>
      <c r="L357" s="288"/>
      <c r="M357" s="288"/>
      <c r="N357" s="288"/>
      <c r="O357" s="288"/>
      <c r="P357" s="1715"/>
      <c r="Q357" s="1685"/>
      <c r="R357" s="288"/>
      <c r="S357" s="288"/>
      <c r="T357" s="288"/>
      <c r="U357" s="288"/>
      <c r="V357" s="288"/>
      <c r="W357" s="288"/>
      <c r="X357" s="288"/>
      <c r="Y357" s="288"/>
      <c r="Z357" s="288"/>
      <c r="AA357" s="288"/>
      <c r="AB357" s="288"/>
      <c r="AC357" s="288"/>
      <c r="AD357" s="288"/>
      <c r="AE357" s="288"/>
      <c r="AF357" s="288"/>
      <c r="AG357" s="288"/>
      <c r="AH357" s="288"/>
      <c r="AI357" s="288"/>
      <c r="AJ357" s="288"/>
      <c r="AK357" s="288"/>
      <c r="AL357" s="288"/>
      <c r="AM357" s="288"/>
      <c r="AN357" s="288"/>
      <c r="AO357" s="288"/>
      <c r="AP357" s="288"/>
      <c r="AQ357" s="288"/>
      <c r="AR357" s="288"/>
      <c r="AS357" s="288"/>
      <c r="AT357" s="288"/>
      <c r="AU357" s="288"/>
      <c r="AV357" s="288"/>
      <c r="AW357" s="288"/>
      <c r="AX357" s="288"/>
      <c r="AY357" s="288"/>
      <c r="AZ357" s="288"/>
      <c r="BA357" s="288"/>
      <c r="BB357" s="288"/>
      <c r="BC357" s="288"/>
      <c r="BD357" s="288"/>
      <c r="BE357" s="288"/>
      <c r="BF357" s="288"/>
      <c r="BG357" s="288"/>
      <c r="BH357" s="288"/>
      <c r="BI357" s="288"/>
      <c r="BJ357" s="288"/>
      <c r="BK357" s="288"/>
      <c r="BL357" s="288"/>
      <c r="BM357" s="288"/>
      <c r="BN357" s="288"/>
      <c r="BO357" s="288"/>
      <c r="BP357" s="288"/>
      <c r="BQ357" s="288"/>
      <c r="BR357" s="288"/>
      <c r="BS357" s="288"/>
      <c r="BT357" s="288"/>
      <c r="BU357" s="288"/>
      <c r="BV357" s="288"/>
      <c r="BW357" s="288"/>
      <c r="BX357" s="288"/>
      <c r="BY357" s="288"/>
      <c r="BZ357" s="288"/>
      <c r="CA357" s="288"/>
      <c r="CB357" s="288"/>
    </row>
    <row r="358" spans="6:80" x14ac:dyDescent="0.2">
      <c r="F358" s="288"/>
      <c r="G358" s="288"/>
      <c r="H358" s="288"/>
      <c r="I358" s="288"/>
      <c r="J358" s="288"/>
      <c r="K358" s="288"/>
      <c r="L358" s="288"/>
      <c r="M358" s="288"/>
      <c r="N358" s="288"/>
      <c r="O358" s="288"/>
      <c r="P358" s="1715"/>
      <c r="Q358" s="1685"/>
      <c r="R358" s="288"/>
      <c r="S358" s="288"/>
      <c r="T358" s="288"/>
      <c r="U358" s="288"/>
      <c r="V358" s="288"/>
      <c r="W358" s="288"/>
      <c r="X358" s="288"/>
      <c r="Y358" s="288"/>
      <c r="Z358" s="288"/>
      <c r="AA358" s="288"/>
      <c r="AB358" s="288"/>
      <c r="AC358" s="288"/>
      <c r="AD358" s="288"/>
      <c r="AE358" s="288"/>
      <c r="AF358" s="288"/>
      <c r="AG358" s="288"/>
      <c r="AH358" s="288"/>
      <c r="AI358" s="288"/>
      <c r="AJ358" s="288"/>
      <c r="AK358" s="288"/>
      <c r="AL358" s="288"/>
      <c r="AM358" s="288"/>
      <c r="AN358" s="288"/>
      <c r="AO358" s="288"/>
      <c r="AP358" s="288"/>
      <c r="AQ358" s="288"/>
      <c r="AR358" s="288"/>
      <c r="AS358" s="288"/>
      <c r="AT358" s="288"/>
      <c r="AU358" s="288"/>
      <c r="AV358" s="288"/>
      <c r="AW358" s="288"/>
      <c r="AX358" s="288"/>
      <c r="AY358" s="288"/>
      <c r="AZ358" s="288"/>
      <c r="BA358" s="288"/>
      <c r="BB358" s="288"/>
      <c r="BC358" s="288"/>
      <c r="BD358" s="288"/>
      <c r="BE358" s="288"/>
      <c r="BF358" s="288"/>
      <c r="BG358" s="288"/>
      <c r="BH358" s="288"/>
      <c r="BI358" s="288"/>
      <c r="BJ358" s="288"/>
      <c r="BK358" s="288"/>
      <c r="BL358" s="288"/>
      <c r="BM358" s="288"/>
      <c r="BN358" s="288"/>
      <c r="BO358" s="288"/>
      <c r="BP358" s="288"/>
      <c r="BQ358" s="288"/>
      <c r="BR358" s="288"/>
      <c r="BS358" s="288"/>
      <c r="BT358" s="288"/>
      <c r="BU358" s="288"/>
      <c r="BV358" s="288"/>
      <c r="BW358" s="288"/>
      <c r="BX358" s="288"/>
      <c r="BY358" s="288"/>
      <c r="BZ358" s="288"/>
      <c r="CA358" s="288"/>
      <c r="CB358" s="288"/>
    </row>
    <row r="359" spans="6:80" x14ac:dyDescent="0.2">
      <c r="F359" s="288"/>
      <c r="G359" s="288"/>
      <c r="H359" s="288"/>
      <c r="I359" s="288"/>
      <c r="J359" s="288"/>
      <c r="K359" s="288"/>
      <c r="L359" s="288"/>
      <c r="M359" s="288"/>
      <c r="N359" s="288"/>
      <c r="O359" s="288"/>
      <c r="P359" s="1715"/>
      <c r="Q359" s="1685"/>
      <c r="R359" s="288"/>
      <c r="S359" s="288"/>
      <c r="T359" s="288"/>
      <c r="U359" s="288"/>
      <c r="V359" s="288"/>
      <c r="W359" s="288"/>
      <c r="X359" s="288"/>
      <c r="Y359" s="288"/>
      <c r="Z359" s="288"/>
      <c r="AA359" s="288"/>
      <c r="AB359" s="288"/>
      <c r="AC359" s="288"/>
      <c r="AD359" s="288"/>
      <c r="AE359" s="288"/>
      <c r="AF359" s="288"/>
      <c r="AG359" s="288"/>
      <c r="AH359" s="288"/>
      <c r="AI359" s="288"/>
      <c r="AJ359" s="288"/>
      <c r="AK359" s="288"/>
      <c r="AL359" s="288"/>
      <c r="AM359" s="288"/>
      <c r="AN359" s="288"/>
      <c r="AO359" s="288"/>
      <c r="AP359" s="288"/>
      <c r="AQ359" s="288"/>
      <c r="AR359" s="288"/>
      <c r="AS359" s="288"/>
      <c r="AT359" s="288"/>
      <c r="AU359" s="288"/>
      <c r="AV359" s="288"/>
      <c r="AW359" s="288"/>
      <c r="AX359" s="288"/>
      <c r="AY359" s="288"/>
      <c r="AZ359" s="288"/>
      <c r="BA359" s="288"/>
      <c r="BB359" s="288"/>
      <c r="BC359" s="288"/>
      <c r="BD359" s="288"/>
      <c r="BE359" s="288"/>
      <c r="BF359" s="288"/>
      <c r="BG359" s="288"/>
      <c r="BH359" s="288"/>
      <c r="BI359" s="288"/>
      <c r="BJ359" s="288"/>
      <c r="BK359" s="288"/>
      <c r="BL359" s="288"/>
      <c r="BM359" s="288"/>
      <c r="BN359" s="288"/>
      <c r="BO359" s="288"/>
      <c r="BP359" s="288"/>
      <c r="BQ359" s="288"/>
      <c r="BR359" s="288"/>
      <c r="BS359" s="288"/>
      <c r="BT359" s="288"/>
      <c r="BU359" s="288"/>
      <c r="BV359" s="288"/>
      <c r="BW359" s="288"/>
      <c r="BX359" s="288"/>
      <c r="BY359" s="288"/>
      <c r="BZ359" s="288"/>
      <c r="CA359" s="288"/>
      <c r="CB359" s="288"/>
    </row>
    <row r="360" spans="6:80" x14ac:dyDescent="0.2">
      <c r="F360" s="288"/>
      <c r="G360" s="288"/>
      <c r="H360" s="288"/>
      <c r="I360" s="288"/>
      <c r="J360" s="288"/>
      <c r="K360" s="288"/>
      <c r="L360" s="288"/>
      <c r="M360" s="288"/>
      <c r="N360" s="288"/>
      <c r="O360" s="288"/>
      <c r="P360" s="1715"/>
      <c r="Q360" s="1685"/>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288"/>
      <c r="AN360" s="288"/>
      <c r="AO360" s="288"/>
      <c r="AP360" s="288"/>
      <c r="AQ360" s="288"/>
      <c r="AR360" s="288"/>
      <c r="AS360" s="288"/>
      <c r="AT360" s="288"/>
      <c r="AU360" s="288"/>
      <c r="AV360" s="288"/>
      <c r="AW360" s="288"/>
      <c r="AX360" s="288"/>
      <c r="AY360" s="288"/>
      <c r="AZ360" s="288"/>
      <c r="BA360" s="288"/>
      <c r="BB360" s="288"/>
      <c r="BC360" s="288"/>
      <c r="BD360" s="288"/>
      <c r="BE360" s="288"/>
      <c r="BF360" s="288"/>
      <c r="BG360" s="288"/>
      <c r="BH360" s="288"/>
      <c r="BI360" s="288"/>
      <c r="BJ360" s="288"/>
      <c r="BK360" s="288"/>
      <c r="BL360" s="288"/>
      <c r="BM360" s="288"/>
      <c r="BN360" s="288"/>
      <c r="BO360" s="288"/>
      <c r="BP360" s="288"/>
      <c r="BQ360" s="288"/>
      <c r="BR360" s="288"/>
      <c r="BS360" s="288"/>
      <c r="BT360" s="288"/>
      <c r="BU360" s="288"/>
      <c r="BV360" s="288"/>
      <c r="BW360" s="288"/>
      <c r="BX360" s="288"/>
      <c r="BY360" s="288"/>
      <c r="BZ360" s="288"/>
      <c r="CA360" s="288"/>
      <c r="CB360" s="288"/>
    </row>
    <row r="361" spans="6:80" x14ac:dyDescent="0.2">
      <c r="F361" s="288"/>
      <c r="G361" s="288"/>
      <c r="H361" s="288"/>
      <c r="I361" s="288"/>
      <c r="J361" s="288"/>
      <c r="K361" s="288"/>
      <c r="L361" s="288"/>
      <c r="M361" s="288"/>
      <c r="N361" s="288"/>
      <c r="O361" s="288"/>
      <c r="P361" s="1715"/>
      <c r="Q361" s="1685"/>
      <c r="R361" s="288"/>
      <c r="S361" s="288"/>
      <c r="T361" s="288"/>
      <c r="U361" s="288"/>
      <c r="V361" s="288"/>
      <c r="W361" s="288"/>
      <c r="X361" s="288"/>
      <c r="Y361" s="288"/>
      <c r="Z361" s="288"/>
      <c r="AA361" s="288"/>
      <c r="AB361" s="288"/>
      <c r="AC361" s="288"/>
      <c r="AD361" s="288"/>
      <c r="AE361" s="288"/>
      <c r="AF361" s="288"/>
      <c r="AG361" s="288"/>
      <c r="AH361" s="288"/>
      <c r="AI361" s="288"/>
      <c r="AJ361" s="288"/>
      <c r="AK361" s="288"/>
      <c r="AL361" s="288"/>
      <c r="AM361" s="288"/>
      <c r="AN361" s="288"/>
      <c r="AO361" s="288"/>
      <c r="AP361" s="288"/>
      <c r="AQ361" s="288"/>
      <c r="AR361" s="288"/>
      <c r="AS361" s="288"/>
      <c r="AT361" s="288"/>
      <c r="AU361" s="288"/>
      <c r="AV361" s="288"/>
      <c r="AW361" s="288"/>
      <c r="AX361" s="288"/>
      <c r="AY361" s="288"/>
      <c r="AZ361" s="288"/>
      <c r="BA361" s="288"/>
      <c r="BB361" s="288"/>
      <c r="BC361" s="288"/>
      <c r="BD361" s="288"/>
      <c r="BE361" s="288"/>
      <c r="BF361" s="288"/>
      <c r="BG361" s="288"/>
      <c r="BH361" s="288"/>
      <c r="BI361" s="288"/>
      <c r="BJ361" s="288"/>
      <c r="BK361" s="288"/>
      <c r="BL361" s="288"/>
      <c r="BM361" s="288"/>
      <c r="BN361" s="288"/>
      <c r="BO361" s="288"/>
      <c r="BP361" s="288"/>
      <c r="BQ361" s="288"/>
      <c r="BR361" s="288"/>
      <c r="BS361" s="288"/>
      <c r="BT361" s="288"/>
      <c r="BU361" s="288"/>
      <c r="BV361" s="288"/>
      <c r="BW361" s="288"/>
      <c r="BX361" s="288"/>
      <c r="BY361" s="288"/>
      <c r="BZ361" s="288"/>
      <c r="CA361" s="288"/>
      <c r="CB361" s="288"/>
    </row>
    <row r="362" spans="6:80" x14ac:dyDescent="0.2">
      <c r="F362" s="288"/>
      <c r="G362" s="288"/>
      <c r="H362" s="288"/>
      <c r="I362" s="288"/>
      <c r="J362" s="288"/>
      <c r="K362" s="288"/>
      <c r="L362" s="288"/>
      <c r="M362" s="288"/>
      <c r="N362" s="288"/>
      <c r="O362" s="288"/>
      <c r="P362" s="1715"/>
      <c r="Q362" s="1685"/>
      <c r="R362" s="288"/>
      <c r="S362" s="288"/>
      <c r="T362" s="288"/>
      <c r="U362" s="288"/>
      <c r="V362" s="288"/>
      <c r="W362" s="288"/>
      <c r="X362" s="288"/>
      <c r="Y362" s="288"/>
      <c r="Z362" s="288"/>
      <c r="AA362" s="288"/>
      <c r="AB362" s="288"/>
      <c r="AC362" s="288"/>
      <c r="AD362" s="288"/>
      <c r="AE362" s="288"/>
      <c r="AF362" s="288"/>
      <c r="AG362" s="288"/>
      <c r="AH362" s="288"/>
      <c r="AI362" s="288"/>
      <c r="AJ362" s="288"/>
      <c r="AK362" s="288"/>
      <c r="AL362" s="288"/>
      <c r="AM362" s="288"/>
      <c r="AN362" s="288"/>
      <c r="AO362" s="288"/>
      <c r="AP362" s="288"/>
      <c r="AQ362" s="288"/>
      <c r="AR362" s="288"/>
      <c r="AS362" s="288"/>
      <c r="AT362" s="288"/>
      <c r="AU362" s="288"/>
      <c r="AV362" s="288"/>
      <c r="AW362" s="288"/>
      <c r="AX362" s="288"/>
      <c r="AY362" s="288"/>
      <c r="AZ362" s="288"/>
      <c r="BA362" s="288"/>
      <c r="BB362" s="288"/>
      <c r="BC362" s="288"/>
      <c r="BD362" s="288"/>
      <c r="BE362" s="288"/>
      <c r="BF362" s="288"/>
      <c r="BG362" s="288"/>
      <c r="BH362" s="288"/>
      <c r="BI362" s="288"/>
      <c r="BJ362" s="288"/>
      <c r="BK362" s="288"/>
      <c r="BL362" s="288"/>
      <c r="BM362" s="288"/>
      <c r="BN362" s="288"/>
      <c r="BO362" s="288"/>
      <c r="BP362" s="288"/>
      <c r="BQ362" s="288"/>
      <c r="BR362" s="288"/>
      <c r="BS362" s="288"/>
      <c r="BT362" s="288"/>
      <c r="BU362" s="288"/>
      <c r="BV362" s="288"/>
      <c r="BW362" s="288"/>
      <c r="BX362" s="288"/>
      <c r="BY362" s="288"/>
      <c r="BZ362" s="288"/>
      <c r="CA362" s="288"/>
      <c r="CB362" s="288"/>
    </row>
    <row r="363" spans="6:80" x14ac:dyDescent="0.2">
      <c r="F363" s="288"/>
      <c r="G363" s="288"/>
      <c r="H363" s="288"/>
      <c r="I363" s="288"/>
      <c r="J363" s="288"/>
      <c r="K363" s="288"/>
      <c r="L363" s="288"/>
      <c r="M363" s="288"/>
      <c r="N363" s="288"/>
      <c r="O363" s="288"/>
      <c r="P363" s="1715"/>
      <c r="Q363" s="1685"/>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288"/>
      <c r="AN363" s="288"/>
      <c r="AO363" s="288"/>
      <c r="AP363" s="288"/>
      <c r="AQ363" s="288"/>
      <c r="AR363" s="288"/>
      <c r="AS363" s="288"/>
      <c r="AT363" s="288"/>
      <c r="AU363" s="288"/>
      <c r="AV363" s="288"/>
      <c r="AW363" s="288"/>
      <c r="AX363" s="288"/>
      <c r="AY363" s="288"/>
      <c r="AZ363" s="288"/>
      <c r="BA363" s="288"/>
      <c r="BB363" s="288"/>
      <c r="BC363" s="288"/>
      <c r="BD363" s="288"/>
      <c r="BE363" s="288"/>
      <c r="BF363" s="288"/>
      <c r="BG363" s="288"/>
      <c r="BH363" s="288"/>
      <c r="BI363" s="288"/>
      <c r="BJ363" s="288"/>
      <c r="BK363" s="288"/>
      <c r="BL363" s="288"/>
      <c r="BM363" s="288"/>
      <c r="BN363" s="288"/>
      <c r="BO363" s="288"/>
      <c r="BP363" s="288"/>
      <c r="BQ363" s="288"/>
      <c r="BR363" s="288"/>
      <c r="BS363" s="288"/>
      <c r="BT363" s="288"/>
      <c r="BU363" s="288"/>
      <c r="BV363" s="288"/>
      <c r="BW363" s="288"/>
      <c r="BX363" s="288"/>
      <c r="BY363" s="288"/>
      <c r="BZ363" s="288"/>
      <c r="CA363" s="288"/>
      <c r="CB363" s="288"/>
    </row>
  </sheetData>
  <mergeCells count="2">
    <mergeCell ref="A1:O2"/>
    <mergeCell ref="E3:N3"/>
  </mergeCells>
  <phoneticPr fontId="9" type="noConversion"/>
  <printOptions gridLines="1"/>
  <pageMargins left="0.75" right="0.75" top="1" bottom="1" header="0.5" footer="0.5"/>
  <pageSetup paperSize="17" scale="46" orientation="landscape" r:id="rId1"/>
  <headerFooter alignWithMargins="0"/>
  <rowBreaks count="4" manualBreakCount="4">
    <brk id="140" max="16" man="1"/>
    <brk id="178" max="16" man="1"/>
    <brk id="216" max="16" man="1"/>
    <brk id="307" max="16"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dimension ref="A1:R627"/>
  <sheetViews>
    <sheetView workbookViewId="0">
      <selection sqref="A1:O2"/>
    </sheetView>
  </sheetViews>
  <sheetFormatPr defaultRowHeight="12.75" x14ac:dyDescent="0.2"/>
  <cols>
    <col min="1" max="1" width="35" customWidth="1"/>
    <col min="4" max="4" width="9.28515625" bestFit="1" customWidth="1"/>
    <col min="5" max="5" width="27.42578125" style="230" bestFit="1" customWidth="1"/>
    <col min="6" max="6" width="14.140625" bestFit="1" customWidth="1"/>
    <col min="7" max="12" width="14.85546875" bestFit="1" customWidth="1"/>
    <col min="13" max="15" width="14.7109375" bestFit="1" customWidth="1"/>
    <col min="16" max="17" width="12.28515625" style="315" bestFit="1" customWidth="1"/>
    <col min="18" max="18" width="11.140625" bestFit="1" customWidth="1"/>
  </cols>
  <sheetData>
    <row r="1" spans="1:17" x14ac:dyDescent="0.2">
      <c r="A1" s="4311" t="s">
        <v>377</v>
      </c>
      <c r="B1" s="4324"/>
      <c r="C1" s="4324"/>
      <c r="D1" s="4324"/>
      <c r="E1" s="4324"/>
      <c r="F1" s="4324"/>
      <c r="G1" s="4324"/>
      <c r="H1" s="4324"/>
      <c r="I1" s="4324"/>
      <c r="J1" s="4324"/>
      <c r="K1" s="4324"/>
      <c r="L1" s="4324"/>
      <c r="M1" s="4324"/>
      <c r="N1" s="4324"/>
      <c r="O1" s="4325"/>
    </row>
    <row r="2" spans="1:17" ht="13.5" thickBot="1" x14ac:dyDescent="0.25">
      <c r="A2" s="4326"/>
      <c r="B2" s="4327"/>
      <c r="C2" s="4327"/>
      <c r="D2" s="4327"/>
      <c r="E2" s="4327"/>
      <c r="F2" s="4327"/>
      <c r="G2" s="4327"/>
      <c r="H2" s="4327"/>
      <c r="I2" s="4327"/>
      <c r="J2" s="4327"/>
      <c r="K2" s="4327"/>
      <c r="L2" s="4327"/>
      <c r="M2" s="4327"/>
      <c r="N2" s="4327"/>
      <c r="O2" s="4334"/>
    </row>
    <row r="3" spans="1:17" ht="14.25" thickTop="1" thickBot="1" x14ac:dyDescent="0.25">
      <c r="A3" s="8" t="s">
        <v>2</v>
      </c>
      <c r="B3" s="12" t="s">
        <v>42</v>
      </c>
      <c r="C3" s="12"/>
      <c r="D3" s="53" t="s">
        <v>43</v>
      </c>
      <c r="E3" s="4345" t="s">
        <v>331</v>
      </c>
      <c r="F3" s="4345"/>
      <c r="G3" s="4345"/>
      <c r="H3" s="4345"/>
      <c r="I3" s="4345"/>
      <c r="J3" s="4345"/>
      <c r="K3" s="4345"/>
      <c r="L3" s="4345"/>
      <c r="M3" s="4345"/>
      <c r="N3" s="4345"/>
      <c r="O3" s="423"/>
    </row>
    <row r="4" spans="1:17" ht="14.25" thickTop="1" thickBot="1" x14ac:dyDescent="0.25">
      <c r="A4" s="9" t="s">
        <v>3</v>
      </c>
      <c r="B4" s="13" t="s">
        <v>4</v>
      </c>
      <c r="C4" s="13" t="s">
        <v>5</v>
      </c>
      <c r="D4" s="54" t="s">
        <v>4</v>
      </c>
      <c r="E4" s="1749" t="s">
        <v>69</v>
      </c>
      <c r="F4" s="1750">
        <v>2008</v>
      </c>
      <c r="G4" s="1751">
        <v>2009</v>
      </c>
      <c r="H4" s="1751">
        <v>2010</v>
      </c>
      <c r="I4" s="1751">
        <v>2011</v>
      </c>
      <c r="J4" s="1752">
        <v>2012</v>
      </c>
      <c r="K4" s="1752">
        <v>2013</v>
      </c>
      <c r="L4" s="1752">
        <v>2014</v>
      </c>
      <c r="M4" s="1753">
        <v>2015</v>
      </c>
      <c r="N4" s="1753">
        <v>2016</v>
      </c>
      <c r="O4" s="1752">
        <v>2017</v>
      </c>
      <c r="P4" s="1761">
        <v>2018</v>
      </c>
      <c r="Q4" s="1759">
        <v>2019</v>
      </c>
    </row>
    <row r="5" spans="1:17" ht="14.25" thickTop="1" thickBot="1" x14ac:dyDescent="0.25">
      <c r="A5" s="20" t="s">
        <v>89</v>
      </c>
      <c r="B5" s="21"/>
      <c r="C5" s="21"/>
      <c r="D5" s="21"/>
      <c r="E5" s="1754"/>
      <c r="F5" s="1755"/>
      <c r="G5" s="1756"/>
      <c r="H5" s="1756"/>
      <c r="I5" s="1756"/>
      <c r="J5" s="1756"/>
      <c r="K5" s="1757"/>
      <c r="L5" s="1757"/>
      <c r="M5" s="1757"/>
      <c r="N5" s="1758"/>
      <c r="O5" s="1757"/>
      <c r="P5" s="1762"/>
      <c r="Q5" s="1760"/>
    </row>
    <row r="6" spans="1:17" ht="14.25" thickTop="1" thickBot="1" x14ac:dyDescent="0.25">
      <c r="A6" s="670" t="s">
        <v>49</v>
      </c>
      <c r="B6" s="671"/>
      <c r="C6" s="671"/>
      <c r="D6" s="671"/>
      <c r="E6" s="822"/>
      <c r="F6" s="355"/>
      <c r="G6" s="103"/>
      <c r="H6" s="103"/>
      <c r="I6" s="103"/>
      <c r="J6" s="103"/>
      <c r="K6" s="103"/>
      <c r="L6" s="103"/>
      <c r="M6" s="103"/>
      <c r="N6" s="104"/>
      <c r="O6" s="103"/>
      <c r="P6" s="357"/>
    </row>
    <row r="7" spans="1:17" x14ac:dyDescent="0.2">
      <c r="A7" s="475" t="s">
        <v>39</v>
      </c>
      <c r="B7" s="476" t="s">
        <v>7</v>
      </c>
      <c r="C7" s="476" t="s">
        <v>132</v>
      </c>
      <c r="D7" s="672" t="s">
        <v>8</v>
      </c>
      <c r="E7" s="363"/>
      <c r="F7" s="353"/>
      <c r="G7" s="247"/>
      <c r="H7" s="247"/>
      <c r="I7" s="247"/>
      <c r="J7" s="247"/>
      <c r="K7" s="247"/>
      <c r="L7" s="247"/>
      <c r="M7" s="247"/>
      <c r="N7" s="354"/>
      <c r="O7" s="251"/>
      <c r="P7" s="357"/>
    </row>
    <row r="8" spans="1:17" x14ac:dyDescent="0.2">
      <c r="A8" s="475" t="s">
        <v>13</v>
      </c>
      <c r="B8" s="476" t="s">
        <v>14</v>
      </c>
      <c r="C8" s="476" t="s">
        <v>132</v>
      </c>
      <c r="D8" s="672" t="s">
        <v>8</v>
      </c>
      <c r="E8" s="363"/>
      <c r="F8" s="353"/>
      <c r="G8" s="247"/>
      <c r="H8" s="247"/>
      <c r="I8" s="247"/>
      <c r="J8" s="247"/>
      <c r="K8" s="247"/>
      <c r="L8" s="247"/>
      <c r="M8" s="247"/>
      <c r="N8" s="354"/>
      <c r="O8" s="251"/>
      <c r="P8" s="357"/>
    </row>
    <row r="9" spans="1:17" x14ac:dyDescent="0.2">
      <c r="A9" s="475" t="s">
        <v>15</v>
      </c>
      <c r="B9" s="476" t="s">
        <v>7</v>
      </c>
      <c r="C9" s="476" t="s">
        <v>132</v>
      </c>
      <c r="D9" s="672" t="s">
        <v>8</v>
      </c>
      <c r="E9" s="363"/>
      <c r="F9" s="353"/>
      <c r="G9" s="247"/>
      <c r="H9" s="247"/>
      <c r="I9" s="247"/>
      <c r="J9" s="247"/>
      <c r="K9" s="247"/>
      <c r="L9" s="247"/>
      <c r="M9" s="247"/>
      <c r="N9" s="354"/>
      <c r="O9" s="251"/>
      <c r="P9" s="357"/>
    </row>
    <row r="10" spans="1:17" ht="13.5" thickBot="1" x14ac:dyDescent="0.25">
      <c r="A10" s="516" t="s">
        <v>15</v>
      </c>
      <c r="B10" s="517" t="s">
        <v>7</v>
      </c>
      <c r="C10" s="517" t="s">
        <v>132</v>
      </c>
      <c r="D10" s="681" t="s">
        <v>16</v>
      </c>
      <c r="E10" s="363"/>
      <c r="F10" s="353"/>
      <c r="G10" s="247"/>
      <c r="H10" s="247"/>
      <c r="I10" s="247"/>
      <c r="J10" s="247"/>
      <c r="K10" s="247"/>
      <c r="L10" s="247"/>
      <c r="M10" s="354"/>
      <c r="N10" s="354"/>
      <c r="O10" s="103"/>
      <c r="P10" s="357"/>
    </row>
    <row r="11" spans="1:17" ht="14.25" thickTop="1" thickBot="1" x14ac:dyDescent="0.25">
      <c r="A11" s="102"/>
      <c r="B11" s="103"/>
      <c r="C11" s="103"/>
      <c r="D11" s="212"/>
      <c r="E11" s="254"/>
      <c r="F11" s="353"/>
      <c r="G11" s="247"/>
      <c r="H11" s="247"/>
      <c r="I11" s="247"/>
      <c r="J11" s="247"/>
      <c r="K11" s="247"/>
      <c r="L11" s="247"/>
      <c r="M11" s="247"/>
      <c r="N11" s="354"/>
      <c r="O11" s="251"/>
      <c r="P11" s="357"/>
    </row>
    <row r="12" spans="1:17" ht="14.25" thickTop="1" thickBot="1" x14ac:dyDescent="0.25">
      <c r="A12" s="670" t="s">
        <v>48</v>
      </c>
      <c r="B12" s="675"/>
      <c r="C12" s="675"/>
      <c r="D12" s="675"/>
      <c r="E12" s="254"/>
      <c r="F12" s="353"/>
      <c r="G12" s="247"/>
      <c r="H12" s="247"/>
      <c r="I12" s="247"/>
      <c r="J12" s="247"/>
      <c r="K12" s="247"/>
      <c r="L12" s="247"/>
      <c r="M12" s="247"/>
      <c r="N12" s="354"/>
      <c r="O12" s="251"/>
      <c r="P12" s="357"/>
    </row>
    <row r="13" spans="1:17" s="491" customFormat="1" x14ac:dyDescent="0.2">
      <c r="A13" s="475" t="s">
        <v>13</v>
      </c>
      <c r="B13" s="476" t="s">
        <v>7</v>
      </c>
      <c r="C13" s="476" t="s">
        <v>132</v>
      </c>
      <c r="D13" s="672" t="s">
        <v>8</v>
      </c>
      <c r="E13" s="823"/>
      <c r="F13" s="2151"/>
      <c r="G13" s="721"/>
      <c r="H13" s="721"/>
      <c r="I13" s="721"/>
      <c r="J13" s="721"/>
      <c r="K13" s="721"/>
      <c r="L13" s="721"/>
      <c r="M13" s="721"/>
      <c r="N13" s="722"/>
      <c r="O13" s="2165"/>
      <c r="P13" s="861"/>
      <c r="Q13" s="951"/>
    </row>
    <row r="14" spans="1:17" x14ac:dyDescent="0.2">
      <c r="A14" s="475" t="s">
        <v>50</v>
      </c>
      <c r="B14" s="476" t="s">
        <v>14</v>
      </c>
      <c r="C14" s="476" t="s">
        <v>132</v>
      </c>
      <c r="D14" s="672" t="s">
        <v>8</v>
      </c>
      <c r="E14" s="254"/>
      <c r="F14" s="353"/>
      <c r="G14" s="247"/>
      <c r="H14" s="247"/>
      <c r="I14" s="247"/>
      <c r="J14" s="247"/>
      <c r="K14" s="247"/>
      <c r="L14" s="247"/>
      <c r="M14" s="247"/>
      <c r="N14" s="354"/>
      <c r="O14" s="251"/>
      <c r="P14" s="357"/>
    </row>
    <row r="15" spans="1:17" x14ac:dyDescent="0.2">
      <c r="A15" s="475" t="s">
        <v>51</v>
      </c>
      <c r="B15" s="476" t="s">
        <v>14</v>
      </c>
      <c r="C15" s="476" t="s">
        <v>132</v>
      </c>
      <c r="D15" s="672" t="s">
        <v>8</v>
      </c>
      <c r="E15" s="823"/>
      <c r="F15" s="353"/>
      <c r="G15" s="247"/>
      <c r="H15" s="247"/>
      <c r="I15" s="247"/>
      <c r="J15" s="247"/>
      <c r="K15" s="247"/>
      <c r="L15" s="247"/>
      <c r="M15" s="247"/>
      <c r="N15" s="354"/>
      <c r="O15" s="251"/>
      <c r="P15" s="357"/>
    </row>
    <row r="16" spans="1:17" ht="13.5" thickBot="1" x14ac:dyDescent="0.25">
      <c r="A16" s="475" t="s">
        <v>52</v>
      </c>
      <c r="B16" s="476" t="s">
        <v>7</v>
      </c>
      <c r="C16" s="476" t="s">
        <v>132</v>
      </c>
      <c r="D16" s="672" t="s">
        <v>8</v>
      </c>
      <c r="E16" s="363"/>
      <c r="F16" s="353"/>
      <c r="G16" s="247"/>
      <c r="H16" s="247"/>
      <c r="I16" s="247"/>
      <c r="J16" s="247"/>
      <c r="K16" s="247"/>
      <c r="L16" s="247"/>
      <c r="M16" s="247"/>
      <c r="N16" s="354"/>
      <c r="O16" s="251"/>
      <c r="P16" s="357"/>
    </row>
    <row r="17" spans="1:17" ht="14.25" thickTop="1" thickBot="1" x14ac:dyDescent="0.25">
      <c r="A17" s="853"/>
      <c r="B17" s="854"/>
      <c r="C17" s="854"/>
      <c r="D17" s="1726"/>
      <c r="E17" s="254"/>
      <c r="F17" s="353"/>
      <c r="G17" s="247"/>
      <c r="H17" s="247"/>
      <c r="I17" s="247"/>
      <c r="J17" s="247"/>
      <c r="K17" s="247"/>
      <c r="L17" s="247"/>
      <c r="M17" s="247"/>
      <c r="N17" s="354"/>
      <c r="O17" s="251"/>
      <c r="P17" s="357"/>
    </row>
    <row r="18" spans="1:17" ht="14.25" thickTop="1" thickBot="1" x14ac:dyDescent="0.25">
      <c r="A18" s="851" t="s">
        <v>47</v>
      </c>
      <c r="B18" s="852"/>
      <c r="C18" s="852"/>
      <c r="D18" s="852"/>
      <c r="E18" s="254"/>
      <c r="F18" s="353"/>
      <c r="G18" s="247"/>
      <c r="H18" s="247"/>
      <c r="I18" s="247"/>
      <c r="J18" s="247"/>
      <c r="K18" s="247"/>
      <c r="L18" s="247"/>
      <c r="M18" s="247"/>
      <c r="N18" s="354"/>
      <c r="O18" s="251"/>
      <c r="P18" s="357"/>
    </row>
    <row r="19" spans="1:17" ht="13.5" thickBot="1" x14ac:dyDescent="0.25">
      <c r="A19" s="855" t="s">
        <v>40</v>
      </c>
      <c r="B19" s="856" t="s">
        <v>7</v>
      </c>
      <c r="C19" s="856" t="s">
        <v>46</v>
      </c>
      <c r="D19" s="857" t="s">
        <v>8</v>
      </c>
      <c r="E19" s="254"/>
      <c r="F19" s="353"/>
      <c r="G19" s="247"/>
      <c r="H19" s="247"/>
      <c r="I19" s="247"/>
      <c r="J19" s="247"/>
      <c r="K19" s="247"/>
      <c r="L19" s="247"/>
      <c r="M19" s="247"/>
      <c r="N19" s="354"/>
      <c r="O19" s="251"/>
      <c r="P19" s="357"/>
    </row>
    <row r="20" spans="1:17" s="39" customFormat="1" ht="14.25" thickTop="1" thickBot="1" x14ac:dyDescent="0.25">
      <c r="A20" s="25"/>
      <c r="B20" s="26"/>
      <c r="C20" s="26"/>
      <c r="D20" s="26"/>
      <c r="E20" s="254"/>
      <c r="F20" s="353"/>
      <c r="G20" s="247"/>
      <c r="H20" s="247"/>
      <c r="I20" s="247"/>
      <c r="J20" s="247"/>
      <c r="K20" s="247"/>
      <c r="L20" s="247"/>
      <c r="M20" s="247"/>
      <c r="N20" s="354"/>
      <c r="O20" s="251"/>
      <c r="P20" s="357"/>
      <c r="Q20" s="75"/>
    </row>
    <row r="21" spans="1:17" ht="14.25" thickTop="1" thickBot="1" x14ac:dyDescent="0.25">
      <c r="A21" s="670" t="s">
        <v>90</v>
      </c>
      <c r="B21" s="671"/>
      <c r="C21" s="671"/>
      <c r="D21" s="671"/>
      <c r="E21" s="254"/>
      <c r="F21" s="353"/>
      <c r="G21" s="247"/>
      <c r="H21" s="247"/>
      <c r="I21" s="247"/>
      <c r="J21" s="247"/>
      <c r="K21" s="247"/>
      <c r="L21" s="247"/>
      <c r="M21" s="247"/>
      <c r="N21" s="354"/>
      <c r="O21" s="251"/>
      <c r="P21" s="357"/>
    </row>
    <row r="22" spans="1:17" x14ac:dyDescent="0.2">
      <c r="A22" s="527" t="s">
        <v>61</v>
      </c>
      <c r="B22" s="528" t="s">
        <v>7</v>
      </c>
      <c r="C22" s="528" t="s">
        <v>132</v>
      </c>
      <c r="D22" s="682" t="s">
        <v>8</v>
      </c>
      <c r="E22" s="363"/>
      <c r="F22" s="353"/>
      <c r="G22" s="247"/>
      <c r="H22" s="247"/>
      <c r="I22" s="247"/>
      <c r="J22" s="247"/>
      <c r="K22" s="247"/>
      <c r="L22" s="247"/>
      <c r="M22" s="247"/>
      <c r="N22" s="354"/>
      <c r="O22" s="251"/>
      <c r="P22" s="357"/>
    </row>
    <row r="23" spans="1:17" s="473" customFormat="1" x14ac:dyDescent="0.2">
      <c r="A23" s="507" t="s">
        <v>62</v>
      </c>
      <c r="B23" s="508" t="s">
        <v>7</v>
      </c>
      <c r="C23" s="508" t="s">
        <v>44</v>
      </c>
      <c r="D23" s="674" t="s">
        <v>8</v>
      </c>
      <c r="E23" s="838">
        <f>SUM(F23:N23)</f>
        <v>612787.30098188994</v>
      </c>
      <c r="F23" s="839">
        <f>F164</f>
        <v>11549</v>
      </c>
      <c r="G23" s="498">
        <f t="shared" ref="G23:N23" si="0">G164</f>
        <v>63804.472702197425</v>
      </c>
      <c r="H23" s="498">
        <f t="shared" si="0"/>
        <v>99237.961203896935</v>
      </c>
      <c r="I23" s="498">
        <f t="shared" si="0"/>
        <v>119377.56420487573</v>
      </c>
      <c r="J23" s="498">
        <f t="shared" si="0"/>
        <v>131723.21985189916</v>
      </c>
      <c r="K23" s="498">
        <f t="shared" si="0"/>
        <v>100942.35254327505</v>
      </c>
      <c r="L23" s="498">
        <f t="shared" si="0"/>
        <v>50956.864041575536</v>
      </c>
      <c r="M23" s="498">
        <f t="shared" si="0"/>
        <v>25918.261040596735</v>
      </c>
      <c r="N23" s="709">
        <f t="shared" si="0"/>
        <v>9277.605393573298</v>
      </c>
      <c r="O23" s="499"/>
      <c r="P23" s="1763"/>
      <c r="Q23" s="1742"/>
    </row>
    <row r="24" spans="1:17" s="473" customFormat="1" ht="13.5" thickBot="1" x14ac:dyDescent="0.25">
      <c r="A24" s="550" t="s">
        <v>63</v>
      </c>
      <c r="B24" s="551" t="s">
        <v>7</v>
      </c>
      <c r="C24" s="551" t="s">
        <v>44</v>
      </c>
      <c r="D24" s="686" t="s">
        <v>8</v>
      </c>
      <c r="E24" s="838">
        <f>SUM(F24:N24)</f>
        <v>147043.6564971086</v>
      </c>
      <c r="F24" s="839">
        <f>F172</f>
        <v>9046</v>
      </c>
      <c r="G24" s="498">
        <f t="shared" ref="G24:N24" si="1">G172</f>
        <v>19526.977096531355</v>
      </c>
      <c r="H24" s="498">
        <f t="shared" si="1"/>
        <v>24036.424561795982</v>
      </c>
      <c r="I24" s="498">
        <f t="shared" si="1"/>
        <v>27467.755829928254</v>
      </c>
      <c r="J24" s="498">
        <f t="shared" si="1"/>
        <v>30688.25839131017</v>
      </c>
      <c r="K24" s="498">
        <f t="shared" si="1"/>
        <v>15717.187027745795</v>
      </c>
      <c r="L24" s="498">
        <f t="shared" si="1"/>
        <v>10894.739562481165</v>
      </c>
      <c r="M24" s="498">
        <f t="shared" si="1"/>
        <v>6447.4082943488957</v>
      </c>
      <c r="N24" s="709">
        <f t="shared" si="1"/>
        <v>3218.9057329669799</v>
      </c>
      <c r="O24" s="499"/>
      <c r="P24" s="1763"/>
      <c r="Q24" s="1742"/>
    </row>
    <row r="25" spans="1:17" s="39" customFormat="1" ht="14.25" thickTop="1" thickBot="1" x14ac:dyDescent="0.25">
      <c r="E25" s="194"/>
      <c r="F25" s="355"/>
      <c r="G25" s="103"/>
      <c r="H25" s="103"/>
      <c r="I25" s="103"/>
      <c r="J25" s="103"/>
      <c r="K25" s="103"/>
      <c r="L25" s="103"/>
      <c r="M25" s="103"/>
      <c r="N25" s="212"/>
      <c r="O25" s="103"/>
      <c r="P25" s="357"/>
      <c r="Q25" s="75"/>
    </row>
    <row r="26" spans="1:17" ht="14.25" thickTop="1" thickBot="1" x14ac:dyDescent="0.25">
      <c r="A26" s="670" t="s">
        <v>120</v>
      </c>
      <c r="B26" s="675"/>
      <c r="C26" s="675"/>
      <c r="D26" s="675"/>
      <c r="E26" s="397"/>
      <c r="F26" s="355"/>
      <c r="G26" s="103"/>
      <c r="H26" s="103"/>
      <c r="I26" s="103"/>
      <c r="J26" s="103"/>
      <c r="K26" s="103"/>
      <c r="L26" s="103"/>
      <c r="M26" s="103"/>
      <c r="N26" s="212"/>
      <c r="O26" s="103"/>
      <c r="P26" s="357"/>
    </row>
    <row r="27" spans="1:17" ht="13.5" thickBot="1" x14ac:dyDescent="0.25">
      <c r="A27" s="516" t="s">
        <v>121</v>
      </c>
      <c r="B27" s="517" t="s">
        <v>14</v>
      </c>
      <c r="C27" s="517" t="s">
        <v>132</v>
      </c>
      <c r="D27" s="681" t="s">
        <v>8</v>
      </c>
      <c r="E27" s="823"/>
      <c r="F27" s="365"/>
      <c r="G27" s="366"/>
      <c r="H27" s="366"/>
      <c r="I27" s="366"/>
      <c r="J27" s="366"/>
      <c r="K27" s="366"/>
      <c r="L27" s="366"/>
      <c r="M27" s="366"/>
      <c r="N27" s="367"/>
      <c r="O27" s="103"/>
      <c r="P27" s="357"/>
    </row>
    <row r="28" spans="1:17" s="39" customFormat="1" ht="14.25" thickTop="1" thickBot="1" x14ac:dyDescent="0.25">
      <c r="A28" s="73"/>
      <c r="B28" s="73"/>
      <c r="C28" s="73"/>
      <c r="D28" s="73"/>
      <c r="E28" s="356"/>
      <c r="F28" s="365"/>
      <c r="G28" s="366"/>
      <c r="H28" s="366"/>
      <c r="I28" s="366"/>
      <c r="J28" s="366"/>
      <c r="K28" s="366"/>
      <c r="L28" s="366"/>
      <c r="M28" s="366"/>
      <c r="N28" s="367"/>
      <c r="O28" s="103"/>
      <c r="P28" s="357"/>
      <c r="Q28" s="75"/>
    </row>
    <row r="29" spans="1:17" s="39" customFormat="1" ht="14.25" thickTop="1" thickBot="1" x14ac:dyDescent="0.25">
      <c r="A29" s="676" t="s">
        <v>133</v>
      </c>
      <c r="B29" s="419"/>
      <c r="C29" s="419"/>
      <c r="D29" s="419"/>
      <c r="E29" s="356"/>
      <c r="F29" s="365"/>
      <c r="G29" s="366"/>
      <c r="H29" s="366"/>
      <c r="I29" s="366"/>
      <c r="J29" s="366"/>
      <c r="K29" s="366"/>
      <c r="L29" s="366"/>
      <c r="M29" s="366"/>
      <c r="N29" s="367"/>
      <c r="O29" s="103"/>
      <c r="P29" s="357"/>
      <c r="Q29" s="75"/>
    </row>
    <row r="30" spans="1:17" s="39" customFormat="1" ht="13.5" thickTop="1" x14ac:dyDescent="0.2">
      <c r="A30" s="475" t="s">
        <v>134</v>
      </c>
      <c r="B30" s="476" t="s">
        <v>7</v>
      </c>
      <c r="C30" s="476" t="s">
        <v>132</v>
      </c>
      <c r="D30" s="672" t="s">
        <v>8</v>
      </c>
      <c r="E30" s="363"/>
      <c r="F30" s="365"/>
      <c r="G30" s="366"/>
      <c r="H30" s="366"/>
      <c r="I30" s="366"/>
      <c r="J30" s="366"/>
      <c r="K30" s="366"/>
      <c r="L30" s="366"/>
      <c r="M30" s="366"/>
      <c r="N30" s="367"/>
      <c r="O30" s="103"/>
      <c r="P30" s="357"/>
      <c r="Q30" s="75"/>
    </row>
    <row r="31" spans="1:17" s="473" customFormat="1" ht="13.5" thickBot="1" x14ac:dyDescent="0.25">
      <c r="A31" s="550" t="s">
        <v>50</v>
      </c>
      <c r="B31" s="551" t="s">
        <v>7</v>
      </c>
      <c r="C31" s="551" t="s">
        <v>44</v>
      </c>
      <c r="D31" s="686" t="s">
        <v>8</v>
      </c>
      <c r="E31" s="838">
        <f>SUM(F31:N31)</f>
        <v>1433436</v>
      </c>
      <c r="F31" s="858">
        <f>F180</f>
        <v>0</v>
      </c>
      <c r="G31" s="859">
        <f t="shared" ref="G31:N31" si="2">G180</f>
        <v>25434</v>
      </c>
      <c r="H31" s="859">
        <f t="shared" si="2"/>
        <v>103109</v>
      </c>
      <c r="I31" s="859">
        <f t="shared" si="2"/>
        <v>184973</v>
      </c>
      <c r="J31" s="859">
        <f t="shared" si="2"/>
        <v>271248</v>
      </c>
      <c r="K31" s="859">
        <f t="shared" si="2"/>
        <v>330793</v>
      </c>
      <c r="L31" s="859">
        <f t="shared" si="2"/>
        <v>254490</v>
      </c>
      <c r="M31" s="859">
        <f t="shared" si="2"/>
        <v>174071</v>
      </c>
      <c r="N31" s="860">
        <f t="shared" si="2"/>
        <v>89318</v>
      </c>
      <c r="O31" s="496"/>
      <c r="P31" s="1763"/>
      <c r="Q31" s="1742"/>
    </row>
    <row r="32" spans="1:17" s="39" customFormat="1" ht="14.25" thickTop="1" thickBot="1" x14ac:dyDescent="0.25">
      <c r="A32" s="73"/>
      <c r="B32" s="73"/>
      <c r="C32" s="73"/>
      <c r="D32" s="73"/>
      <c r="E32" s="356"/>
      <c r="F32" s="845"/>
      <c r="G32" s="361"/>
      <c r="H32" s="361"/>
      <c r="I32" s="361"/>
      <c r="J32" s="361"/>
      <c r="K32" s="361"/>
      <c r="L32" s="361"/>
      <c r="M32" s="361"/>
      <c r="N32" s="362"/>
      <c r="O32" s="103"/>
      <c r="P32" s="357"/>
      <c r="Q32" s="75"/>
    </row>
    <row r="33" spans="1:17" s="39" customFormat="1" ht="14.25" thickTop="1" thickBot="1" x14ac:dyDescent="0.25">
      <c r="A33" s="407" t="s">
        <v>186</v>
      </c>
      <c r="B33" s="824"/>
      <c r="C33" s="825"/>
      <c r="D33" s="677"/>
      <c r="E33" s="356"/>
      <c r="F33" s="845"/>
      <c r="G33" s="361"/>
      <c r="H33" s="361"/>
      <c r="I33" s="361"/>
      <c r="J33" s="361"/>
      <c r="K33" s="361"/>
      <c r="L33" s="361"/>
      <c r="M33" s="361"/>
      <c r="N33" s="362"/>
      <c r="O33" s="103"/>
      <c r="P33" s="357"/>
      <c r="Q33" s="75"/>
    </row>
    <row r="34" spans="1:17" s="473" customFormat="1" ht="14.25" thickTop="1" thickBot="1" x14ac:dyDescent="0.25">
      <c r="A34" s="516" t="s">
        <v>188</v>
      </c>
      <c r="B34" s="1114" t="s">
        <v>7</v>
      </c>
      <c r="C34" s="1114" t="s">
        <v>132</v>
      </c>
      <c r="D34" s="681" t="s">
        <v>8</v>
      </c>
      <c r="E34" s="363"/>
      <c r="F34" s="845"/>
      <c r="G34" s="361"/>
      <c r="H34" s="361"/>
      <c r="I34" s="361"/>
      <c r="J34" s="361"/>
      <c r="K34" s="361"/>
      <c r="L34" s="361"/>
      <c r="M34" s="361"/>
      <c r="N34" s="362"/>
      <c r="O34" s="103"/>
      <c r="P34" s="357"/>
      <c r="Q34" s="1885"/>
    </row>
    <row r="35" spans="1:17" s="39" customFormat="1" ht="14.25" thickTop="1" thickBot="1" x14ac:dyDescent="0.25">
      <c r="A35" s="26"/>
      <c r="B35" s="73"/>
      <c r="C35" s="73"/>
      <c r="D35" s="26"/>
      <c r="E35" s="363"/>
      <c r="F35" s="845"/>
      <c r="G35" s="361"/>
      <c r="H35" s="361"/>
      <c r="I35" s="361"/>
      <c r="J35" s="361"/>
      <c r="K35" s="361"/>
      <c r="L35" s="361"/>
      <c r="M35" s="361"/>
      <c r="N35" s="364"/>
      <c r="O35" s="103"/>
      <c r="P35" s="357"/>
      <c r="Q35" s="75"/>
    </row>
    <row r="36" spans="1:17" s="39" customFormat="1" ht="14.25" thickTop="1" thickBot="1" x14ac:dyDescent="0.25">
      <c r="A36" s="407" t="s">
        <v>316</v>
      </c>
      <c r="B36" s="109"/>
      <c r="C36" s="109"/>
      <c r="D36" s="677"/>
      <c r="E36" s="363"/>
      <c r="F36" s="845"/>
      <c r="G36" s="361"/>
      <c r="H36" s="361"/>
      <c r="I36" s="361"/>
      <c r="J36" s="361"/>
      <c r="K36" s="361"/>
      <c r="L36" s="361"/>
      <c r="M36" s="361"/>
      <c r="N36" s="364"/>
      <c r="O36" s="103"/>
      <c r="P36" s="357"/>
      <c r="Q36" s="75"/>
    </row>
    <row r="37" spans="1:17" s="473" customFormat="1" ht="13.5" thickTop="1" x14ac:dyDescent="0.2">
      <c r="A37" s="687" t="s">
        <v>125</v>
      </c>
      <c r="B37" s="468" t="s">
        <v>7</v>
      </c>
      <c r="C37" s="468" t="s">
        <v>44</v>
      </c>
      <c r="D37" s="688" t="s">
        <v>8</v>
      </c>
      <c r="E37" s="838">
        <f>SUM(F37:O37)</f>
        <v>159342.47527029578</v>
      </c>
      <c r="F37" s="1662">
        <f>F189</f>
        <v>291</v>
      </c>
      <c r="G37" s="843">
        <f t="shared" ref="G37:N37" si="3">G189</f>
        <v>6076.3338349357682</v>
      </c>
      <c r="H37" s="843">
        <f t="shared" si="3"/>
        <v>14645.329775681741</v>
      </c>
      <c r="I37" s="843">
        <f t="shared" si="3"/>
        <v>26427.080576628701</v>
      </c>
      <c r="J37" s="843">
        <f t="shared" si="3"/>
        <v>32153.187291606122</v>
      </c>
      <c r="K37" s="843">
        <f t="shared" si="3"/>
        <v>32988.784982638179</v>
      </c>
      <c r="L37" s="843">
        <f t="shared" si="3"/>
        <v>25231.789041892203</v>
      </c>
      <c r="M37" s="843">
        <f t="shared" si="3"/>
        <v>15039.038240945243</v>
      </c>
      <c r="N37" s="844">
        <f t="shared" si="3"/>
        <v>6489.9315259678233</v>
      </c>
      <c r="O37" s="496"/>
      <c r="P37" s="1763"/>
      <c r="Q37" s="1742"/>
    </row>
    <row r="38" spans="1:17" s="473" customFormat="1" x14ac:dyDescent="0.2">
      <c r="A38" s="687" t="s">
        <v>121</v>
      </c>
      <c r="B38" s="468" t="s">
        <v>7</v>
      </c>
      <c r="C38" s="468" t="s">
        <v>44</v>
      </c>
      <c r="D38" s="674" t="s">
        <v>8</v>
      </c>
      <c r="E38" s="838">
        <f>SUM(F38:O38)</f>
        <v>1548584.3596835621</v>
      </c>
      <c r="F38" s="1662">
        <f>F198</f>
        <v>41237</v>
      </c>
      <c r="G38" s="843">
        <f t="shared" ref="G38:N38" si="4">G198</f>
        <v>201596.50273410947</v>
      </c>
      <c r="H38" s="843">
        <f t="shared" si="4"/>
        <v>357365.58992089058</v>
      </c>
      <c r="I38" s="843">
        <f t="shared" si="4"/>
        <v>357365.58992089058</v>
      </c>
      <c r="J38" s="843">
        <f t="shared" si="4"/>
        <v>357365.58992089058</v>
      </c>
      <c r="K38" s="843">
        <f t="shared" si="4"/>
        <v>233654.08718678108</v>
      </c>
      <c r="L38" s="843">
        <f t="shared" si="4"/>
        <v>0</v>
      </c>
      <c r="M38" s="843">
        <f t="shared" si="4"/>
        <v>0</v>
      </c>
      <c r="N38" s="844">
        <f t="shared" si="4"/>
        <v>0</v>
      </c>
      <c r="O38" s="496"/>
      <c r="P38" s="1763"/>
      <c r="Q38" s="1742"/>
    </row>
    <row r="39" spans="1:17" s="39" customFormat="1" ht="13.5" thickBot="1" x14ac:dyDescent="0.25">
      <c r="A39" s="1184" t="s">
        <v>300</v>
      </c>
      <c r="B39" s="1185" t="s">
        <v>14</v>
      </c>
      <c r="C39" s="1185" t="s">
        <v>132</v>
      </c>
      <c r="D39" s="1393" t="s">
        <v>8</v>
      </c>
      <c r="E39" s="363"/>
      <c r="F39" s="845"/>
      <c r="G39" s="361"/>
      <c r="H39" s="361"/>
      <c r="I39" s="361"/>
      <c r="J39" s="361"/>
      <c r="K39" s="361"/>
      <c r="L39" s="361"/>
      <c r="M39" s="361"/>
      <c r="N39" s="364"/>
      <c r="O39" s="101"/>
      <c r="P39" s="357"/>
      <c r="Q39" s="75"/>
    </row>
    <row r="40" spans="1:17" s="39" customFormat="1" ht="14.25" thickTop="1" thickBot="1" x14ac:dyDescent="0.25">
      <c r="A40" s="26"/>
      <c r="B40" s="73"/>
      <c r="C40" s="73"/>
      <c r="D40" s="26"/>
      <c r="E40" s="363"/>
      <c r="F40" s="845"/>
      <c r="G40" s="361"/>
      <c r="H40" s="361"/>
      <c r="I40" s="361"/>
      <c r="J40" s="361"/>
      <c r="K40" s="361"/>
      <c r="L40" s="361"/>
      <c r="M40" s="361"/>
      <c r="N40" s="364"/>
      <c r="O40" s="103"/>
      <c r="P40" s="357"/>
      <c r="Q40" s="75"/>
    </row>
    <row r="41" spans="1:17" s="39" customFormat="1" ht="14.25" thickTop="1" thickBot="1" x14ac:dyDescent="0.25">
      <c r="A41" s="848" t="s">
        <v>389</v>
      </c>
      <c r="B41" s="696"/>
      <c r="C41" s="696"/>
      <c r="D41" s="419"/>
      <c r="E41" s="363"/>
      <c r="F41" s="845"/>
      <c r="G41" s="361"/>
      <c r="H41" s="361"/>
      <c r="I41" s="361"/>
      <c r="J41" s="361"/>
      <c r="K41" s="361"/>
      <c r="L41" s="361"/>
      <c r="M41" s="361"/>
      <c r="N41" s="361"/>
      <c r="O41" s="103"/>
      <c r="P41" s="357"/>
      <c r="Q41" s="75"/>
    </row>
    <row r="42" spans="1:17" s="777" customFormat="1" ht="13.5" thickTop="1" x14ac:dyDescent="0.2">
      <c r="A42" s="1436" t="s">
        <v>383</v>
      </c>
      <c r="B42" s="1436" t="s">
        <v>14</v>
      </c>
      <c r="C42" s="1436" t="s">
        <v>132</v>
      </c>
      <c r="D42" s="1436" t="s">
        <v>8</v>
      </c>
      <c r="E42" s="363"/>
      <c r="F42" s="845"/>
      <c r="G42" s="361"/>
      <c r="H42" s="361"/>
      <c r="I42" s="361"/>
      <c r="J42" s="361"/>
      <c r="K42" s="361"/>
      <c r="L42" s="361"/>
      <c r="M42" s="361"/>
      <c r="N42" s="361"/>
      <c r="O42" s="101"/>
      <c r="P42" s="357"/>
      <c r="Q42" s="1885"/>
    </row>
    <row r="43" spans="1:17" s="39" customFormat="1" ht="13.5" thickBot="1" x14ac:dyDescent="0.25">
      <c r="A43" s="1185" t="s">
        <v>385</v>
      </c>
      <c r="B43" s="1185" t="s">
        <v>14</v>
      </c>
      <c r="C43" s="1185" t="s">
        <v>132</v>
      </c>
      <c r="D43" s="1185" t="s">
        <v>8</v>
      </c>
      <c r="E43" s="363"/>
      <c r="F43" s="845"/>
      <c r="G43" s="361"/>
      <c r="H43" s="361"/>
      <c r="I43" s="361"/>
      <c r="J43" s="361"/>
      <c r="K43" s="361"/>
      <c r="L43" s="361"/>
      <c r="M43" s="361"/>
      <c r="N43" s="361"/>
      <c r="O43" s="101"/>
      <c r="P43" s="357"/>
      <c r="Q43" s="75"/>
    </row>
    <row r="44" spans="1:17" s="39" customFormat="1" ht="14.25" thickTop="1" thickBot="1" x14ac:dyDescent="0.25">
      <c r="A44" s="26"/>
      <c r="B44" s="73"/>
      <c r="C44" s="73"/>
      <c r="D44" s="26"/>
      <c r="E44" s="363"/>
      <c r="F44" s="845"/>
      <c r="G44" s="361"/>
      <c r="H44" s="361"/>
      <c r="I44" s="361"/>
      <c r="J44" s="361"/>
      <c r="K44" s="361"/>
      <c r="L44" s="361"/>
      <c r="M44" s="361"/>
      <c r="N44" s="361"/>
      <c r="O44" s="101"/>
      <c r="P44" s="357"/>
      <c r="Q44" s="75"/>
    </row>
    <row r="45" spans="1:17" s="39" customFormat="1" ht="14.25" thickTop="1" thickBot="1" x14ac:dyDescent="0.25">
      <c r="A45" s="407" t="s">
        <v>476</v>
      </c>
      <c r="B45" s="677"/>
      <c r="C45" s="419"/>
      <c r="D45" s="803"/>
      <c r="E45" s="363"/>
      <c r="F45" s="845"/>
      <c r="G45" s="361"/>
      <c r="H45" s="361"/>
      <c r="I45" s="361"/>
      <c r="J45" s="361"/>
      <c r="K45" s="361"/>
      <c r="L45" s="361"/>
      <c r="M45" s="361"/>
      <c r="N45" s="361"/>
      <c r="O45" s="101"/>
      <c r="P45" s="357"/>
      <c r="Q45" s="75"/>
    </row>
    <row r="46" spans="1:17" s="39" customFormat="1" ht="14.25" thickTop="1" thickBot="1" x14ac:dyDescent="0.25">
      <c r="A46" s="1236" t="s">
        <v>466</v>
      </c>
      <c r="B46" s="1393" t="s">
        <v>14</v>
      </c>
      <c r="C46" s="1185" t="s">
        <v>132</v>
      </c>
      <c r="D46" s="1596" t="s">
        <v>8</v>
      </c>
      <c r="E46" s="363"/>
      <c r="F46" s="845"/>
      <c r="G46" s="361"/>
      <c r="H46" s="361"/>
      <c r="I46" s="361"/>
      <c r="J46" s="361"/>
      <c r="K46" s="361"/>
      <c r="L46" s="361"/>
      <c r="M46" s="361"/>
      <c r="N46" s="361"/>
      <c r="O46" s="361"/>
      <c r="P46" s="357"/>
      <c r="Q46" s="75"/>
    </row>
    <row r="47" spans="1:17" s="39" customFormat="1" ht="14.25" thickTop="1" thickBot="1" x14ac:dyDescent="0.25">
      <c r="A47" s="73"/>
      <c r="B47" s="73"/>
      <c r="C47" s="73"/>
      <c r="D47" s="73"/>
      <c r="E47" s="363"/>
      <c r="F47" s="845"/>
      <c r="G47" s="361"/>
      <c r="H47" s="361"/>
      <c r="I47" s="361"/>
      <c r="J47" s="361"/>
      <c r="K47" s="361"/>
      <c r="L47" s="361"/>
      <c r="M47" s="361"/>
      <c r="N47" s="361"/>
      <c r="O47" s="361"/>
      <c r="P47" s="357"/>
      <c r="Q47" s="75"/>
    </row>
    <row r="48" spans="1:17" s="39" customFormat="1" ht="14.25" thickTop="1" thickBot="1" x14ac:dyDescent="0.25">
      <c r="A48" s="419" t="s">
        <v>539</v>
      </c>
      <c r="B48" s="419"/>
      <c r="C48" s="419"/>
      <c r="D48" s="419"/>
      <c r="E48" s="363"/>
      <c r="F48" s="845"/>
      <c r="G48" s="361"/>
      <c r="H48" s="361"/>
      <c r="I48" s="361"/>
      <c r="J48" s="361"/>
      <c r="K48" s="361"/>
      <c r="L48" s="361"/>
      <c r="M48" s="361"/>
      <c r="N48" s="361"/>
      <c r="O48" s="361"/>
      <c r="P48" s="357"/>
      <c r="Q48" s="75"/>
    </row>
    <row r="49" spans="1:17" s="1196" customFormat="1" ht="13.5" thickTop="1" x14ac:dyDescent="0.2">
      <c r="A49" s="1412" t="s">
        <v>478</v>
      </c>
      <c r="B49" s="1235" t="s">
        <v>7</v>
      </c>
      <c r="C49" s="1235" t="s">
        <v>44</v>
      </c>
      <c r="D49" s="1235" t="s">
        <v>8</v>
      </c>
      <c r="E49" s="1650">
        <f>SUM(F49:O49)</f>
        <v>66347.154325915501</v>
      </c>
      <c r="F49" s="1663"/>
      <c r="G49" s="1651">
        <f>G206</f>
        <v>1282.8302649382499</v>
      </c>
      <c r="H49" s="1651">
        <f t="shared" ref="H49:O49" si="5">H206</f>
        <v>4649.2128535863394</v>
      </c>
      <c r="I49" s="1651">
        <f t="shared" si="5"/>
        <v>6421.82447516091</v>
      </c>
      <c r="J49" s="1651">
        <f t="shared" si="5"/>
        <v>10528.85575322148</v>
      </c>
      <c r="K49" s="1651">
        <f t="shared" si="5"/>
        <v>12881.73173787194</v>
      </c>
      <c r="L49" s="1651">
        <f t="shared" si="5"/>
        <v>11907.37829119546</v>
      </c>
      <c r="M49" s="1651">
        <f t="shared" si="5"/>
        <v>8967.2879833362495</v>
      </c>
      <c r="N49" s="1651">
        <f t="shared" si="5"/>
        <v>6768.5510057396205</v>
      </c>
      <c r="O49" s="1651">
        <f t="shared" si="5"/>
        <v>2939.4819608652501</v>
      </c>
      <c r="P49" s="1764"/>
      <c r="Q49" s="1743"/>
    </row>
    <row r="50" spans="1:17" s="39" customFormat="1" ht="13.5" thickBot="1" x14ac:dyDescent="0.25">
      <c r="A50" s="1438" t="s">
        <v>540</v>
      </c>
      <c r="B50" s="1185" t="s">
        <v>14</v>
      </c>
      <c r="C50" s="1185" t="s">
        <v>132</v>
      </c>
      <c r="D50" s="1185" t="s">
        <v>8</v>
      </c>
      <c r="E50" s="363"/>
      <c r="F50" s="845"/>
      <c r="G50" s="361"/>
      <c r="H50" s="361"/>
      <c r="I50" s="361"/>
      <c r="J50" s="361"/>
      <c r="K50" s="361"/>
      <c r="L50" s="361"/>
      <c r="M50" s="361"/>
      <c r="N50" s="361"/>
      <c r="O50" s="361"/>
      <c r="P50" s="357"/>
      <c r="Q50" s="75"/>
    </row>
    <row r="51" spans="1:17" s="39" customFormat="1" ht="14.25" thickTop="1" thickBot="1" x14ac:dyDescent="0.25">
      <c r="A51" s="26"/>
      <c r="B51" s="26"/>
      <c r="C51" s="26"/>
      <c r="D51" s="26"/>
      <c r="E51" s="363"/>
      <c r="F51" s="845"/>
      <c r="G51" s="361"/>
      <c r="H51" s="361"/>
      <c r="I51" s="361"/>
      <c r="J51" s="361"/>
      <c r="K51" s="361"/>
      <c r="L51" s="361"/>
      <c r="M51" s="361"/>
      <c r="N51" s="361"/>
      <c r="O51" s="361"/>
      <c r="P51" s="357"/>
      <c r="Q51" s="75"/>
    </row>
    <row r="52" spans="1:17" s="39" customFormat="1" ht="14.25" thickTop="1" thickBot="1" x14ac:dyDescent="0.25">
      <c r="A52" s="698" t="s">
        <v>524</v>
      </c>
      <c r="B52" s="696"/>
      <c r="C52" s="696"/>
      <c r="D52" s="696"/>
      <c r="E52" s="363"/>
      <c r="F52" s="845"/>
      <c r="G52" s="361"/>
      <c r="H52" s="361"/>
      <c r="I52" s="361"/>
      <c r="J52" s="361"/>
      <c r="K52" s="361"/>
      <c r="L52" s="361"/>
      <c r="M52" s="361"/>
      <c r="N52" s="361"/>
      <c r="O52" s="361"/>
      <c r="P52" s="357"/>
      <c r="Q52" s="75"/>
    </row>
    <row r="53" spans="1:17" s="39" customFormat="1" ht="13.5" thickTop="1" x14ac:dyDescent="0.2">
      <c r="A53" s="1174" t="s">
        <v>538</v>
      </c>
      <c r="B53" s="1222" t="s">
        <v>14</v>
      </c>
      <c r="C53" s="1222" t="s">
        <v>132</v>
      </c>
      <c r="D53" s="1451" t="s">
        <v>8</v>
      </c>
      <c r="E53" s="363"/>
      <c r="F53" s="845"/>
      <c r="G53" s="361"/>
      <c r="H53" s="361"/>
      <c r="I53" s="361"/>
      <c r="J53" s="361"/>
      <c r="K53" s="361"/>
      <c r="L53" s="361"/>
      <c r="M53" s="361"/>
      <c r="N53" s="361"/>
      <c r="O53" s="361"/>
      <c r="P53" s="357"/>
      <c r="Q53" s="75"/>
    </row>
    <row r="54" spans="1:17" s="1196" customFormat="1" ht="13.5" thickBot="1" x14ac:dyDescent="0.25">
      <c r="A54" s="1404" t="s">
        <v>526</v>
      </c>
      <c r="B54" s="1405" t="s">
        <v>7</v>
      </c>
      <c r="C54" s="1405" t="s">
        <v>44</v>
      </c>
      <c r="D54" s="1416" t="s">
        <v>8</v>
      </c>
      <c r="E54" s="1650">
        <f>SUM(F54:O54)</f>
        <v>179172.24484958503</v>
      </c>
      <c r="F54" s="1663"/>
      <c r="G54" s="1651">
        <f t="shared" ref="G54:O54" si="6">G209</f>
        <v>13782.480373045</v>
      </c>
      <c r="H54" s="1651">
        <f t="shared" si="6"/>
        <v>41347.441119135001</v>
      </c>
      <c r="I54" s="1651">
        <f t="shared" si="6"/>
        <v>41347.441119135001</v>
      </c>
      <c r="J54" s="1651">
        <f t="shared" si="6"/>
        <v>41347.441119135001</v>
      </c>
      <c r="K54" s="1651">
        <f t="shared" si="6"/>
        <v>41347.441119135001</v>
      </c>
      <c r="L54" s="1651">
        <f t="shared" si="6"/>
        <v>0</v>
      </c>
      <c r="M54" s="1651">
        <f t="shared" si="6"/>
        <v>0</v>
      </c>
      <c r="N54" s="1651">
        <f t="shared" si="6"/>
        <v>0</v>
      </c>
      <c r="O54" s="1651">
        <f t="shared" si="6"/>
        <v>0</v>
      </c>
      <c r="P54" s="1764"/>
      <c r="Q54" s="1743"/>
    </row>
    <row r="55" spans="1:17" s="39" customFormat="1" ht="14.25" thickTop="1" thickBot="1" x14ac:dyDescent="0.25">
      <c r="A55" s="26"/>
      <c r="B55" s="26"/>
      <c r="C55" s="26"/>
      <c r="D55" s="26"/>
      <c r="E55" s="363"/>
      <c r="F55" s="362"/>
      <c r="G55" s="362"/>
      <c r="H55" s="362"/>
      <c r="I55" s="362"/>
      <c r="J55" s="362"/>
      <c r="K55" s="362"/>
      <c r="L55" s="362"/>
      <c r="M55" s="362"/>
      <c r="N55" s="362"/>
      <c r="O55" s="362"/>
      <c r="P55" s="357"/>
      <c r="Q55" s="75"/>
    </row>
    <row r="56" spans="1:17" s="39" customFormat="1" ht="14.25" thickTop="1" thickBot="1" x14ac:dyDescent="0.25">
      <c r="A56" s="698" t="s">
        <v>524</v>
      </c>
      <c r="B56" s="696"/>
      <c r="C56" s="696"/>
      <c r="D56" s="696"/>
      <c r="E56" s="363"/>
      <c r="F56" s="845"/>
      <c r="G56" s="361"/>
      <c r="H56" s="361"/>
      <c r="I56" s="361"/>
      <c r="J56" s="361"/>
      <c r="K56" s="361"/>
      <c r="L56" s="361"/>
      <c r="M56" s="361"/>
      <c r="N56" s="361"/>
      <c r="O56" s="361"/>
      <c r="P56" s="357"/>
      <c r="Q56" s="75"/>
    </row>
    <row r="57" spans="1:17" s="564" customFormat="1" ht="13.5" thickTop="1" x14ac:dyDescent="0.2">
      <c r="A57" s="1621" t="s">
        <v>538</v>
      </c>
      <c r="B57" s="1222" t="s">
        <v>7</v>
      </c>
      <c r="C57" s="1222" t="s">
        <v>132</v>
      </c>
      <c r="D57" s="1451" t="s">
        <v>8</v>
      </c>
      <c r="E57" s="363"/>
      <c r="F57" s="845"/>
      <c r="G57" s="361"/>
      <c r="H57" s="361"/>
      <c r="I57" s="361"/>
      <c r="J57" s="361"/>
      <c r="K57" s="361"/>
      <c r="L57" s="361"/>
      <c r="M57" s="361"/>
      <c r="N57" s="361"/>
      <c r="O57" s="361"/>
      <c r="P57" s="357"/>
      <c r="Q57" s="1885"/>
    </row>
    <row r="58" spans="1:17" s="39" customFormat="1" x14ac:dyDescent="0.2">
      <c r="A58" s="1283" t="s">
        <v>563</v>
      </c>
      <c r="B58" s="1279" t="s">
        <v>14</v>
      </c>
      <c r="C58" s="1279" t="s">
        <v>44</v>
      </c>
      <c r="D58" s="1478" t="s">
        <v>8</v>
      </c>
      <c r="E58" s="363"/>
      <c r="F58" s="845"/>
      <c r="G58" s="361"/>
      <c r="H58" s="361"/>
      <c r="I58" s="361"/>
      <c r="J58" s="361"/>
      <c r="K58" s="361"/>
      <c r="L58" s="361"/>
      <c r="M58" s="361"/>
      <c r="N58" s="361"/>
      <c r="O58" s="361"/>
      <c r="P58" s="1765"/>
      <c r="Q58" s="75"/>
    </row>
    <row r="59" spans="1:17" s="409" customFormat="1" ht="13.5" thickBot="1" x14ac:dyDescent="0.25">
      <c r="A59" s="1185" t="s">
        <v>566</v>
      </c>
      <c r="B59" s="1165" t="s">
        <v>14</v>
      </c>
      <c r="C59" s="1165" t="s">
        <v>132</v>
      </c>
      <c r="D59" s="1393" t="s">
        <v>8</v>
      </c>
      <c r="E59" s="829"/>
      <c r="F59" s="861"/>
      <c r="G59" s="830"/>
      <c r="H59" s="830"/>
      <c r="I59" s="830"/>
      <c r="J59" s="830"/>
      <c r="K59" s="830"/>
      <c r="L59" s="830"/>
      <c r="M59" s="830"/>
      <c r="N59" s="830"/>
      <c r="O59" s="830"/>
      <c r="P59" s="861"/>
      <c r="Q59" s="951"/>
    </row>
    <row r="60" spans="1:17" s="39" customFormat="1" ht="13.5" thickTop="1" x14ac:dyDescent="0.2">
      <c r="A60" s="26"/>
      <c r="B60" s="753"/>
      <c r="C60" s="753"/>
      <c r="D60" s="756"/>
      <c r="E60" s="363"/>
      <c r="F60" s="845"/>
      <c r="G60" s="361"/>
      <c r="H60" s="361"/>
      <c r="I60" s="361"/>
      <c r="J60" s="361"/>
      <c r="K60" s="361"/>
      <c r="L60" s="361"/>
      <c r="M60" s="361"/>
      <c r="N60" s="361"/>
      <c r="O60" s="361"/>
      <c r="P60" s="357"/>
      <c r="Q60" s="75"/>
    </row>
    <row r="61" spans="1:17" s="39" customFormat="1" ht="13.5" thickBot="1" x14ac:dyDescent="0.25">
      <c r="A61" s="26"/>
      <c r="B61" s="26"/>
      <c r="C61" s="26"/>
      <c r="D61" s="26"/>
      <c r="E61" s="363"/>
      <c r="F61" s="845"/>
      <c r="G61" s="361"/>
      <c r="H61" s="361"/>
      <c r="I61" s="361"/>
      <c r="J61" s="361"/>
      <c r="K61" s="361"/>
      <c r="L61" s="361"/>
      <c r="M61" s="361"/>
      <c r="N61" s="361"/>
      <c r="O61" s="361"/>
      <c r="P61" s="358"/>
      <c r="Q61" s="75"/>
    </row>
    <row r="62" spans="1:17" s="39" customFormat="1" ht="14.25" thickTop="1" thickBot="1" x14ac:dyDescent="0.25">
      <c r="A62" s="698" t="s">
        <v>595</v>
      </c>
      <c r="B62" s="419"/>
      <c r="C62" s="419"/>
      <c r="D62" s="419"/>
      <c r="E62" s="363"/>
      <c r="F62" s="845"/>
      <c r="G62" s="361"/>
      <c r="H62" s="361"/>
      <c r="I62" s="361"/>
      <c r="J62" s="361"/>
      <c r="K62" s="361"/>
      <c r="L62" s="361"/>
      <c r="M62" s="361"/>
      <c r="N62" s="361"/>
      <c r="O62" s="361"/>
      <c r="P62" s="358"/>
      <c r="Q62" s="75"/>
    </row>
    <row r="63" spans="1:17" s="39" customFormat="1" ht="13.5" thickTop="1" x14ac:dyDescent="0.2">
      <c r="A63" s="1720" t="s">
        <v>599</v>
      </c>
      <c r="B63" s="1721" t="s">
        <v>14</v>
      </c>
      <c r="C63" s="1721" t="s">
        <v>132</v>
      </c>
      <c r="D63" s="1721" t="s">
        <v>8</v>
      </c>
      <c r="E63" s="363"/>
      <c r="F63" s="845"/>
      <c r="G63" s="361"/>
      <c r="H63" s="361"/>
      <c r="I63" s="361"/>
      <c r="J63" s="361"/>
      <c r="K63" s="361"/>
      <c r="L63" s="361"/>
      <c r="M63" s="361"/>
      <c r="N63" s="361"/>
      <c r="O63" s="361"/>
      <c r="P63" s="358"/>
      <c r="Q63" s="75"/>
    </row>
    <row r="64" spans="1:17" s="39" customFormat="1" ht="13.5" thickBot="1" x14ac:dyDescent="0.25">
      <c r="A64" s="26"/>
      <c r="B64" s="26"/>
      <c r="C64" s="26"/>
      <c r="D64" s="26"/>
      <c r="E64" s="363"/>
      <c r="F64" s="845"/>
      <c r="G64" s="361"/>
      <c r="H64" s="361"/>
      <c r="I64" s="361"/>
      <c r="J64" s="361"/>
      <c r="K64" s="361"/>
      <c r="L64" s="361"/>
      <c r="M64" s="361"/>
      <c r="N64" s="361"/>
      <c r="O64" s="361"/>
      <c r="P64" s="358"/>
      <c r="Q64" s="75"/>
    </row>
    <row r="65" spans="1:17" s="39" customFormat="1" ht="14.25" thickTop="1" thickBot="1" x14ac:dyDescent="0.25">
      <c r="A65" s="698" t="s">
        <v>610</v>
      </c>
      <c r="B65" s="696"/>
      <c r="C65" s="696"/>
      <c r="D65" s="696"/>
      <c r="E65" s="363"/>
      <c r="F65" s="845"/>
      <c r="G65" s="361"/>
      <c r="H65" s="361"/>
      <c r="I65" s="361"/>
      <c r="J65" s="361"/>
      <c r="K65" s="361"/>
      <c r="L65" s="361"/>
      <c r="M65" s="361"/>
      <c r="N65" s="361"/>
      <c r="O65" s="361"/>
      <c r="P65" s="358"/>
      <c r="Q65" s="75"/>
    </row>
    <row r="66" spans="1:17" s="564" customFormat="1" ht="13.5" thickTop="1" x14ac:dyDescent="0.2">
      <c r="A66" s="1174" t="s">
        <v>612</v>
      </c>
      <c r="B66" s="1222" t="s">
        <v>7</v>
      </c>
      <c r="C66" s="1222" t="s">
        <v>132</v>
      </c>
      <c r="D66" s="1451" t="s">
        <v>8</v>
      </c>
      <c r="E66" s="363"/>
      <c r="F66" s="845"/>
      <c r="G66" s="361"/>
      <c r="H66" s="361"/>
      <c r="I66" s="361"/>
      <c r="J66" s="361"/>
      <c r="K66" s="361"/>
      <c r="L66" s="361"/>
      <c r="M66" s="361"/>
      <c r="N66" s="361"/>
      <c r="O66" s="361"/>
      <c r="P66" s="358"/>
      <c r="Q66" s="1885"/>
    </row>
    <row r="67" spans="1:17" s="1196" customFormat="1" ht="13.5" thickBot="1" x14ac:dyDescent="0.25">
      <c r="A67" s="1404" t="s">
        <v>607</v>
      </c>
      <c r="B67" s="1405" t="s">
        <v>7</v>
      </c>
      <c r="C67" s="1405" t="s">
        <v>44</v>
      </c>
      <c r="D67" s="1416" t="s">
        <v>8</v>
      </c>
      <c r="E67" s="1650">
        <f>SUM(F67:O67)</f>
        <v>209072.47985888197</v>
      </c>
      <c r="F67" s="1663"/>
      <c r="G67" s="1651">
        <f t="shared" ref="G67:O67" si="7">G223</f>
        <v>0</v>
      </c>
      <c r="H67" s="1651">
        <f t="shared" si="7"/>
        <v>3672</v>
      </c>
      <c r="I67" s="1651">
        <f t="shared" si="7"/>
        <v>15564.884831988153</v>
      </c>
      <c r="J67" s="1651">
        <f t="shared" si="7"/>
        <v>28158.515597818892</v>
      </c>
      <c r="K67" s="1651">
        <f t="shared" si="7"/>
        <v>39514.160949020057</v>
      </c>
      <c r="L67" s="1651">
        <f t="shared" si="7"/>
        <v>48247.119964720499</v>
      </c>
      <c r="M67" s="1651">
        <f t="shared" si="7"/>
        <v>37232.235132732341</v>
      </c>
      <c r="N67" s="1651">
        <f t="shared" si="7"/>
        <v>23583.604366901603</v>
      </c>
      <c r="O67" s="1651">
        <f t="shared" si="7"/>
        <v>13099.95901570044</v>
      </c>
      <c r="P67" s="1766"/>
      <c r="Q67" s="1743"/>
    </row>
    <row r="68" spans="1:17" s="39" customFormat="1" ht="14.25" thickTop="1" thickBot="1" x14ac:dyDescent="0.25">
      <c r="A68" s="26"/>
      <c r="B68" s="26"/>
      <c r="C68" s="26"/>
      <c r="D68" s="26"/>
      <c r="E68" s="363"/>
      <c r="F68" s="845"/>
      <c r="G68" s="361"/>
      <c r="H68" s="361"/>
      <c r="I68" s="361"/>
      <c r="J68" s="361"/>
      <c r="K68" s="361"/>
      <c r="L68" s="361"/>
      <c r="M68" s="361"/>
      <c r="N68" s="361"/>
      <c r="O68" s="361"/>
      <c r="P68" s="358"/>
      <c r="Q68" s="75"/>
    </row>
    <row r="69" spans="1:17" s="39" customFormat="1" ht="14.25" thickTop="1" thickBot="1" x14ac:dyDescent="0.25">
      <c r="A69" s="698" t="s">
        <v>631</v>
      </c>
      <c r="B69" s="696"/>
      <c r="C69" s="696"/>
      <c r="D69" s="696"/>
      <c r="E69" s="363"/>
      <c r="F69" s="845"/>
      <c r="G69" s="361"/>
      <c r="H69" s="361"/>
      <c r="I69" s="361"/>
      <c r="J69" s="361"/>
      <c r="K69" s="361"/>
      <c r="L69" s="361"/>
      <c r="M69" s="361"/>
      <c r="N69" s="361"/>
      <c r="O69" s="361"/>
      <c r="P69" s="358"/>
      <c r="Q69" s="75"/>
    </row>
    <row r="70" spans="1:17" s="1196" customFormat="1" ht="13.5" thickTop="1" x14ac:dyDescent="0.2">
      <c r="A70" s="1235" t="s">
        <v>566</v>
      </c>
      <c r="B70" s="1209" t="s">
        <v>7</v>
      </c>
      <c r="C70" s="1209" t="s">
        <v>44</v>
      </c>
      <c r="D70" s="1441" t="s">
        <v>8</v>
      </c>
      <c r="E70" s="1650">
        <f>SUM(F70:O70)</f>
        <v>336544</v>
      </c>
      <c r="F70" s="1663"/>
      <c r="G70" s="1651">
        <f>G231</f>
        <v>12505</v>
      </c>
      <c r="H70" s="1651">
        <f t="shared" ref="H70:O70" si="8">H231</f>
        <v>57106</v>
      </c>
      <c r="I70" s="1651">
        <f t="shared" si="8"/>
        <v>73651</v>
      </c>
      <c r="J70" s="1651">
        <f t="shared" si="8"/>
        <v>75474</v>
      </c>
      <c r="K70" s="1651">
        <f t="shared" si="8"/>
        <v>75474</v>
      </c>
      <c r="L70" s="1651">
        <f t="shared" si="8"/>
        <v>37958</v>
      </c>
      <c r="M70" s="1651">
        <f t="shared" si="8"/>
        <v>4376</v>
      </c>
      <c r="N70" s="1651">
        <f t="shared" si="8"/>
        <v>0</v>
      </c>
      <c r="O70" s="1651">
        <f t="shared" si="8"/>
        <v>0</v>
      </c>
      <c r="P70" s="1766"/>
      <c r="Q70" s="1743"/>
    </row>
    <row r="71" spans="1:17" s="566" customFormat="1" ht="13.5" thickBot="1" x14ac:dyDescent="0.25">
      <c r="A71" s="1410" t="s">
        <v>635</v>
      </c>
      <c r="B71" s="1391" t="s">
        <v>14</v>
      </c>
      <c r="C71" s="1391" t="s">
        <v>132</v>
      </c>
      <c r="D71" s="1392" t="s">
        <v>8</v>
      </c>
      <c r="E71" s="837"/>
      <c r="F71" s="1045"/>
      <c r="G71" s="833"/>
      <c r="H71" s="833"/>
      <c r="I71" s="833"/>
      <c r="J71" s="833"/>
      <c r="K71" s="833"/>
      <c r="L71" s="833"/>
      <c r="M71" s="833"/>
      <c r="N71" s="833"/>
      <c r="O71" s="833"/>
      <c r="P71" s="833"/>
      <c r="Q71" s="1747"/>
    </row>
    <row r="72" spans="1:17" s="431" customFormat="1" ht="14.25" customHeight="1" thickTop="1" thickBot="1" x14ac:dyDescent="0.25">
      <c r="A72" s="408"/>
      <c r="B72" s="408"/>
      <c r="C72" s="408"/>
      <c r="D72" s="408"/>
      <c r="E72" s="837"/>
      <c r="F72" s="1045"/>
      <c r="G72" s="833"/>
      <c r="H72" s="833"/>
      <c r="I72" s="833"/>
      <c r="J72" s="833"/>
      <c r="K72" s="833"/>
      <c r="L72" s="833"/>
      <c r="M72" s="833"/>
      <c r="N72" s="833"/>
      <c r="O72" s="833"/>
      <c r="P72" s="833"/>
      <c r="Q72" s="1747"/>
    </row>
    <row r="73" spans="1:17" s="431" customFormat="1" ht="14.25" customHeight="1" thickTop="1" thickBot="1" x14ac:dyDescent="0.25">
      <c r="A73" s="698" t="s">
        <v>677</v>
      </c>
      <c r="B73" s="696"/>
      <c r="C73" s="696"/>
      <c r="D73" s="696"/>
      <c r="E73" s="837"/>
      <c r="F73" s="1045"/>
      <c r="G73" s="833"/>
      <c r="H73" s="833"/>
      <c r="I73" s="833"/>
      <c r="J73" s="833"/>
      <c r="K73" s="833"/>
      <c r="L73" s="833"/>
      <c r="M73" s="833"/>
      <c r="N73" s="833"/>
      <c r="O73" s="833"/>
      <c r="P73" s="833"/>
      <c r="Q73" s="1747"/>
    </row>
    <row r="74" spans="1:17" s="431" customFormat="1" ht="14.25" customHeight="1" thickTop="1" x14ac:dyDescent="0.2">
      <c r="A74" s="1221" t="s">
        <v>683</v>
      </c>
      <c r="B74" s="1222" t="s">
        <v>7</v>
      </c>
      <c r="C74" s="1222" t="s">
        <v>46</v>
      </c>
      <c r="D74" s="1451" t="s">
        <v>8</v>
      </c>
      <c r="E74" s="837"/>
      <c r="F74" s="1045"/>
      <c r="G74" s="833"/>
      <c r="H74" s="833"/>
      <c r="I74" s="833"/>
      <c r="J74" s="833"/>
      <c r="K74" s="833"/>
      <c r="L74" s="833"/>
      <c r="M74" s="833"/>
      <c r="N74" s="833"/>
      <c r="O74" s="833"/>
      <c r="P74" s="833"/>
      <c r="Q74" s="1747"/>
    </row>
    <row r="75" spans="1:17" s="1415" customFormat="1" ht="14.25" customHeight="1" x14ac:dyDescent="0.2">
      <c r="A75" s="1412" t="s">
        <v>412</v>
      </c>
      <c r="B75" s="1201" t="s">
        <v>7</v>
      </c>
      <c r="C75" s="1201" t="s">
        <v>44</v>
      </c>
      <c r="D75" s="1465" t="s">
        <v>8</v>
      </c>
      <c r="E75" s="2166">
        <f>SUM(F75:O75)</f>
        <v>221401.7661746447</v>
      </c>
      <c r="F75" s="2167"/>
      <c r="G75" s="2168">
        <f>SUM(G234:G238)</f>
        <v>5628</v>
      </c>
      <c r="H75" s="2168">
        <f t="shared" ref="H75:O75" si="9">SUM(H234:H238)</f>
        <v>21143.799453743461</v>
      </c>
      <c r="I75" s="2168">
        <f t="shared" si="9"/>
        <v>30649.185834316191</v>
      </c>
      <c r="J75" s="2168">
        <f t="shared" si="9"/>
        <v>38335.082558677619</v>
      </c>
      <c r="K75" s="2168">
        <f t="shared" si="9"/>
        <v>45185.517417277901</v>
      </c>
      <c r="L75" s="2168">
        <f t="shared" si="9"/>
        <v>36657.39208991771</v>
      </c>
      <c r="M75" s="2168">
        <f t="shared" si="9"/>
        <v>22864.00570934498</v>
      </c>
      <c r="N75" s="2168">
        <f t="shared" si="9"/>
        <v>14216.108984983557</v>
      </c>
      <c r="O75" s="2168">
        <f t="shared" si="9"/>
        <v>6722.674126383271</v>
      </c>
      <c r="P75" s="2168"/>
      <c r="Q75" s="1467"/>
    </row>
    <row r="76" spans="1:17" s="409" customFormat="1" ht="14.25" customHeight="1" x14ac:dyDescent="0.2">
      <c r="A76" s="1253" t="s">
        <v>679</v>
      </c>
      <c r="B76" s="1254" t="s">
        <v>14</v>
      </c>
      <c r="C76" s="1254" t="s">
        <v>132</v>
      </c>
      <c r="D76" s="1455" t="s">
        <v>8</v>
      </c>
      <c r="E76" s="823"/>
      <c r="F76" s="861"/>
      <c r="G76" s="830"/>
      <c r="H76" s="830"/>
      <c r="I76" s="830"/>
      <c r="J76" s="830"/>
      <c r="K76" s="830"/>
      <c r="L76" s="830"/>
      <c r="M76" s="830"/>
      <c r="N76" s="830"/>
      <c r="O76" s="830"/>
      <c r="P76" s="830"/>
      <c r="Q76" s="951"/>
    </row>
    <row r="77" spans="1:17" s="409" customFormat="1" ht="14.25" customHeight="1" x14ac:dyDescent="0.2">
      <c r="A77" s="1253" t="s">
        <v>685</v>
      </c>
      <c r="B77" s="1254" t="s">
        <v>14</v>
      </c>
      <c r="C77" s="1254" t="s">
        <v>132</v>
      </c>
      <c r="D77" s="1455" t="s">
        <v>8</v>
      </c>
      <c r="E77" s="823"/>
      <c r="F77" s="861"/>
      <c r="G77" s="830"/>
      <c r="H77" s="830"/>
      <c r="I77" s="830"/>
      <c r="J77" s="830"/>
      <c r="K77" s="830"/>
      <c r="L77" s="830"/>
      <c r="M77" s="830"/>
      <c r="N77" s="830"/>
      <c r="O77" s="830"/>
      <c r="P77" s="830"/>
      <c r="Q77" s="951"/>
    </row>
    <row r="78" spans="1:17" s="1282" customFormat="1" ht="14.25" customHeight="1" thickBot="1" x14ac:dyDescent="0.25">
      <c r="A78" s="1364" t="s">
        <v>671</v>
      </c>
      <c r="B78" s="1417" t="s">
        <v>7</v>
      </c>
      <c r="C78" s="1418" t="s">
        <v>44</v>
      </c>
      <c r="D78" s="1417" t="s">
        <v>8</v>
      </c>
      <c r="E78" s="1722">
        <f>SUM(F78:P78)</f>
        <v>635116.31342126976</v>
      </c>
      <c r="F78" s="1725"/>
      <c r="G78" s="1724"/>
      <c r="H78" s="1724">
        <f>SUM(H282:H286)</f>
        <v>34492</v>
      </c>
      <c r="I78" s="1724">
        <f t="shared" ref="I78:P78" si="10">SUM(I282:I286)</f>
        <v>80390.731194131964</v>
      </c>
      <c r="J78" s="1724">
        <f t="shared" si="10"/>
        <v>120573.5640761782</v>
      </c>
      <c r="K78" s="1724">
        <f t="shared" si="10"/>
        <v>138510.86661018143</v>
      </c>
      <c r="L78" s="1724">
        <f t="shared" si="10"/>
        <v>138570.82835531744</v>
      </c>
      <c r="M78" s="1724">
        <f t="shared" si="10"/>
        <v>79441.097161185477</v>
      </c>
      <c r="N78" s="1724">
        <f t="shared" si="10"/>
        <v>42994.264279139243</v>
      </c>
      <c r="O78" s="1724">
        <f t="shared" si="10"/>
        <v>142.96174513601139</v>
      </c>
      <c r="P78" s="1724">
        <f t="shared" si="10"/>
        <v>0</v>
      </c>
      <c r="Q78" s="1475"/>
    </row>
    <row r="79" spans="1:17" s="431" customFormat="1" ht="14.25" customHeight="1" thickTop="1" thickBot="1" x14ac:dyDescent="0.25">
      <c r="A79" s="408"/>
      <c r="B79" s="408"/>
      <c r="C79" s="408"/>
      <c r="D79" s="408"/>
      <c r="E79" s="837"/>
      <c r="F79" s="1045"/>
      <c r="G79" s="833"/>
      <c r="H79" s="833"/>
      <c r="I79" s="833"/>
      <c r="J79" s="833"/>
      <c r="K79" s="833"/>
      <c r="L79" s="833"/>
      <c r="M79" s="833"/>
      <c r="N79" s="833"/>
      <c r="O79" s="833"/>
      <c r="P79" s="833"/>
      <c r="Q79" s="1747"/>
    </row>
    <row r="80" spans="1:17" s="431" customFormat="1" ht="14.25" customHeight="1" thickTop="1" thickBot="1" x14ac:dyDescent="0.25">
      <c r="A80" s="933" t="s">
        <v>744</v>
      </c>
      <c r="B80" s="934"/>
      <c r="C80" s="934"/>
      <c r="D80" s="941"/>
      <c r="E80" s="837"/>
      <c r="F80" s="1045"/>
      <c r="G80" s="833"/>
      <c r="H80" s="833"/>
      <c r="I80" s="833"/>
      <c r="J80" s="833"/>
      <c r="K80" s="833"/>
      <c r="L80" s="833"/>
      <c r="M80" s="833"/>
      <c r="N80" s="833"/>
      <c r="O80" s="833"/>
      <c r="P80" s="833"/>
      <c r="Q80" s="1747"/>
    </row>
    <row r="81" spans="1:17" s="1282" customFormat="1" ht="14.25" customHeight="1" x14ac:dyDescent="0.2">
      <c r="A81" s="1263" t="s">
        <v>383</v>
      </c>
      <c r="B81" s="1264" t="s">
        <v>7</v>
      </c>
      <c r="C81" s="1264" t="s">
        <v>44</v>
      </c>
      <c r="D81" s="1476" t="s">
        <v>8</v>
      </c>
      <c r="E81" s="1722">
        <f>SUM(F81:P81)</f>
        <v>554992.86843873491</v>
      </c>
      <c r="F81" s="1725"/>
      <c r="G81" s="1724"/>
      <c r="H81" s="1724">
        <f>SUM(H242:H246)</f>
        <v>31060</v>
      </c>
      <c r="I81" s="1724">
        <f t="shared" ref="I81:P81" si="11">SUM(I242:I246)</f>
        <v>112424.55770921748</v>
      </c>
      <c r="J81" s="1724">
        <f t="shared" si="11"/>
        <v>126171.71710968373</v>
      </c>
      <c r="K81" s="1724">
        <f t="shared" si="11"/>
        <v>126171.71710968373</v>
      </c>
      <c r="L81" s="1724">
        <f t="shared" si="11"/>
        <v>126171.71710968373</v>
      </c>
      <c r="M81" s="1724">
        <f t="shared" si="11"/>
        <v>32993.159400466247</v>
      </c>
      <c r="N81" s="1724">
        <f t="shared" si="11"/>
        <v>0</v>
      </c>
      <c r="O81" s="1724">
        <f t="shared" si="11"/>
        <v>0</v>
      </c>
      <c r="P81" s="1724">
        <f t="shared" si="11"/>
        <v>0</v>
      </c>
      <c r="Q81" s="1475"/>
    </row>
    <row r="82" spans="1:17" s="1282" customFormat="1" ht="14.25" customHeight="1" x14ac:dyDescent="0.2">
      <c r="A82" s="1263" t="s">
        <v>748</v>
      </c>
      <c r="B82" s="1264" t="s">
        <v>7</v>
      </c>
      <c r="C82" s="1264" t="s">
        <v>44</v>
      </c>
      <c r="D82" s="1478" t="s">
        <v>8</v>
      </c>
      <c r="E82" s="1722">
        <f>SUM(F82:P82)</f>
        <v>99857.128271408932</v>
      </c>
      <c r="F82" s="1725"/>
      <c r="G82" s="1724"/>
      <c r="H82" s="1724">
        <f>SUM(H258:H262)</f>
        <v>14132</v>
      </c>
      <c r="I82" s="1724">
        <f t="shared" ref="I82:P82" si="12">SUM(I258:I262)</f>
        <v>20043.497713716144</v>
      </c>
      <c r="J82" s="1724">
        <f t="shared" si="12"/>
        <v>20660.032067852233</v>
      </c>
      <c r="K82" s="1724">
        <f t="shared" si="12"/>
        <v>20660.032067852233</v>
      </c>
      <c r="L82" s="1724">
        <f t="shared" si="12"/>
        <v>20660.032067852233</v>
      </c>
      <c r="M82" s="1724">
        <f t="shared" si="12"/>
        <v>3701.5343541360899</v>
      </c>
      <c r="N82" s="1724">
        <f t="shared" si="12"/>
        <v>0</v>
      </c>
      <c r="O82" s="1724">
        <f t="shared" si="12"/>
        <v>0</v>
      </c>
      <c r="P82" s="1724">
        <f t="shared" si="12"/>
        <v>0</v>
      </c>
      <c r="Q82" s="1475"/>
    </row>
    <row r="83" spans="1:17" s="566" customFormat="1" ht="14.25" customHeight="1" thickBot="1" x14ac:dyDescent="0.25">
      <c r="A83" s="1253" t="s">
        <v>751</v>
      </c>
      <c r="B83" s="1254" t="s">
        <v>14</v>
      </c>
      <c r="C83" s="1254" t="s">
        <v>132</v>
      </c>
      <c r="D83" s="1392" t="s">
        <v>8</v>
      </c>
      <c r="E83" s="837"/>
      <c r="F83" s="1045"/>
      <c r="G83" s="833"/>
      <c r="H83" s="833"/>
      <c r="I83" s="833"/>
      <c r="J83" s="833"/>
      <c r="K83" s="833"/>
      <c r="L83" s="833"/>
      <c r="M83" s="833"/>
      <c r="N83" s="833"/>
      <c r="O83" s="833"/>
      <c r="P83" s="833"/>
      <c r="Q83" s="1747"/>
    </row>
    <row r="84" spans="1:17" s="431" customFormat="1" ht="14.25" customHeight="1" thickTop="1" thickBot="1" x14ac:dyDescent="0.25">
      <c r="A84" s="419"/>
      <c r="B84" s="419"/>
      <c r="C84" s="419"/>
      <c r="D84" s="26"/>
      <c r="E84" s="837"/>
      <c r="F84" s="1045"/>
      <c r="G84" s="833"/>
      <c r="H84" s="833"/>
      <c r="I84" s="833"/>
      <c r="J84" s="833"/>
      <c r="K84" s="833"/>
      <c r="L84" s="833"/>
      <c r="M84" s="833"/>
      <c r="N84" s="833"/>
      <c r="O84" s="833"/>
      <c r="P84" s="833"/>
      <c r="Q84" s="1747"/>
    </row>
    <row r="85" spans="1:17" s="431" customFormat="1" ht="14.25" customHeight="1" thickTop="1" thickBot="1" x14ac:dyDescent="0.25">
      <c r="A85" s="933" t="s">
        <v>754</v>
      </c>
      <c r="B85" s="934"/>
      <c r="C85" s="934"/>
      <c r="D85" s="756"/>
      <c r="E85" s="837"/>
      <c r="F85" s="1045"/>
      <c r="G85" s="833"/>
      <c r="H85" s="833"/>
      <c r="I85" s="833"/>
      <c r="J85" s="833"/>
      <c r="K85" s="833"/>
      <c r="L85" s="833"/>
      <c r="M85" s="833"/>
      <c r="N85" s="833"/>
      <c r="O85" s="833"/>
      <c r="P85" s="833"/>
      <c r="Q85" s="1747"/>
    </row>
    <row r="86" spans="1:17" s="1245" customFormat="1" ht="14.25" customHeight="1" thickBot="1" x14ac:dyDescent="0.25">
      <c r="A86" s="2076" t="s">
        <v>756</v>
      </c>
      <c r="B86" s="2077" t="s">
        <v>14</v>
      </c>
      <c r="C86" s="2077" t="s">
        <v>132</v>
      </c>
      <c r="D86" s="2079" t="s">
        <v>8</v>
      </c>
      <c r="E86" s="823"/>
      <c r="F86" s="861"/>
      <c r="G86" s="830"/>
      <c r="H86" s="830"/>
      <c r="I86" s="830"/>
      <c r="J86" s="830"/>
      <c r="K86" s="830"/>
      <c r="L86" s="830"/>
      <c r="M86" s="830"/>
      <c r="N86" s="830"/>
      <c r="O86" s="830"/>
      <c r="P86" s="830"/>
      <c r="Q86" s="951"/>
    </row>
    <row r="87" spans="1:17" s="431" customFormat="1" ht="14.25" customHeight="1" thickTop="1" thickBot="1" x14ac:dyDescent="0.25">
      <c r="A87" s="408"/>
      <c r="B87" s="408"/>
      <c r="C87" s="408"/>
      <c r="D87" s="408"/>
      <c r="E87" s="837"/>
      <c r="F87" s="1045"/>
      <c r="G87" s="1045"/>
      <c r="H87" s="833"/>
      <c r="I87" s="833"/>
      <c r="J87" s="833"/>
      <c r="K87" s="833"/>
      <c r="L87" s="833"/>
      <c r="M87" s="833"/>
      <c r="N87" s="833"/>
      <c r="O87" s="833"/>
      <c r="P87" s="833"/>
      <c r="Q87" s="1747"/>
    </row>
    <row r="88" spans="1:17" s="431" customFormat="1" ht="14.25" customHeight="1" thickTop="1" thickBot="1" x14ac:dyDescent="0.25">
      <c r="A88" s="933" t="s">
        <v>814</v>
      </c>
      <c r="B88" s="934"/>
      <c r="C88" s="934"/>
      <c r="D88" s="941"/>
      <c r="E88" s="837"/>
      <c r="F88" s="1045"/>
      <c r="G88" s="1045"/>
      <c r="H88" s="833"/>
      <c r="I88" s="833"/>
      <c r="J88" s="833"/>
      <c r="K88" s="833"/>
      <c r="L88" s="833"/>
      <c r="M88" s="833"/>
      <c r="N88" s="833"/>
      <c r="O88" s="833"/>
      <c r="P88" s="833"/>
      <c r="Q88" s="1747"/>
    </row>
    <row r="89" spans="1:17" s="1282" customFormat="1" ht="14.25" customHeight="1" x14ac:dyDescent="0.2">
      <c r="A89" s="1263" t="s">
        <v>808</v>
      </c>
      <c r="B89" s="1264" t="s">
        <v>7</v>
      </c>
      <c r="C89" s="1264" t="s">
        <v>44</v>
      </c>
      <c r="D89" s="1479" t="s">
        <v>8</v>
      </c>
      <c r="E89" s="1722">
        <f>SUM(F89:P89)</f>
        <v>452206.99276277464</v>
      </c>
      <c r="F89" s="1725"/>
      <c r="G89" s="1725"/>
      <c r="H89" s="1724">
        <f>SUM(H266:H270)</f>
        <v>1367</v>
      </c>
      <c r="I89" s="1724">
        <f t="shared" ref="I89:P89" si="13">SUM(I266:I270)</f>
        <v>18316.777141675298</v>
      </c>
      <c r="J89" s="1724">
        <f t="shared" si="13"/>
        <v>42338.100274994431</v>
      </c>
      <c r="K89" s="1724">
        <f t="shared" si="13"/>
        <v>78253.802434265031</v>
      </c>
      <c r="L89" s="1724">
        <f t="shared" si="13"/>
        <v>110744.49819069366</v>
      </c>
      <c r="M89" s="1724">
        <f t="shared" si="13"/>
        <v>94338.72104901835</v>
      </c>
      <c r="N89" s="1724">
        <f t="shared" si="13"/>
        <v>71403.397915699228</v>
      </c>
      <c r="O89" s="1724">
        <f t="shared" si="13"/>
        <v>35444.695756428628</v>
      </c>
      <c r="P89" s="1724">
        <f t="shared" si="13"/>
        <v>0</v>
      </c>
      <c r="Q89" s="1475"/>
    </row>
    <row r="90" spans="1:17" s="1282" customFormat="1" ht="14.25" customHeight="1" x14ac:dyDescent="0.2">
      <c r="A90" s="1263" t="s">
        <v>810</v>
      </c>
      <c r="B90" s="1264" t="s">
        <v>7</v>
      </c>
      <c r="C90" s="1264" t="s">
        <v>44</v>
      </c>
      <c r="D90" s="1479" t="s">
        <v>8</v>
      </c>
      <c r="E90" s="1722">
        <f>SUM(F90:P90)</f>
        <v>253666.23764281711</v>
      </c>
      <c r="F90" s="1725"/>
      <c r="G90" s="1725"/>
      <c r="H90" s="1724">
        <f>SUM(H274:H278)</f>
        <v>11628</v>
      </c>
      <c r="I90" s="1724">
        <f t="shared" ref="I90:P90" si="14">SUM(I274:I278)</f>
        <v>39645.554281108001</v>
      </c>
      <c r="J90" s="1724">
        <f t="shared" si="14"/>
        <v>51859.365232283635</v>
      </c>
      <c r="K90" s="1724">
        <f t="shared" si="14"/>
        <v>53513.809410704278</v>
      </c>
      <c r="L90" s="1724">
        <f t="shared" si="14"/>
        <v>53513.809410704278</v>
      </c>
      <c r="M90" s="1724">
        <f t="shared" si="14"/>
        <v>33579.255129596277</v>
      </c>
      <c r="N90" s="1724">
        <f t="shared" si="14"/>
        <v>9926.4441784206429</v>
      </c>
      <c r="O90" s="1724">
        <f t="shared" si="14"/>
        <v>0</v>
      </c>
      <c r="P90" s="1724">
        <f t="shared" si="14"/>
        <v>0</v>
      </c>
      <c r="Q90" s="1475"/>
    </row>
    <row r="91" spans="1:17" s="431" customFormat="1" ht="14.25" customHeight="1" thickBot="1" x14ac:dyDescent="0.25">
      <c r="A91" s="1427" t="s">
        <v>811</v>
      </c>
      <c r="B91" s="1391" t="s">
        <v>14</v>
      </c>
      <c r="C91" s="1391" t="s">
        <v>132</v>
      </c>
      <c r="D91" s="1392" t="s">
        <v>8</v>
      </c>
      <c r="E91" s="837"/>
      <c r="F91" s="1045"/>
      <c r="G91" s="1045"/>
      <c r="H91" s="833"/>
      <c r="I91" s="833"/>
      <c r="J91" s="833"/>
      <c r="K91" s="833"/>
      <c r="L91" s="833"/>
      <c r="M91" s="833"/>
      <c r="N91" s="833"/>
      <c r="O91" s="833"/>
      <c r="P91" s="833"/>
      <c r="Q91" s="1747"/>
    </row>
    <row r="92" spans="1:17" s="431" customFormat="1" ht="14.25" customHeight="1" thickTop="1" thickBot="1" x14ac:dyDescent="0.25">
      <c r="A92" s="408"/>
      <c r="B92" s="408"/>
      <c r="C92" s="408"/>
      <c r="D92" s="408"/>
      <c r="E92" s="837"/>
      <c r="F92" s="1045"/>
      <c r="G92" s="833"/>
      <c r="H92" s="833"/>
      <c r="I92" s="833"/>
      <c r="J92" s="833"/>
      <c r="K92" s="833"/>
      <c r="L92" s="833"/>
      <c r="M92" s="833"/>
      <c r="N92" s="833"/>
      <c r="O92" s="833"/>
      <c r="P92" s="833"/>
      <c r="Q92" s="1747"/>
    </row>
    <row r="93" spans="1:17" s="431" customFormat="1" ht="14.25" customHeight="1" thickTop="1" thickBot="1" x14ac:dyDescent="0.25">
      <c r="A93" s="933" t="s">
        <v>850</v>
      </c>
      <c r="B93" s="934"/>
      <c r="C93" s="934"/>
      <c r="D93" s="1480"/>
      <c r="E93" s="837"/>
      <c r="F93" s="1045"/>
      <c r="G93" s="833"/>
      <c r="H93" s="833"/>
      <c r="I93" s="833"/>
      <c r="J93" s="833"/>
      <c r="K93" s="833"/>
      <c r="L93" s="833"/>
      <c r="M93" s="833"/>
      <c r="N93" s="833"/>
      <c r="O93" s="833"/>
      <c r="P93" s="833"/>
      <c r="Q93" s="1747"/>
    </row>
    <row r="94" spans="1:17" s="1282" customFormat="1" ht="14.25" customHeight="1" thickBot="1" x14ac:dyDescent="0.25">
      <c r="A94" s="1285" t="s">
        <v>751</v>
      </c>
      <c r="B94" s="1286" t="s">
        <v>7</v>
      </c>
      <c r="C94" s="1286" t="s">
        <v>44</v>
      </c>
      <c r="D94" s="1481" t="s">
        <v>8</v>
      </c>
      <c r="E94" s="1722">
        <f>SUM(F94:P94)</f>
        <v>213780.28133567271</v>
      </c>
      <c r="F94" s="1725"/>
      <c r="G94" s="1724"/>
      <c r="H94" s="1724">
        <f>SUM(H290:H294)</f>
        <v>20890</v>
      </c>
      <c r="I94" s="1724">
        <f t="shared" ref="I94:P94" si="15">SUM(I290:I294)</f>
        <v>36421.992184645533</v>
      </c>
      <c r="J94" s="1724">
        <f t="shared" si="15"/>
        <v>39157.480786329019</v>
      </c>
      <c r="K94" s="1724">
        <f t="shared" si="15"/>
        <v>41646.344859899575</v>
      </c>
      <c r="L94" s="1724">
        <f t="shared" si="15"/>
        <v>45408.748274191377</v>
      </c>
      <c r="M94" s="1724">
        <f t="shared" si="15"/>
        <v>10270.82814927264</v>
      </c>
      <c r="N94" s="1724">
        <f t="shared" si="15"/>
        <v>9539.3395475891557</v>
      </c>
      <c r="O94" s="1724">
        <f t="shared" si="15"/>
        <v>6402.4754740185981</v>
      </c>
      <c r="P94" s="1724">
        <f t="shared" si="15"/>
        <v>4043.0720597267959</v>
      </c>
      <c r="Q94" s="1475"/>
    </row>
    <row r="95" spans="1:17" s="431" customFormat="1" ht="14.25" customHeight="1" thickTop="1" thickBot="1" x14ac:dyDescent="0.25">
      <c r="A95" s="611"/>
      <c r="B95" s="408"/>
      <c r="C95" s="408"/>
      <c r="D95" s="408"/>
      <c r="E95" s="837"/>
      <c r="F95" s="1045"/>
      <c r="G95" s="833"/>
      <c r="H95" s="833"/>
      <c r="I95" s="833"/>
      <c r="J95" s="833"/>
      <c r="K95" s="833"/>
      <c r="L95" s="833"/>
      <c r="M95" s="833"/>
      <c r="N95" s="833"/>
      <c r="O95" s="833"/>
      <c r="P95" s="833"/>
      <c r="Q95" s="1747"/>
    </row>
    <row r="96" spans="1:17" s="431" customFormat="1" ht="14.25" customHeight="1" thickTop="1" thickBot="1" x14ac:dyDescent="0.25">
      <c r="A96" s="407" t="s">
        <v>854</v>
      </c>
      <c r="B96" s="109"/>
      <c r="C96" s="109"/>
      <c r="D96" s="1482"/>
      <c r="E96" s="837"/>
      <c r="F96" s="1045"/>
      <c r="G96" s="833"/>
      <c r="H96" s="833"/>
      <c r="I96" s="833"/>
      <c r="J96" s="833"/>
      <c r="K96" s="833"/>
      <c r="L96" s="833"/>
      <c r="M96" s="833"/>
      <c r="N96" s="833"/>
      <c r="O96" s="833"/>
      <c r="P96" s="833"/>
      <c r="Q96" s="1747"/>
    </row>
    <row r="97" spans="1:17" s="1282" customFormat="1" ht="14.25" customHeight="1" thickTop="1" x14ac:dyDescent="0.2">
      <c r="A97" s="1292" t="s">
        <v>811</v>
      </c>
      <c r="B97" s="1293" t="s">
        <v>7</v>
      </c>
      <c r="C97" s="1293" t="s">
        <v>44</v>
      </c>
      <c r="D97" s="1479" t="s">
        <v>8</v>
      </c>
      <c r="E97" s="1722">
        <f>SUM(F97:P97)</f>
        <v>225312.56975546581</v>
      </c>
      <c r="F97" s="1725"/>
      <c r="G97" s="1724"/>
      <c r="H97" s="1724">
        <f>SUM(H306:H310)</f>
        <v>0</v>
      </c>
      <c r="I97" s="1724">
        <f t="shared" ref="I97:P97" si="16">SUM(I306:I310)</f>
        <v>1884</v>
      </c>
      <c r="J97" s="1724">
        <f t="shared" si="16"/>
        <v>6307.9882177845911</v>
      </c>
      <c r="K97" s="1724">
        <f t="shared" si="16"/>
        <v>31145.344721816989</v>
      </c>
      <c r="L97" s="1724">
        <f t="shared" si="16"/>
        <v>48390.635814223686</v>
      </c>
      <c r="M97" s="1724">
        <f t="shared" si="16"/>
        <v>49158.892438866445</v>
      </c>
      <c r="N97" s="1724">
        <f t="shared" si="16"/>
        <v>45929.904221081859</v>
      </c>
      <c r="O97" s="1724">
        <f t="shared" si="16"/>
        <v>40652.547717049456</v>
      </c>
      <c r="P97" s="1724">
        <f t="shared" si="16"/>
        <v>1843.2566246427559</v>
      </c>
      <c r="Q97" s="1475"/>
    </row>
    <row r="98" spans="1:17" s="1282" customFormat="1" ht="13.5" customHeight="1" thickBot="1" x14ac:dyDescent="0.25">
      <c r="A98" s="1278" t="s">
        <v>859</v>
      </c>
      <c r="B98" s="1279" t="s">
        <v>14</v>
      </c>
      <c r="C98" s="1279" t="s">
        <v>44</v>
      </c>
      <c r="D98" s="1483" t="s">
        <v>8</v>
      </c>
      <c r="E98" s="837"/>
      <c r="F98" s="1045"/>
      <c r="G98" s="833"/>
      <c r="H98" s="833"/>
      <c r="I98" s="833"/>
      <c r="J98" s="833"/>
      <c r="K98" s="833"/>
      <c r="L98" s="833"/>
      <c r="M98" s="833"/>
      <c r="N98" s="833"/>
      <c r="O98" s="833"/>
      <c r="P98" s="833"/>
      <c r="Q98" s="1747"/>
    </row>
    <row r="99" spans="1:17" s="431" customFormat="1" ht="14.25" customHeight="1" thickTop="1" thickBot="1" x14ac:dyDescent="0.25">
      <c r="A99" s="961"/>
      <c r="B99" s="961"/>
      <c r="C99" s="961"/>
      <c r="D99" s="408"/>
      <c r="E99" s="837"/>
      <c r="F99" s="832"/>
      <c r="G99" s="833"/>
      <c r="H99" s="833"/>
      <c r="I99" s="833"/>
      <c r="J99" s="833"/>
      <c r="K99" s="833"/>
      <c r="L99" s="833"/>
      <c r="M99" s="833"/>
      <c r="N99" s="833"/>
      <c r="O99" s="833"/>
      <c r="P99" s="833"/>
      <c r="Q99" s="1747"/>
    </row>
    <row r="100" spans="1:17" s="431" customFormat="1" ht="14.25" customHeight="1" thickTop="1" thickBot="1" x14ac:dyDescent="0.25">
      <c r="A100" s="407" t="s">
        <v>886</v>
      </c>
      <c r="B100" s="109"/>
      <c r="C100" s="109"/>
      <c r="D100" s="1482"/>
      <c r="E100" s="837"/>
      <c r="F100" s="832"/>
      <c r="G100" s="833"/>
      <c r="H100" s="833"/>
      <c r="I100" s="833"/>
      <c r="J100" s="833"/>
      <c r="K100" s="833"/>
      <c r="L100" s="833"/>
      <c r="M100" s="833"/>
      <c r="N100" s="833"/>
      <c r="O100" s="833"/>
      <c r="P100" s="833"/>
      <c r="Q100" s="1747"/>
    </row>
    <row r="101" spans="1:17" s="1282" customFormat="1" ht="14.25" customHeight="1" thickTop="1" x14ac:dyDescent="0.2">
      <c r="A101" s="1292" t="s">
        <v>563</v>
      </c>
      <c r="B101" s="1293" t="s">
        <v>7</v>
      </c>
      <c r="C101" s="1293" t="s">
        <v>44</v>
      </c>
      <c r="D101" s="1479" t="s">
        <v>8</v>
      </c>
      <c r="E101" s="1722">
        <f>SUM(F101:P101)</f>
        <v>1096507.4582565511</v>
      </c>
      <c r="F101" s="1723"/>
      <c r="G101" s="1724"/>
      <c r="H101" s="1724">
        <f>SUM(H250:H254)</f>
        <v>0</v>
      </c>
      <c r="I101" s="1724">
        <f t="shared" ref="I101:P101" si="17">SUM(I250:I254)</f>
        <v>43073</v>
      </c>
      <c r="J101" s="1724">
        <f t="shared" si="17"/>
        <v>138619.8125316925</v>
      </c>
      <c r="K101" s="1724">
        <f t="shared" si="17"/>
        <v>176781.88804622748</v>
      </c>
      <c r="L101" s="1724">
        <f t="shared" si="17"/>
        <v>230864.91218297038</v>
      </c>
      <c r="M101" s="1724">
        <f t="shared" si="17"/>
        <v>240230.8645641378</v>
      </c>
      <c r="N101" s="1724">
        <f t="shared" si="17"/>
        <v>111013.05203244532</v>
      </c>
      <c r="O101" s="1724">
        <f t="shared" si="17"/>
        <v>99730.976517910312</v>
      </c>
      <c r="P101" s="1724">
        <f t="shared" si="17"/>
        <v>56192.952381167408</v>
      </c>
      <c r="Q101" s="1475"/>
    </row>
    <row r="102" spans="1:17" s="1251" customFormat="1" ht="14.25" customHeight="1" x14ac:dyDescent="0.2">
      <c r="A102" s="1432" t="s">
        <v>910</v>
      </c>
      <c r="B102" s="1249" t="s">
        <v>14</v>
      </c>
      <c r="C102" s="1249" t="s">
        <v>132</v>
      </c>
      <c r="D102" s="1484" t="s">
        <v>8</v>
      </c>
      <c r="E102" s="837"/>
      <c r="F102" s="832"/>
      <c r="G102" s="833"/>
      <c r="H102" s="833"/>
      <c r="I102" s="833"/>
      <c r="J102" s="833"/>
      <c r="K102" s="833"/>
      <c r="L102" s="833"/>
      <c r="M102" s="833"/>
      <c r="N102" s="833"/>
      <c r="O102" s="833"/>
      <c r="P102" s="833"/>
      <c r="Q102" s="833"/>
    </row>
    <row r="103" spans="1:17" s="1245" customFormat="1" ht="14.25" customHeight="1" thickBot="1" x14ac:dyDescent="0.25">
      <c r="A103" s="1427" t="s">
        <v>911</v>
      </c>
      <c r="B103" s="1391" t="s">
        <v>14</v>
      </c>
      <c r="C103" s="1391" t="s">
        <v>132</v>
      </c>
      <c r="D103" s="1392" t="s">
        <v>8</v>
      </c>
      <c r="E103" s="823"/>
      <c r="F103" s="2004"/>
      <c r="G103" s="830"/>
      <c r="H103" s="830"/>
      <c r="I103" s="830"/>
      <c r="J103" s="830"/>
      <c r="K103" s="830"/>
      <c r="L103" s="830"/>
      <c r="M103" s="830"/>
      <c r="N103" s="830"/>
      <c r="O103" s="830"/>
      <c r="P103" s="830"/>
      <c r="Q103" s="951"/>
    </row>
    <row r="104" spans="1:17" s="431" customFormat="1" ht="14.25" customHeight="1" thickTop="1" thickBot="1" x14ac:dyDescent="0.25">
      <c r="A104" s="1032"/>
      <c r="B104" s="408"/>
      <c r="C104" s="408"/>
      <c r="D104" s="408"/>
      <c r="E104" s="837"/>
      <c r="F104" s="832"/>
      <c r="G104" s="833"/>
      <c r="H104" s="833"/>
      <c r="I104" s="833"/>
      <c r="J104" s="833"/>
      <c r="K104" s="833"/>
      <c r="L104" s="833"/>
      <c r="M104" s="833"/>
      <c r="N104" s="833"/>
      <c r="O104" s="833"/>
      <c r="P104" s="833"/>
      <c r="Q104" s="1747"/>
    </row>
    <row r="105" spans="1:17" s="431" customFormat="1" ht="14.25" customHeight="1" thickTop="1" thickBot="1" x14ac:dyDescent="0.25">
      <c r="A105" s="933" t="s">
        <v>895</v>
      </c>
      <c r="B105" s="934"/>
      <c r="C105" s="934"/>
      <c r="D105" s="941"/>
      <c r="E105" s="837"/>
      <c r="F105" s="832"/>
      <c r="G105" s="833"/>
      <c r="H105" s="833"/>
      <c r="I105" s="833"/>
      <c r="J105" s="833"/>
      <c r="K105" s="833"/>
      <c r="L105" s="833"/>
      <c r="M105" s="833"/>
      <c r="N105" s="833"/>
      <c r="O105" s="833"/>
      <c r="P105" s="833"/>
      <c r="Q105" s="1747"/>
    </row>
    <row r="106" spans="1:17" s="1245" customFormat="1" ht="14.25" customHeight="1" x14ac:dyDescent="0.2">
      <c r="A106" s="1260" t="s">
        <v>912</v>
      </c>
      <c r="B106" s="1254" t="s">
        <v>14</v>
      </c>
      <c r="C106" s="1254" t="s">
        <v>132</v>
      </c>
      <c r="D106" s="1455" t="s">
        <v>8</v>
      </c>
      <c r="E106" s="823"/>
      <c r="F106" s="2004"/>
      <c r="G106" s="830"/>
      <c r="H106" s="830"/>
      <c r="I106" s="830"/>
      <c r="J106" s="830"/>
      <c r="K106" s="830"/>
      <c r="L106" s="830"/>
      <c r="M106" s="830"/>
      <c r="N106" s="830"/>
      <c r="O106" s="830"/>
      <c r="P106" s="830"/>
      <c r="Q106" s="951"/>
    </row>
    <row r="107" spans="1:17" s="1245" customFormat="1" ht="14.25" customHeight="1" thickBot="1" x14ac:dyDescent="0.25">
      <c r="A107" s="1427" t="s">
        <v>129</v>
      </c>
      <c r="B107" s="1391" t="s">
        <v>14</v>
      </c>
      <c r="C107" s="1391" t="s">
        <v>132</v>
      </c>
      <c r="D107" s="1392" t="s">
        <v>8</v>
      </c>
      <c r="E107" s="823"/>
      <c r="F107" s="2004"/>
      <c r="G107" s="830"/>
      <c r="H107" s="830"/>
      <c r="I107" s="830"/>
      <c r="J107" s="830"/>
      <c r="K107" s="830"/>
      <c r="L107" s="830"/>
      <c r="M107" s="830"/>
      <c r="N107" s="830"/>
      <c r="O107" s="830"/>
      <c r="P107" s="830"/>
      <c r="Q107" s="951"/>
    </row>
    <row r="108" spans="1:17" s="431" customFormat="1" ht="14.25" customHeight="1" thickTop="1" thickBot="1" x14ac:dyDescent="0.25">
      <c r="A108" s="408"/>
      <c r="B108" s="408"/>
      <c r="C108" s="408"/>
      <c r="D108" s="408"/>
      <c r="E108" s="837"/>
      <c r="F108" s="836"/>
      <c r="G108" s="833"/>
      <c r="H108" s="833"/>
      <c r="I108" s="833"/>
      <c r="J108" s="833"/>
      <c r="K108" s="833"/>
      <c r="L108" s="833"/>
      <c r="M108" s="833"/>
      <c r="N108" s="833"/>
      <c r="O108" s="833"/>
      <c r="P108" s="833"/>
      <c r="Q108" s="2173"/>
    </row>
    <row r="109" spans="1:17" s="431" customFormat="1" ht="14.25" customHeight="1" thickTop="1" thickBot="1" x14ac:dyDescent="0.25">
      <c r="A109" s="933" t="s">
        <v>955</v>
      </c>
      <c r="B109" s="934"/>
      <c r="C109" s="934"/>
      <c r="D109" s="1480"/>
      <c r="E109" s="837"/>
      <c r="F109" s="836"/>
      <c r="G109" s="833"/>
      <c r="H109" s="833"/>
      <c r="I109" s="833"/>
      <c r="J109" s="833"/>
      <c r="K109" s="833"/>
      <c r="L109" s="833"/>
      <c r="M109" s="833"/>
      <c r="N109" s="833"/>
      <c r="O109" s="833"/>
      <c r="P109" s="833"/>
      <c r="Q109" s="2173"/>
    </row>
    <row r="110" spans="1:17" s="1251" customFormat="1" ht="14.25" customHeight="1" thickBot="1" x14ac:dyDescent="0.25">
      <c r="A110" s="1862" t="s">
        <v>957</v>
      </c>
      <c r="B110" s="1863" t="s">
        <v>14</v>
      </c>
      <c r="C110" s="1863" t="s">
        <v>132</v>
      </c>
      <c r="D110" s="1876" t="s">
        <v>8</v>
      </c>
      <c r="E110" s="837"/>
      <c r="F110" s="836"/>
      <c r="G110" s="833"/>
      <c r="H110" s="833"/>
      <c r="I110" s="833"/>
      <c r="J110" s="833"/>
      <c r="K110" s="833"/>
      <c r="L110" s="833"/>
      <c r="M110" s="833"/>
      <c r="N110" s="833"/>
      <c r="O110" s="833"/>
      <c r="P110" s="833"/>
      <c r="Q110" s="2173"/>
    </row>
    <row r="111" spans="1:17" s="431" customFormat="1" ht="14.25" customHeight="1" thickTop="1" thickBot="1" x14ac:dyDescent="0.25">
      <c r="A111" s="408"/>
      <c r="B111" s="408"/>
      <c r="C111" s="408"/>
      <c r="D111" s="408"/>
      <c r="E111" s="837"/>
      <c r="F111" s="836"/>
      <c r="G111" s="833"/>
      <c r="H111" s="833"/>
      <c r="I111" s="833"/>
      <c r="J111" s="833"/>
      <c r="K111" s="833"/>
      <c r="L111" s="833"/>
      <c r="M111" s="833"/>
      <c r="N111" s="833"/>
      <c r="O111" s="833"/>
      <c r="P111" s="833"/>
      <c r="Q111" s="2173"/>
    </row>
    <row r="112" spans="1:17" s="431" customFormat="1" ht="14.25" customHeight="1" thickTop="1" thickBot="1" x14ac:dyDescent="0.25">
      <c r="A112" s="1910" t="s">
        <v>973</v>
      </c>
      <c r="B112" s="1911"/>
      <c r="C112" s="1911"/>
      <c r="D112" s="1480"/>
      <c r="E112" s="837"/>
      <c r="F112" s="836"/>
      <c r="G112" s="833"/>
      <c r="H112" s="833"/>
      <c r="I112" s="833"/>
      <c r="J112" s="833"/>
      <c r="K112" s="833"/>
      <c r="L112" s="833"/>
      <c r="M112" s="833"/>
      <c r="N112" s="833"/>
      <c r="O112" s="833"/>
      <c r="P112" s="833"/>
      <c r="Q112" s="2173"/>
    </row>
    <row r="113" spans="1:17" s="1271" customFormat="1" ht="13.5" customHeight="1" thickBot="1" x14ac:dyDescent="0.25">
      <c r="A113" s="1285" t="s">
        <v>859</v>
      </c>
      <c r="B113" s="1286" t="s">
        <v>14</v>
      </c>
      <c r="C113" s="1286" t="s">
        <v>44</v>
      </c>
      <c r="D113" s="1428" t="s">
        <v>8</v>
      </c>
      <c r="E113" s="1667">
        <f>SUM(F113:P113)</f>
        <v>219331</v>
      </c>
      <c r="F113" s="2169"/>
      <c r="G113" s="1658"/>
      <c r="H113" s="1658">
        <f>SUM(H314:H318)</f>
        <v>1393</v>
      </c>
      <c r="I113" s="1658">
        <f t="shared" ref="I113:P113" si="18">SUM(I314:I318)</f>
        <v>32317</v>
      </c>
      <c r="J113" s="1658">
        <f t="shared" si="18"/>
        <v>38386</v>
      </c>
      <c r="K113" s="1658">
        <f t="shared" si="18"/>
        <v>45255</v>
      </c>
      <c r="L113" s="1658">
        <f t="shared" si="18"/>
        <v>48656</v>
      </c>
      <c r="M113" s="1658">
        <f t="shared" si="18"/>
        <v>31942</v>
      </c>
      <c r="N113" s="1658">
        <f t="shared" si="18"/>
        <v>13219</v>
      </c>
      <c r="O113" s="1658">
        <f t="shared" si="18"/>
        <v>8163</v>
      </c>
      <c r="P113" s="1658">
        <f t="shared" si="18"/>
        <v>0</v>
      </c>
      <c r="Q113" s="2174"/>
    </row>
    <row r="114" spans="1:17" s="431" customFormat="1" ht="14.25" customHeight="1" thickTop="1" thickBot="1" x14ac:dyDescent="0.25">
      <c r="A114" s="408"/>
      <c r="B114" s="408"/>
      <c r="C114" s="408"/>
      <c r="D114" s="408"/>
      <c r="E114" s="837"/>
      <c r="F114" s="836"/>
      <c r="G114" s="833"/>
      <c r="H114" s="833"/>
      <c r="I114" s="833"/>
      <c r="J114" s="833"/>
      <c r="K114" s="833"/>
      <c r="L114" s="833"/>
      <c r="M114" s="833"/>
      <c r="N114" s="833"/>
      <c r="O114" s="833"/>
      <c r="P114" s="833"/>
      <c r="Q114" s="2173"/>
    </row>
    <row r="115" spans="1:17" s="431" customFormat="1" ht="14.25" customHeight="1" thickTop="1" thickBot="1" x14ac:dyDescent="0.25">
      <c r="A115" s="933" t="s">
        <v>987</v>
      </c>
      <c r="B115" s="934"/>
      <c r="C115" s="934"/>
      <c r="D115" s="1480"/>
      <c r="E115" s="837"/>
      <c r="F115" s="836"/>
      <c r="G115" s="833"/>
      <c r="H115" s="833"/>
      <c r="I115" s="833"/>
      <c r="J115" s="833"/>
      <c r="K115" s="833"/>
      <c r="L115" s="833"/>
      <c r="M115" s="833"/>
      <c r="N115" s="833"/>
      <c r="O115" s="833"/>
      <c r="P115" s="833"/>
      <c r="Q115" s="2173"/>
    </row>
    <row r="116" spans="1:17" s="1932" customFormat="1" ht="14.25" customHeight="1" thickBot="1" x14ac:dyDescent="0.25">
      <c r="A116" s="1952" t="s">
        <v>988</v>
      </c>
      <c r="B116" s="1953" t="s">
        <v>7</v>
      </c>
      <c r="C116" s="1953" t="s">
        <v>44</v>
      </c>
      <c r="D116" s="1966" t="s">
        <v>8</v>
      </c>
      <c r="E116" s="1971">
        <f>SUM(F116:Q116)</f>
        <v>415685.70000000007</v>
      </c>
      <c r="F116" s="2170"/>
      <c r="G116" s="1931"/>
      <c r="H116" s="1931"/>
      <c r="I116" s="1931">
        <f>SUM(I362:I366)</f>
        <v>15254.4</v>
      </c>
      <c r="J116" s="1931">
        <f t="shared" ref="J116:Q116" si="19">SUM(J362:J366)</f>
        <v>38617.4</v>
      </c>
      <c r="K116" s="1931">
        <f t="shared" si="19"/>
        <v>58235</v>
      </c>
      <c r="L116" s="1931">
        <f t="shared" si="19"/>
        <v>76529.399999999994</v>
      </c>
      <c r="M116" s="1931">
        <f t="shared" si="19"/>
        <v>87959.7</v>
      </c>
      <c r="N116" s="1931">
        <f t="shared" si="19"/>
        <v>64544.5</v>
      </c>
      <c r="O116" s="1931">
        <f t="shared" si="19"/>
        <v>43172.5</v>
      </c>
      <c r="P116" s="1931">
        <f t="shared" si="19"/>
        <v>24807.4</v>
      </c>
      <c r="Q116" s="2175">
        <f t="shared" si="19"/>
        <v>6565.4</v>
      </c>
    </row>
    <row r="117" spans="1:17" s="431" customFormat="1" ht="14.25" customHeight="1" thickTop="1" thickBot="1" x14ac:dyDescent="0.25">
      <c r="A117" s="1032"/>
      <c r="B117" s="408"/>
      <c r="C117" s="408"/>
      <c r="D117" s="408"/>
      <c r="E117" s="837"/>
      <c r="F117" s="2171"/>
      <c r="G117" s="833"/>
      <c r="H117" s="833"/>
      <c r="I117" s="833"/>
      <c r="J117" s="833"/>
      <c r="K117" s="833"/>
      <c r="L117" s="833"/>
      <c r="M117" s="833"/>
      <c r="N117" s="833"/>
      <c r="O117" s="833"/>
      <c r="P117" s="833"/>
      <c r="Q117" s="2173"/>
    </row>
    <row r="118" spans="1:17" s="431" customFormat="1" ht="14.25" customHeight="1" thickTop="1" thickBot="1" x14ac:dyDescent="0.25">
      <c r="A118" s="933" t="s">
        <v>1004</v>
      </c>
      <c r="B118" s="934"/>
      <c r="C118" s="934"/>
      <c r="D118" s="941"/>
      <c r="E118" s="837"/>
      <c r="F118" s="2171"/>
      <c r="G118" s="833"/>
      <c r="H118" s="833"/>
      <c r="I118" s="833"/>
      <c r="J118" s="833"/>
      <c r="K118" s="833"/>
      <c r="L118" s="833"/>
      <c r="M118" s="833"/>
      <c r="N118" s="833"/>
      <c r="O118" s="833"/>
      <c r="P118" s="833"/>
      <c r="Q118" s="2173"/>
    </row>
    <row r="119" spans="1:17" s="1271" customFormat="1" ht="14.25" customHeight="1" x14ac:dyDescent="0.2">
      <c r="A119" s="1996" t="s">
        <v>911</v>
      </c>
      <c r="B119" s="1997" t="s">
        <v>7</v>
      </c>
      <c r="C119" s="1997" t="s">
        <v>44</v>
      </c>
      <c r="D119" s="1998" t="s">
        <v>8</v>
      </c>
      <c r="E119" s="1667">
        <f>SUM(F119:P119)</f>
        <v>119173</v>
      </c>
      <c r="F119" s="2172"/>
      <c r="G119" s="1658"/>
      <c r="H119" s="1658">
        <f>SUM(H322:H326)</f>
        <v>324</v>
      </c>
      <c r="I119" s="1658">
        <f t="shared" ref="I119:Q119" si="20">SUM(I322:I326)</f>
        <v>15248</v>
      </c>
      <c r="J119" s="1658">
        <f t="shared" si="20"/>
        <v>23969</v>
      </c>
      <c r="K119" s="1658">
        <f t="shared" si="20"/>
        <v>25259</v>
      </c>
      <c r="L119" s="1658">
        <f t="shared" si="20"/>
        <v>25259</v>
      </c>
      <c r="M119" s="1658">
        <f t="shared" si="20"/>
        <v>21375</v>
      </c>
      <c r="N119" s="1658">
        <f t="shared" si="20"/>
        <v>7739</v>
      </c>
      <c r="O119" s="1658">
        <f t="shared" si="20"/>
        <v>0</v>
      </c>
      <c r="P119" s="1658">
        <f t="shared" si="20"/>
        <v>0</v>
      </c>
      <c r="Q119" s="2174">
        <f t="shared" si="20"/>
        <v>0</v>
      </c>
    </row>
    <row r="120" spans="1:17" s="1271" customFormat="1" ht="14.25" customHeight="1" x14ac:dyDescent="0.2">
      <c r="A120" s="1263" t="s">
        <v>756</v>
      </c>
      <c r="B120" s="1264" t="s">
        <v>7</v>
      </c>
      <c r="C120" s="1264" t="s">
        <v>44</v>
      </c>
      <c r="D120" s="1426" t="s">
        <v>8</v>
      </c>
      <c r="E120" s="1667">
        <f>SUM(F120:P120)</f>
        <v>137021.9</v>
      </c>
      <c r="F120" s="2169"/>
      <c r="G120" s="1658"/>
      <c r="H120" s="1658">
        <f>SUM(H298:H302)</f>
        <v>0</v>
      </c>
      <c r="I120" s="1658">
        <f t="shared" ref="I120:P120" si="21">SUM(I298:I302)</f>
        <v>18462</v>
      </c>
      <c r="J120" s="1658">
        <f t="shared" si="21"/>
        <v>24503.3</v>
      </c>
      <c r="K120" s="1658">
        <f t="shared" si="21"/>
        <v>27642.399999999998</v>
      </c>
      <c r="L120" s="1658">
        <f t="shared" si="21"/>
        <v>28687.4</v>
      </c>
      <c r="M120" s="1658">
        <f t="shared" si="21"/>
        <v>28687.4</v>
      </c>
      <c r="N120" s="1658">
        <f t="shared" si="21"/>
        <v>6533.4</v>
      </c>
      <c r="O120" s="1658">
        <f t="shared" si="21"/>
        <v>2506</v>
      </c>
      <c r="P120" s="1658">
        <f t="shared" si="21"/>
        <v>0</v>
      </c>
      <c r="Q120" s="2174"/>
    </row>
    <row r="121" spans="1:17" s="1271" customFormat="1" ht="14.25" customHeight="1" x14ac:dyDescent="0.2">
      <c r="A121" s="1263" t="s">
        <v>912</v>
      </c>
      <c r="B121" s="1264" t="s">
        <v>7</v>
      </c>
      <c r="C121" s="1264" t="s">
        <v>44</v>
      </c>
      <c r="D121" s="1426" t="s">
        <v>8</v>
      </c>
      <c r="E121" s="1667">
        <f>SUM(F121:P121)</f>
        <v>724592.4</v>
      </c>
      <c r="F121" s="2172"/>
      <c r="G121" s="1658"/>
      <c r="H121" s="1658">
        <f t="shared" ref="H121:Q121" si="22">SUM(H330:H334)</f>
        <v>2695.4</v>
      </c>
      <c r="I121" s="1658">
        <f t="shared" si="22"/>
        <v>51201.4</v>
      </c>
      <c r="J121" s="1658">
        <f t="shared" si="22"/>
        <v>83528.800000000003</v>
      </c>
      <c r="K121" s="1658">
        <f t="shared" si="22"/>
        <v>115848.20000000001</v>
      </c>
      <c r="L121" s="1658">
        <f t="shared" si="22"/>
        <v>148158.6</v>
      </c>
      <c r="M121" s="1658">
        <f t="shared" si="22"/>
        <v>129280</v>
      </c>
      <c r="N121" s="1658">
        <f t="shared" si="22"/>
        <v>96948</v>
      </c>
      <c r="O121" s="1658">
        <f t="shared" si="22"/>
        <v>64624</v>
      </c>
      <c r="P121" s="1658">
        <f t="shared" si="22"/>
        <v>32308</v>
      </c>
      <c r="Q121" s="2174">
        <f t="shared" si="22"/>
        <v>0</v>
      </c>
    </row>
    <row r="122" spans="1:17" s="1271" customFormat="1" ht="14.25" customHeight="1" x14ac:dyDescent="0.2">
      <c r="A122" s="1263" t="s">
        <v>129</v>
      </c>
      <c r="B122" s="1264" t="s">
        <v>7</v>
      </c>
      <c r="C122" s="1264" t="s">
        <v>44</v>
      </c>
      <c r="D122" s="1426" t="s">
        <v>8</v>
      </c>
      <c r="E122" s="1667">
        <f>SUM(F122:P122)</f>
        <v>271703</v>
      </c>
      <c r="F122" s="2172"/>
      <c r="G122" s="1658"/>
      <c r="H122" s="1658">
        <f t="shared" ref="H122:Q122" si="23">SUM(H338:H342)</f>
        <v>429</v>
      </c>
      <c r="I122" s="1658">
        <f t="shared" si="23"/>
        <v>37907</v>
      </c>
      <c r="J122" s="1658">
        <f t="shared" si="23"/>
        <v>49126</v>
      </c>
      <c r="K122" s="1658">
        <f t="shared" si="23"/>
        <v>58461</v>
      </c>
      <c r="L122" s="1658">
        <f t="shared" si="23"/>
        <v>58461</v>
      </c>
      <c r="M122" s="1658">
        <f t="shared" si="23"/>
        <v>53317</v>
      </c>
      <c r="N122" s="1658">
        <f t="shared" si="23"/>
        <v>14002</v>
      </c>
      <c r="O122" s="1658">
        <f t="shared" si="23"/>
        <v>0</v>
      </c>
      <c r="P122" s="1658">
        <f t="shared" si="23"/>
        <v>0</v>
      </c>
      <c r="Q122" s="2174">
        <f t="shared" si="23"/>
        <v>0</v>
      </c>
    </row>
    <row r="123" spans="1:17" s="1932" customFormat="1" ht="14.25" customHeight="1" x14ac:dyDescent="0.2">
      <c r="A123" s="1969" t="s">
        <v>910</v>
      </c>
      <c r="B123" s="1926" t="s">
        <v>7</v>
      </c>
      <c r="C123" s="1926" t="s">
        <v>44</v>
      </c>
      <c r="D123" s="1974" t="s">
        <v>8</v>
      </c>
      <c r="E123" s="1971">
        <f>SUM(F123:Q123)</f>
        <v>2729152</v>
      </c>
      <c r="F123" s="2106"/>
      <c r="G123" s="1931"/>
      <c r="H123" s="1931"/>
      <c r="I123" s="1931">
        <f>SUM(I346:I350)</f>
        <v>69531.600000000006</v>
      </c>
      <c r="J123" s="1931">
        <f t="shared" ref="J123:Q123" si="24">SUM(J346:J350)</f>
        <v>164075.79999999999</v>
      </c>
      <c r="K123" s="1931">
        <f t="shared" si="24"/>
        <v>296239.8</v>
      </c>
      <c r="L123" s="1931">
        <f t="shared" si="24"/>
        <v>438886.9</v>
      </c>
      <c r="M123" s="1931">
        <f t="shared" si="24"/>
        <v>555761</v>
      </c>
      <c r="N123" s="1931">
        <f t="shared" si="24"/>
        <v>490536.4</v>
      </c>
      <c r="O123" s="1931">
        <f t="shared" si="24"/>
        <v>355901.5</v>
      </c>
      <c r="P123" s="1931">
        <f t="shared" si="24"/>
        <v>228681</v>
      </c>
      <c r="Q123" s="2175">
        <f t="shared" si="24"/>
        <v>129538</v>
      </c>
    </row>
    <row r="124" spans="1:17" s="1932" customFormat="1" ht="14.25" customHeight="1" x14ac:dyDescent="0.2">
      <c r="A124" s="1934" t="s">
        <v>957</v>
      </c>
      <c r="B124" s="1926" t="s">
        <v>7</v>
      </c>
      <c r="C124" s="1926" t="s">
        <v>44</v>
      </c>
      <c r="D124" s="1974" t="s">
        <v>8</v>
      </c>
      <c r="E124" s="1971">
        <f>SUM(F124:Q124)</f>
        <v>443501.3</v>
      </c>
      <c r="F124" s="2170"/>
      <c r="G124" s="1931"/>
      <c r="H124" s="1931"/>
      <c r="I124" s="1931">
        <f>SUM(I354:I358)</f>
        <v>4100</v>
      </c>
      <c r="J124" s="1931">
        <f t="shared" ref="J124:Q124" si="25">SUM(J354:J358)</f>
        <v>27127.599999999999</v>
      </c>
      <c r="K124" s="1931">
        <f t="shared" si="25"/>
        <v>60886</v>
      </c>
      <c r="L124" s="1931">
        <f t="shared" si="25"/>
        <v>67756</v>
      </c>
      <c r="M124" s="1931">
        <f t="shared" si="25"/>
        <v>83827.799999999988</v>
      </c>
      <c r="N124" s="1931">
        <f t="shared" si="25"/>
        <v>88650.2</v>
      </c>
      <c r="O124" s="1931">
        <f t="shared" si="25"/>
        <v>64531.3</v>
      </c>
      <c r="P124" s="1931">
        <f t="shared" si="25"/>
        <v>28845.4</v>
      </c>
      <c r="Q124" s="2175">
        <f t="shared" si="25"/>
        <v>17777</v>
      </c>
    </row>
    <row r="125" spans="1:17" s="1251" customFormat="1" ht="14.25" customHeight="1" thickBot="1" x14ac:dyDescent="0.25">
      <c r="A125" s="2149" t="s">
        <v>1034</v>
      </c>
      <c r="B125" s="2114" t="s">
        <v>14</v>
      </c>
      <c r="C125" s="2114" t="s">
        <v>44</v>
      </c>
      <c r="D125" s="2115" t="s">
        <v>8</v>
      </c>
      <c r="E125" s="2163">
        <f>SUM(F125:Q125)</f>
        <v>855438.46213968343</v>
      </c>
      <c r="F125" s="2164"/>
      <c r="G125" s="2176"/>
      <c r="H125" s="2176"/>
      <c r="I125" s="2176">
        <f>SUM(I370:I374)</f>
        <v>39310</v>
      </c>
      <c r="J125" s="2176">
        <f t="shared" ref="J125:Q125" si="26">SUM(J370:J374)</f>
        <v>100835.97149637251</v>
      </c>
      <c r="K125" s="2176">
        <f t="shared" si="26"/>
        <v>160843.64691651697</v>
      </c>
      <c r="L125" s="2176">
        <f t="shared" si="26"/>
        <v>186641.11553492089</v>
      </c>
      <c r="M125" s="2176">
        <f t="shared" si="26"/>
        <v>186641.11553492089</v>
      </c>
      <c r="N125" s="2176">
        <f t="shared" si="26"/>
        <v>119252.14403854837</v>
      </c>
      <c r="O125" s="2176">
        <f t="shared" si="26"/>
        <v>61914.468618403909</v>
      </c>
      <c r="P125" s="2176">
        <f t="shared" si="26"/>
        <v>0</v>
      </c>
      <c r="Q125" s="2176">
        <f t="shared" si="26"/>
        <v>0</v>
      </c>
    </row>
    <row r="126" spans="1:17" s="431" customFormat="1" ht="14.25" customHeight="1" thickTop="1" x14ac:dyDescent="0.2">
      <c r="A126" s="408"/>
      <c r="B126" s="408"/>
      <c r="C126" s="408"/>
      <c r="D126" s="408"/>
      <c r="E126" s="837"/>
      <c r="F126" s="836"/>
      <c r="G126" s="836"/>
      <c r="H126" s="836"/>
      <c r="I126" s="836"/>
      <c r="J126" s="836"/>
      <c r="K126" s="836"/>
      <c r="L126" s="836"/>
      <c r="M126" s="836"/>
      <c r="N126" s="836"/>
      <c r="O126" s="836"/>
      <c r="P126" s="836"/>
      <c r="Q126" s="1747"/>
    </row>
    <row r="127" spans="1:17" s="431" customFormat="1" ht="14.25" customHeight="1" x14ac:dyDescent="0.2">
      <c r="A127" s="408"/>
      <c r="B127" s="408"/>
      <c r="C127" s="408"/>
      <c r="D127" s="408"/>
      <c r="E127" s="837"/>
      <c r="F127" s="836"/>
      <c r="G127" s="836"/>
      <c r="H127" s="836"/>
      <c r="I127" s="836"/>
      <c r="J127" s="836"/>
      <c r="K127" s="836"/>
      <c r="L127" s="836"/>
      <c r="M127" s="836"/>
      <c r="N127" s="836"/>
      <c r="O127" s="836"/>
      <c r="P127" s="836"/>
      <c r="Q127" s="1747"/>
    </row>
    <row r="128" spans="1:17" s="431" customFormat="1" ht="14.25" customHeight="1" x14ac:dyDescent="0.2">
      <c r="A128" s="408"/>
      <c r="B128" s="408"/>
      <c r="C128" s="408"/>
      <c r="D128" s="408"/>
      <c r="E128" s="837"/>
      <c r="F128" s="836"/>
      <c r="G128" s="836"/>
      <c r="H128" s="836"/>
      <c r="I128" s="836"/>
      <c r="J128" s="836"/>
      <c r="K128" s="836"/>
      <c r="L128" s="836"/>
      <c r="M128" s="836"/>
      <c r="N128" s="836"/>
      <c r="O128" s="836"/>
      <c r="P128" s="836"/>
      <c r="Q128" s="1747"/>
    </row>
    <row r="129" spans="1:17" s="431" customFormat="1" ht="14.25" customHeight="1" x14ac:dyDescent="0.2">
      <c r="A129" s="408"/>
      <c r="B129" s="408"/>
      <c r="C129" s="408"/>
      <c r="D129" s="408"/>
      <c r="E129" s="837"/>
      <c r="F129" s="836"/>
      <c r="G129" s="836"/>
      <c r="H129" s="836"/>
      <c r="I129" s="836"/>
      <c r="J129" s="836"/>
      <c r="K129" s="836"/>
      <c r="L129" s="836"/>
      <c r="M129" s="836"/>
      <c r="N129" s="836"/>
      <c r="O129" s="836"/>
      <c r="P129" s="836"/>
      <c r="Q129" s="1747"/>
    </row>
    <row r="130" spans="1:17" s="431" customFormat="1" ht="14.25" customHeight="1" x14ac:dyDescent="0.2">
      <c r="A130" s="408"/>
      <c r="B130" s="408"/>
      <c r="C130" s="408"/>
      <c r="D130" s="408"/>
      <c r="E130" s="837"/>
      <c r="F130" s="836"/>
      <c r="G130" s="836"/>
      <c r="H130" s="836"/>
      <c r="I130" s="836"/>
      <c r="J130" s="836"/>
      <c r="K130" s="836"/>
      <c r="L130" s="836"/>
      <c r="M130" s="836"/>
      <c r="N130" s="836"/>
      <c r="O130" s="836"/>
      <c r="P130" s="836"/>
      <c r="Q130" s="1747"/>
    </row>
    <row r="131" spans="1:17" s="431" customFormat="1" ht="14.25" customHeight="1" x14ac:dyDescent="0.2">
      <c r="A131" s="408"/>
      <c r="B131" s="408"/>
      <c r="C131" s="408"/>
      <c r="D131" s="408"/>
      <c r="E131" s="837"/>
      <c r="F131" s="836"/>
      <c r="G131" s="836"/>
      <c r="H131" s="836"/>
      <c r="I131" s="836"/>
      <c r="J131" s="836"/>
      <c r="K131" s="836"/>
      <c r="L131" s="836"/>
      <c r="M131" s="836"/>
      <c r="N131" s="836"/>
      <c r="O131" s="836"/>
      <c r="P131" s="836"/>
      <c r="Q131" s="1747"/>
    </row>
    <row r="132" spans="1:17" s="431" customFormat="1" ht="14.25" customHeight="1" x14ac:dyDescent="0.2">
      <c r="A132" s="408"/>
      <c r="B132" s="408"/>
      <c r="C132" s="408"/>
      <c r="D132" s="408"/>
      <c r="E132" s="837"/>
      <c r="F132" s="836"/>
      <c r="G132" s="836"/>
      <c r="H132" s="836"/>
      <c r="I132" s="836"/>
      <c r="J132" s="836"/>
      <c r="K132" s="836"/>
      <c r="L132" s="836"/>
      <c r="M132" s="836"/>
      <c r="N132" s="836"/>
      <c r="O132" s="836"/>
      <c r="P132" s="836"/>
      <c r="Q132" s="1747"/>
    </row>
    <row r="133" spans="1:17" s="431" customFormat="1" ht="14.25" customHeight="1" x14ac:dyDescent="0.2">
      <c r="A133" s="408"/>
      <c r="B133" s="408"/>
      <c r="C133" s="408"/>
      <c r="D133" s="408"/>
      <c r="E133" s="837"/>
      <c r="F133" s="836"/>
      <c r="G133" s="836"/>
      <c r="H133" s="836"/>
      <c r="I133" s="836"/>
      <c r="J133" s="836"/>
      <c r="K133" s="836"/>
      <c r="L133" s="836"/>
      <c r="M133" s="836"/>
      <c r="N133" s="836"/>
      <c r="O133" s="836"/>
      <c r="P133" s="836"/>
      <c r="Q133" s="1747"/>
    </row>
    <row r="134" spans="1:17" s="431" customFormat="1" ht="14.25" customHeight="1" x14ac:dyDescent="0.2">
      <c r="A134" s="408"/>
      <c r="B134" s="408"/>
      <c r="C134" s="408"/>
      <c r="D134" s="408"/>
      <c r="E134" s="837"/>
      <c r="F134" s="836"/>
      <c r="G134" s="836"/>
      <c r="H134" s="836"/>
      <c r="I134" s="836"/>
      <c r="J134" s="836"/>
      <c r="K134" s="836"/>
      <c r="L134" s="836"/>
      <c r="M134" s="836"/>
      <c r="N134" s="836"/>
      <c r="O134" s="836"/>
      <c r="P134" s="836"/>
      <c r="Q134" s="1747"/>
    </row>
    <row r="135" spans="1:17" s="431" customFormat="1" ht="14.25" customHeight="1" x14ac:dyDescent="0.2">
      <c r="A135" s="408"/>
      <c r="B135" s="408"/>
      <c r="C135" s="408"/>
      <c r="D135" s="408"/>
      <c r="E135" s="837"/>
      <c r="F135" s="836"/>
      <c r="G135" s="836"/>
      <c r="H135" s="836"/>
      <c r="I135" s="836"/>
      <c r="J135" s="836"/>
      <c r="K135" s="836"/>
      <c r="L135" s="836"/>
      <c r="M135" s="836"/>
      <c r="N135" s="836"/>
      <c r="O135" s="836"/>
      <c r="P135" s="836"/>
      <c r="Q135" s="1747"/>
    </row>
    <row r="136" spans="1:17" s="431" customFormat="1" ht="14.25" customHeight="1" x14ac:dyDescent="0.2">
      <c r="A136" s="408"/>
      <c r="B136" s="408"/>
      <c r="C136" s="408"/>
      <c r="D136" s="408"/>
      <c r="E136" s="837"/>
      <c r="F136" s="836"/>
      <c r="G136" s="836"/>
      <c r="H136" s="836"/>
      <c r="I136" s="836"/>
      <c r="J136" s="836"/>
      <c r="K136" s="836"/>
      <c r="L136" s="836"/>
      <c r="M136" s="836"/>
      <c r="N136" s="836"/>
      <c r="O136" s="836"/>
      <c r="P136" s="836"/>
      <c r="Q136" s="1747"/>
    </row>
    <row r="137" spans="1:17" s="431" customFormat="1" ht="14.25" customHeight="1" x14ac:dyDescent="0.2">
      <c r="A137" s="408"/>
      <c r="B137" s="408"/>
      <c r="C137" s="408"/>
      <c r="D137" s="408"/>
      <c r="E137" s="837"/>
      <c r="F137" s="836"/>
      <c r="G137" s="836"/>
      <c r="H137" s="836"/>
      <c r="I137" s="836"/>
      <c r="J137" s="836"/>
      <c r="K137" s="836"/>
      <c r="L137" s="836"/>
      <c r="M137" s="836"/>
      <c r="N137" s="836"/>
      <c r="O137" s="836"/>
      <c r="P137" s="836"/>
      <c r="Q137" s="1747"/>
    </row>
    <row r="138" spans="1:17" s="431" customFormat="1" ht="14.25" customHeight="1" x14ac:dyDescent="0.2">
      <c r="A138" s="408"/>
      <c r="B138" s="408"/>
      <c r="C138" s="408"/>
      <c r="D138" s="408"/>
      <c r="E138" s="837"/>
      <c r="F138" s="836"/>
      <c r="G138" s="836"/>
      <c r="H138" s="836"/>
      <c r="I138" s="836"/>
      <c r="J138" s="836"/>
      <c r="K138" s="836"/>
      <c r="L138" s="836"/>
      <c r="M138" s="836"/>
      <c r="N138" s="836"/>
      <c r="O138" s="836"/>
      <c r="P138" s="836"/>
      <c r="Q138" s="1747"/>
    </row>
    <row r="139" spans="1:17" s="431" customFormat="1" x14ac:dyDescent="0.2">
      <c r="A139" s="408"/>
      <c r="B139" s="408"/>
      <c r="C139" s="408"/>
      <c r="D139" s="408"/>
      <c r="E139" s="837"/>
      <c r="F139" s="836"/>
      <c r="G139" s="836"/>
      <c r="H139" s="836"/>
      <c r="I139" s="836"/>
      <c r="J139" s="836"/>
      <c r="K139" s="836"/>
      <c r="L139" s="836"/>
      <c r="M139" s="836"/>
      <c r="N139" s="836"/>
      <c r="O139" s="836"/>
      <c r="P139" s="836"/>
      <c r="Q139" s="1747"/>
    </row>
    <row r="140" spans="1:17" s="431" customFormat="1" x14ac:dyDescent="0.2">
      <c r="A140" s="408"/>
      <c r="B140" s="408"/>
      <c r="C140" s="408"/>
      <c r="D140" s="408"/>
      <c r="E140" s="837"/>
      <c r="F140" s="836"/>
      <c r="G140" s="836"/>
      <c r="H140" s="836"/>
      <c r="I140" s="836"/>
      <c r="J140" s="836"/>
      <c r="K140" s="836"/>
      <c r="L140" s="836"/>
      <c r="M140" s="836"/>
      <c r="N140" s="836"/>
      <c r="O140" s="836"/>
      <c r="P140" s="836"/>
      <c r="Q140" s="1747"/>
    </row>
    <row r="141" spans="1:17" s="39" customFormat="1" x14ac:dyDescent="0.2">
      <c r="A141" s="73"/>
      <c r="B141" s="73"/>
      <c r="C141" s="73"/>
      <c r="D141" s="73"/>
      <c r="E141" s="356"/>
      <c r="F141" s="279"/>
      <c r="G141" s="279"/>
      <c r="H141" s="279"/>
      <c r="I141" s="279"/>
      <c r="J141" s="279"/>
      <c r="K141" s="279"/>
      <c r="L141" s="279"/>
      <c r="M141" s="279"/>
      <c r="N141" s="279"/>
      <c r="P141" s="75"/>
      <c r="Q141" s="75"/>
    </row>
    <row r="142" spans="1:17" x14ac:dyDescent="0.2">
      <c r="A142" s="26" t="s">
        <v>106</v>
      </c>
      <c r="B142" s="39"/>
      <c r="C142" s="39"/>
      <c r="D142" s="39"/>
      <c r="E142" s="363">
        <f>SUM(E7:E139)</f>
        <v>14360770.049666261</v>
      </c>
      <c r="F142" s="862">
        <f>SUM(F7:F140)</f>
        <v>62123</v>
      </c>
      <c r="G142" s="203">
        <f>SUM(G7:G140)</f>
        <v>349636.59700575727</v>
      </c>
      <c r="H142" s="203">
        <f t="shared" ref="H142:Q142" si="27">SUM(H7:H140)</f>
        <v>844723.1588887301</v>
      </c>
      <c r="I142" s="203">
        <f t="shared" si="27"/>
        <v>1518776.8370174181</v>
      </c>
      <c r="J142" s="203">
        <f t="shared" si="27"/>
        <v>2112880.0822777301</v>
      </c>
      <c r="K142" s="203">
        <f t="shared" si="27"/>
        <v>2443852.1151408926</v>
      </c>
      <c r="L142" s="203">
        <f t="shared" si="27"/>
        <v>2329703.8799323398</v>
      </c>
      <c r="M142" s="203">
        <f t="shared" si="27"/>
        <v>2017420.6041829046</v>
      </c>
      <c r="N142" s="203">
        <f t="shared" si="27"/>
        <v>1345103.7532230569</v>
      </c>
      <c r="O142" s="203">
        <f t="shared" si="27"/>
        <v>805948.54093189584</v>
      </c>
      <c r="P142" s="203">
        <f t="shared" si="27"/>
        <v>376721.081065537</v>
      </c>
      <c r="Q142" s="203">
        <f t="shared" si="27"/>
        <v>153880.4</v>
      </c>
    </row>
    <row r="143" spans="1:17" x14ac:dyDescent="0.2">
      <c r="A143" s="39"/>
      <c r="B143" s="39"/>
      <c r="C143" s="39"/>
      <c r="D143" s="39">
        <v>2007</v>
      </c>
      <c r="E143" s="254">
        <f>SUM(E13,E23,E24,E31,E37,E38,)</f>
        <v>3901193.7924328567</v>
      </c>
      <c r="F143" s="621">
        <f>SUM(F142:Q142)</f>
        <v>14360770.049666263</v>
      </c>
      <c r="G143" s="39" t="s">
        <v>105</v>
      </c>
      <c r="H143" s="39"/>
      <c r="I143" s="39"/>
      <c r="J143" s="39"/>
      <c r="K143" s="39"/>
      <c r="L143" s="39"/>
      <c r="M143" s="39"/>
      <c r="N143" s="39"/>
      <c r="O143" s="39"/>
      <c r="P143" s="75"/>
    </row>
    <row r="144" spans="1:17" x14ac:dyDescent="0.2">
      <c r="A144" s="39"/>
      <c r="B144" s="39"/>
      <c r="C144" s="39"/>
      <c r="D144" s="39">
        <v>2008</v>
      </c>
      <c r="E144" s="254">
        <f>SUM(E49,E54,E67,E70,E75)</f>
        <v>1012537.6452090272</v>
      </c>
      <c r="F144" s="52"/>
      <c r="G144" s="39"/>
      <c r="H144" s="39"/>
      <c r="I144" s="39"/>
      <c r="J144" s="39"/>
      <c r="K144" s="39"/>
      <c r="L144" s="39"/>
      <c r="M144" s="39"/>
      <c r="N144" s="39"/>
      <c r="O144" s="39"/>
      <c r="P144" s="75"/>
    </row>
    <row r="145" spans="1:18" x14ac:dyDescent="0.2">
      <c r="A145" s="39"/>
      <c r="B145" s="39"/>
      <c r="C145" s="39"/>
      <c r="D145" s="39">
        <v>2009</v>
      </c>
      <c r="E145" s="254">
        <f>SUM(E78,E81,E82,E120,E89,E90,E94,E97,E113,E101,E119,E121,E122)</f>
        <v>5003261.1498846952</v>
      </c>
      <c r="F145" s="52"/>
      <c r="G145" s="39"/>
      <c r="H145" s="39"/>
      <c r="I145" s="39"/>
      <c r="J145" s="39"/>
      <c r="K145" s="39"/>
      <c r="L145" s="39"/>
      <c r="M145" s="39"/>
      <c r="N145" s="39"/>
      <c r="O145" s="39"/>
      <c r="P145" s="75"/>
    </row>
    <row r="146" spans="1:18" x14ac:dyDescent="0.2">
      <c r="A146" s="39"/>
      <c r="B146" s="39"/>
      <c r="C146" s="39"/>
      <c r="D146" s="39">
        <v>2010</v>
      </c>
      <c r="E146" s="254">
        <f>SUM(E123,E124,E116,E125)</f>
        <v>4443777.4621396838</v>
      </c>
      <c r="F146" s="52"/>
      <c r="G146" s="39"/>
      <c r="H146" s="39"/>
      <c r="I146" s="39"/>
      <c r="J146" s="39"/>
      <c r="K146" s="39"/>
      <c r="L146" s="39"/>
      <c r="M146" s="39"/>
      <c r="N146" s="39"/>
      <c r="O146" s="39"/>
      <c r="P146" s="75"/>
    </row>
    <row r="147" spans="1:18" x14ac:dyDescent="0.2">
      <c r="A147" s="39"/>
      <c r="B147" s="39"/>
      <c r="C147" s="39"/>
      <c r="D147" s="39"/>
      <c r="E147" s="363">
        <f>SUM(E143:E146)</f>
        <v>14360770.049666263</v>
      </c>
      <c r="F147" s="52"/>
      <c r="G147" s="39"/>
      <c r="H147" s="39"/>
      <c r="I147" s="39"/>
      <c r="J147" s="39"/>
      <c r="K147" s="39"/>
      <c r="L147" s="39"/>
      <c r="M147" s="39"/>
      <c r="N147" s="39"/>
      <c r="O147" s="39"/>
      <c r="P147" s="75"/>
    </row>
    <row r="148" spans="1:18" x14ac:dyDescent="0.2">
      <c r="A148" s="39"/>
      <c r="B148" s="39"/>
      <c r="C148" s="39"/>
      <c r="D148" s="431" t="s">
        <v>105</v>
      </c>
      <c r="E148" s="1886">
        <f>'2. Detailed Summary'!$K$202</f>
        <v>14360766</v>
      </c>
      <c r="F148" s="93">
        <f>F142/E142</f>
        <v>4.32588223230019E-3</v>
      </c>
      <c r="G148" s="93">
        <f>G142/E142</f>
        <v>2.4346646857832159E-2</v>
      </c>
      <c r="H148" s="93">
        <f>H142/E142</f>
        <v>5.8821578227858412E-2</v>
      </c>
      <c r="I148" s="93">
        <f>I142/E142</f>
        <v>0.10575873241927677</v>
      </c>
      <c r="J148" s="93">
        <f>J142/E142</f>
        <v>0.14712860626348045</v>
      </c>
      <c r="K148" s="93">
        <f>K142/E142</f>
        <v>0.17017556208259785</v>
      </c>
      <c r="L148" s="93">
        <f>L142/E142</f>
        <v>0.16222694687507241</v>
      </c>
      <c r="M148" s="93">
        <f>M142/E142</f>
        <v>0.14048136675162406</v>
      </c>
      <c r="N148" s="93">
        <f>N142/E142</f>
        <v>9.3665155041899484E-2</v>
      </c>
      <c r="O148" s="93">
        <f>O142/E142</f>
        <v>5.6121540707395827E-2</v>
      </c>
      <c r="P148" s="1871">
        <f>P142/E142</f>
        <v>2.623265185381141E-2</v>
      </c>
      <c r="Q148" s="1871">
        <f>Q142/E142</f>
        <v>1.0715330686851024E-2</v>
      </c>
    </row>
    <row r="149" spans="1:18" x14ac:dyDescent="0.2">
      <c r="A149" s="39"/>
      <c r="B149" s="39"/>
      <c r="C149" s="39"/>
      <c r="D149" s="39"/>
      <c r="E149" s="254"/>
      <c r="F149" s="52"/>
      <c r="G149" s="52"/>
      <c r="H149" s="52"/>
      <c r="I149" s="52"/>
      <c r="J149" s="52"/>
      <c r="K149" s="52"/>
      <c r="L149" s="52"/>
      <c r="M149" s="52"/>
      <c r="N149" s="52"/>
      <c r="O149" s="39"/>
      <c r="Q149" s="1773">
        <f>SUM(F148:Q148)</f>
        <v>1</v>
      </c>
    </row>
    <row r="150" spans="1:18" x14ac:dyDescent="0.2">
      <c r="A150" s="39"/>
      <c r="B150" s="39"/>
      <c r="C150" s="39"/>
      <c r="D150" s="39"/>
      <c r="E150" s="195"/>
      <c r="F150" s="39"/>
      <c r="G150" s="39"/>
      <c r="H150" s="39"/>
      <c r="I150" s="39"/>
      <c r="J150" s="39"/>
      <c r="K150" s="39"/>
      <c r="L150" s="39"/>
      <c r="M150" s="39"/>
      <c r="N150" s="39"/>
      <c r="O150" s="39"/>
      <c r="P150" s="75"/>
    </row>
    <row r="151" spans="1:18" x14ac:dyDescent="0.2">
      <c r="A151" s="39"/>
      <c r="B151" s="39"/>
      <c r="C151" s="39"/>
      <c r="D151" s="39"/>
      <c r="E151" s="195"/>
      <c r="F151" s="39"/>
      <c r="G151" s="39"/>
      <c r="H151" s="39"/>
      <c r="I151" s="39"/>
      <c r="J151" s="39"/>
      <c r="K151" s="39"/>
      <c r="L151" s="39"/>
      <c r="M151" s="39"/>
      <c r="N151" s="39"/>
      <c r="O151" s="39"/>
      <c r="P151" s="75"/>
    </row>
    <row r="152" spans="1:18" x14ac:dyDescent="0.2">
      <c r="A152" s="431" t="s">
        <v>657</v>
      </c>
      <c r="B152" s="39"/>
      <c r="C152" s="39"/>
      <c r="D152" s="39"/>
      <c r="E152" s="254">
        <v>40000000</v>
      </c>
      <c r="F152" s="52">
        <f>E152*F148</f>
        <v>173035.2892920076</v>
      </c>
      <c r="G152" s="52">
        <f>E152*G148</f>
        <v>973865.87431328639</v>
      </c>
      <c r="H152" s="52">
        <f>E152*H148</f>
        <v>2352863.1291143363</v>
      </c>
      <c r="I152" s="52">
        <f>E152*I148</f>
        <v>4230349.2967710709</v>
      </c>
      <c r="J152" s="52">
        <f>E152*J148</f>
        <v>5885144.2505392181</v>
      </c>
      <c r="K152" s="52">
        <f>E152*K148</f>
        <v>6807022.4833039138</v>
      </c>
      <c r="L152" s="52">
        <f>E152*L148</f>
        <v>6489077.8750028964</v>
      </c>
      <c r="M152" s="52">
        <f>E152*M148</f>
        <v>5619254.6700649625</v>
      </c>
      <c r="N152" s="52">
        <f>E152*N148</f>
        <v>3746606.2016759794</v>
      </c>
      <c r="O152" s="52">
        <f>E152*O148</f>
        <v>2244861.6282958332</v>
      </c>
      <c r="P152" s="75">
        <f>E152*P148</f>
        <v>1049306.0741524564</v>
      </c>
      <c r="Q152" s="315">
        <f>E152*Q148</f>
        <v>428613.22747404099</v>
      </c>
      <c r="R152" s="1">
        <f>SUM(F152:Q152)</f>
        <v>40000000</v>
      </c>
    </row>
    <row r="153" spans="1:18" x14ac:dyDescent="0.2">
      <c r="A153" s="39"/>
      <c r="B153" s="39"/>
      <c r="C153" s="39"/>
      <c r="D153" s="39"/>
      <c r="E153" s="254"/>
      <c r="F153" s="52"/>
      <c r="G153" s="52"/>
      <c r="H153" s="52"/>
      <c r="I153" s="52"/>
      <c r="J153" s="52"/>
      <c r="K153" s="52"/>
      <c r="L153" s="52"/>
      <c r="M153" s="52"/>
      <c r="N153" s="52"/>
      <c r="O153" s="39"/>
      <c r="P153" s="75"/>
    </row>
    <row r="154" spans="1:18" x14ac:dyDescent="0.2">
      <c r="A154" s="430" t="s">
        <v>380</v>
      </c>
      <c r="B154" s="39"/>
      <c r="C154" s="39"/>
      <c r="D154" s="40" t="s">
        <v>865</v>
      </c>
      <c r="E154" s="194"/>
      <c r="F154" s="40">
        <v>2008</v>
      </c>
      <c r="G154" s="40">
        <v>2009</v>
      </c>
      <c r="H154" s="40">
        <v>2010</v>
      </c>
      <c r="I154" s="40">
        <v>2011</v>
      </c>
      <c r="J154" s="40">
        <v>2012</v>
      </c>
      <c r="K154" s="40">
        <v>2013</v>
      </c>
      <c r="L154" s="40">
        <v>2014</v>
      </c>
      <c r="M154" s="40">
        <v>2015</v>
      </c>
      <c r="N154" s="40">
        <v>2016</v>
      </c>
      <c r="O154" s="40">
        <v>2017</v>
      </c>
      <c r="P154" s="1744">
        <v>2018</v>
      </c>
    </row>
    <row r="155" spans="1:18" x14ac:dyDescent="0.2">
      <c r="A155" s="39"/>
      <c r="B155" s="39"/>
      <c r="C155" s="39"/>
      <c r="D155" s="39"/>
      <c r="E155" s="194"/>
      <c r="F155" s="39"/>
      <c r="G155" s="39"/>
      <c r="H155" s="39"/>
      <c r="I155" s="39"/>
      <c r="J155" s="39"/>
      <c r="K155" s="39"/>
      <c r="L155" s="39"/>
      <c r="M155" s="39"/>
      <c r="N155" s="39"/>
      <c r="O155" s="39"/>
      <c r="P155" s="1745"/>
    </row>
    <row r="156" spans="1:18" x14ac:dyDescent="0.2">
      <c r="A156" s="39"/>
      <c r="B156" s="39"/>
      <c r="C156" s="39"/>
      <c r="D156" s="615"/>
      <c r="E156" s="254"/>
      <c r="F156" s="52"/>
      <c r="G156" s="52"/>
      <c r="H156" s="52"/>
      <c r="I156" s="52"/>
      <c r="J156" s="52"/>
      <c r="K156" s="52"/>
      <c r="L156" s="52"/>
      <c r="M156" s="52"/>
      <c r="N156" s="52"/>
      <c r="O156" s="52"/>
      <c r="P156" s="75"/>
    </row>
    <row r="157" spans="1:18" x14ac:dyDescent="0.2">
      <c r="A157" s="430"/>
      <c r="B157" s="39"/>
      <c r="C157" s="39"/>
      <c r="D157" s="615"/>
      <c r="E157" s="397"/>
      <c r="F157" s="52"/>
      <c r="G157" s="52"/>
      <c r="H157" s="52"/>
      <c r="I157" s="52"/>
      <c r="J157" s="52"/>
      <c r="K157" s="52"/>
      <c r="L157" s="52"/>
      <c r="M157" s="52"/>
      <c r="N157" s="52"/>
      <c r="O157" s="52"/>
      <c r="P157" s="75"/>
    </row>
    <row r="158" spans="1:18" x14ac:dyDescent="0.2">
      <c r="A158" s="430"/>
      <c r="B158" s="39"/>
      <c r="C158" s="39"/>
      <c r="D158" s="615"/>
      <c r="E158" s="254"/>
      <c r="F158" s="52"/>
      <c r="G158" s="52"/>
      <c r="H158" s="52"/>
      <c r="I158" s="52"/>
      <c r="J158" s="52"/>
      <c r="K158" s="52"/>
      <c r="L158" s="52"/>
      <c r="M158" s="52"/>
      <c r="N158" s="52"/>
      <c r="O158" s="52"/>
      <c r="P158" s="75"/>
    </row>
    <row r="159" spans="1:18" s="473" customFormat="1" x14ac:dyDescent="0.2">
      <c r="A159" s="1046" t="s">
        <v>62</v>
      </c>
      <c r="D159" s="589">
        <v>2008</v>
      </c>
      <c r="E159" s="1727">
        <f>SUM(F159:N159)</f>
        <v>150134.8908087897</v>
      </c>
      <c r="F159" s="505">
        <v>11549</v>
      </c>
      <c r="G159" s="505">
        <v>34646.472702197425</v>
      </c>
      <c r="H159" s="505">
        <v>34646.472702197425</v>
      </c>
      <c r="I159" s="505">
        <v>34646.472702197425</v>
      </c>
      <c r="J159" s="505">
        <v>34646.472702197425</v>
      </c>
      <c r="K159" s="505"/>
      <c r="L159" s="505"/>
      <c r="M159" s="505"/>
      <c r="N159" s="505"/>
      <c r="O159" s="505"/>
      <c r="P159" s="1742"/>
      <c r="Q159" s="1742"/>
    </row>
    <row r="160" spans="1:18" s="473" customFormat="1" x14ac:dyDescent="0.2">
      <c r="A160" s="1046"/>
      <c r="D160" s="589">
        <v>2009</v>
      </c>
      <c r="E160" s="1727">
        <f>SUM(F160:N160)</f>
        <v>229099.9540067981</v>
      </c>
      <c r="F160" s="505"/>
      <c r="G160" s="505">
        <v>29158</v>
      </c>
      <c r="H160" s="505">
        <v>49985.488501699518</v>
      </c>
      <c r="I160" s="505">
        <v>49985.488501699518</v>
      </c>
      <c r="J160" s="505">
        <v>49985.488501699518</v>
      </c>
      <c r="K160" s="505">
        <v>49985.488501699518</v>
      </c>
      <c r="L160" s="505"/>
      <c r="M160" s="505"/>
      <c r="N160" s="505"/>
      <c r="O160" s="505"/>
      <c r="P160" s="1742"/>
      <c r="Q160" s="1742"/>
    </row>
    <row r="161" spans="1:17" s="473" customFormat="1" x14ac:dyDescent="0.2">
      <c r="A161" s="1046"/>
      <c r="D161" s="589">
        <v>2010</v>
      </c>
      <c r="E161" s="1727">
        <f>SUM(F161:N161)</f>
        <v>114760.4120039152</v>
      </c>
      <c r="F161" s="505"/>
      <c r="G161" s="505"/>
      <c r="H161" s="505">
        <v>14606</v>
      </c>
      <c r="I161" s="505">
        <v>25038.603000978801</v>
      </c>
      <c r="J161" s="505">
        <v>25038.603000978801</v>
      </c>
      <c r="K161" s="505">
        <v>25038.603000978801</v>
      </c>
      <c r="L161" s="505">
        <v>25038.603000978801</v>
      </c>
      <c r="M161" s="505"/>
      <c r="N161" s="505"/>
      <c r="O161" s="505"/>
      <c r="P161" s="1742"/>
      <c r="Q161" s="1742"/>
    </row>
    <row r="162" spans="1:17" s="473" customFormat="1" x14ac:dyDescent="0.2">
      <c r="A162" s="1046"/>
      <c r="D162" s="590">
        <v>2011</v>
      </c>
      <c r="E162" s="1727">
        <f>SUM(F162:N162)</f>
        <v>76269.622588093742</v>
      </c>
      <c r="F162" s="505"/>
      <c r="G162" s="505"/>
      <c r="H162" s="505"/>
      <c r="I162" s="505">
        <v>9707</v>
      </c>
      <c r="J162" s="505">
        <v>16640.655647023435</v>
      </c>
      <c r="K162" s="505">
        <v>16640.655647023435</v>
      </c>
      <c r="L162" s="505">
        <v>16640.655647023435</v>
      </c>
      <c r="M162" s="505">
        <v>16640.655647023435</v>
      </c>
      <c r="N162" s="505"/>
      <c r="O162" s="505"/>
      <c r="P162" s="1742"/>
      <c r="Q162" s="1742"/>
    </row>
    <row r="163" spans="1:17" s="473" customFormat="1" x14ac:dyDescent="0.2">
      <c r="A163" s="1046"/>
      <c r="D163" s="590">
        <v>2012</v>
      </c>
      <c r="E163" s="1727">
        <f>SUM(F163:N163)</f>
        <v>42522.421574293192</v>
      </c>
      <c r="F163" s="505"/>
      <c r="G163" s="505"/>
      <c r="H163" s="505"/>
      <c r="I163" s="505"/>
      <c r="J163" s="505">
        <v>5412</v>
      </c>
      <c r="K163" s="505">
        <v>9277.605393573298</v>
      </c>
      <c r="L163" s="505">
        <v>9277.605393573298</v>
      </c>
      <c r="M163" s="505">
        <v>9277.605393573298</v>
      </c>
      <c r="N163" s="505">
        <v>9277.605393573298</v>
      </c>
      <c r="O163" s="505"/>
      <c r="P163" s="1742"/>
      <c r="Q163" s="1742"/>
    </row>
    <row r="164" spans="1:17" s="473" customFormat="1" x14ac:dyDescent="0.2">
      <c r="A164" s="1046"/>
      <c r="D164" s="589" t="s">
        <v>347</v>
      </c>
      <c r="E164" s="1126">
        <f>SUM(E159:E163)</f>
        <v>612787.30098188994</v>
      </c>
      <c r="F164" s="863">
        <f t="shared" ref="F164:N164" si="28">SUM(F159:F163)</f>
        <v>11549</v>
      </c>
      <c r="G164" s="863">
        <f t="shared" si="28"/>
        <v>63804.472702197425</v>
      </c>
      <c r="H164" s="863">
        <f t="shared" si="28"/>
        <v>99237.961203896935</v>
      </c>
      <c r="I164" s="863">
        <f t="shared" si="28"/>
        <v>119377.56420487573</v>
      </c>
      <c r="J164" s="863">
        <f t="shared" si="28"/>
        <v>131723.21985189916</v>
      </c>
      <c r="K164" s="863">
        <f t="shared" si="28"/>
        <v>100942.35254327505</v>
      </c>
      <c r="L164" s="863">
        <f t="shared" si="28"/>
        <v>50956.864041575536</v>
      </c>
      <c r="M164" s="863">
        <f t="shared" si="28"/>
        <v>25918.261040596735</v>
      </c>
      <c r="N164" s="863">
        <f t="shared" si="28"/>
        <v>9277.605393573298</v>
      </c>
      <c r="O164" s="505"/>
      <c r="P164" s="1742"/>
      <c r="Q164" s="1742"/>
    </row>
    <row r="165" spans="1:17" s="473" customFormat="1" x14ac:dyDescent="0.2">
      <c r="A165" s="1046"/>
      <c r="D165" s="467"/>
      <c r="E165" s="1727"/>
      <c r="F165" s="505">
        <f>SUM(F164:N164)</f>
        <v>612787.30098188994</v>
      </c>
      <c r="G165" s="505" t="s">
        <v>171</v>
      </c>
      <c r="H165" s="505"/>
      <c r="I165" s="505"/>
      <c r="J165" s="505"/>
      <c r="K165" s="505"/>
      <c r="L165" s="505"/>
      <c r="M165" s="505"/>
      <c r="N165" s="505"/>
      <c r="O165" s="505"/>
      <c r="P165" s="1742"/>
      <c r="Q165" s="1742"/>
    </row>
    <row r="166" spans="1:17" x14ac:dyDescent="0.2">
      <c r="A166" s="430"/>
      <c r="B166" s="39"/>
      <c r="C166" s="39"/>
      <c r="D166" s="615"/>
      <c r="E166" s="397"/>
      <c r="F166" s="52"/>
      <c r="G166" s="52"/>
      <c r="H166" s="52"/>
      <c r="I166" s="52"/>
      <c r="J166" s="52"/>
      <c r="K166" s="52"/>
      <c r="L166" s="52"/>
      <c r="M166" s="52"/>
      <c r="N166" s="52"/>
      <c r="O166" s="52"/>
      <c r="P166" s="75"/>
    </row>
    <row r="167" spans="1:17" s="473" customFormat="1" x14ac:dyDescent="0.2">
      <c r="A167" s="1046" t="s">
        <v>63</v>
      </c>
      <c r="D167" s="589">
        <v>2008</v>
      </c>
      <c r="E167" s="1727">
        <f>SUM(F167:N167)</f>
        <v>71077.908386125418</v>
      </c>
      <c r="F167" s="505">
        <v>9046</v>
      </c>
      <c r="G167" s="505">
        <v>15507.977096531355</v>
      </c>
      <c r="H167" s="505">
        <v>15507.977096531355</v>
      </c>
      <c r="I167" s="505">
        <v>15507.977096531355</v>
      </c>
      <c r="J167" s="505">
        <v>15507.977096531355</v>
      </c>
      <c r="K167" s="505"/>
      <c r="L167" s="505"/>
      <c r="M167" s="505"/>
      <c r="N167" s="505"/>
      <c r="O167" s="505"/>
      <c r="P167" s="1742"/>
      <c r="Q167" s="1742"/>
    </row>
    <row r="168" spans="1:17" s="473" customFormat="1" x14ac:dyDescent="0.2">
      <c r="A168" s="1046"/>
      <c r="D168" s="589">
        <v>2009</v>
      </c>
      <c r="E168" s="1727">
        <f>SUM(F168:N168)</f>
        <v>23308.789861058518</v>
      </c>
      <c r="F168" s="505"/>
      <c r="G168" s="505">
        <v>4019</v>
      </c>
      <c r="H168" s="505">
        <v>4822.4474652646295</v>
      </c>
      <c r="I168" s="505">
        <v>4822.4474652646295</v>
      </c>
      <c r="J168" s="505">
        <v>4822.4474652646295</v>
      </c>
      <c r="K168" s="505">
        <v>4822.4474652646295</v>
      </c>
      <c r="L168" s="505"/>
      <c r="M168" s="505"/>
      <c r="N168" s="505"/>
      <c r="O168" s="505"/>
      <c r="P168" s="1742"/>
      <c r="Q168" s="1742"/>
    </row>
    <row r="169" spans="1:17" s="473" customFormat="1" x14ac:dyDescent="0.2">
      <c r="A169" s="1046"/>
      <c r="D169" s="589">
        <v>2010</v>
      </c>
      <c r="E169" s="1727">
        <f>SUM(F169:N169)</f>
        <v>21495.325072529082</v>
      </c>
      <c r="F169" s="505"/>
      <c r="G169" s="505"/>
      <c r="H169" s="505">
        <v>3706</v>
      </c>
      <c r="I169" s="505">
        <v>4447.3312681322705</v>
      </c>
      <c r="J169" s="505">
        <v>4447.3312681322705</v>
      </c>
      <c r="K169" s="505">
        <v>4447.3312681322705</v>
      </c>
      <c r="L169" s="505">
        <v>4447.3312681322705</v>
      </c>
      <c r="M169" s="505"/>
      <c r="N169" s="505"/>
      <c r="O169" s="505"/>
      <c r="P169" s="1742"/>
      <c r="Q169" s="1742"/>
    </row>
    <row r="170" spans="1:17" s="473" customFormat="1" x14ac:dyDescent="0.2">
      <c r="A170" s="1046"/>
      <c r="D170" s="590">
        <v>2011</v>
      </c>
      <c r="E170" s="1727">
        <f>SUM(F170:N170)</f>
        <v>15604.010245527665</v>
      </c>
      <c r="F170" s="505"/>
      <c r="G170" s="505"/>
      <c r="H170" s="505"/>
      <c r="I170" s="505">
        <v>2690</v>
      </c>
      <c r="J170" s="505">
        <v>3228.5025613819157</v>
      </c>
      <c r="K170" s="505">
        <v>3228.5025613819157</v>
      </c>
      <c r="L170" s="505">
        <v>3228.5025613819157</v>
      </c>
      <c r="M170" s="505">
        <v>3228.5025613819157</v>
      </c>
      <c r="N170" s="505"/>
      <c r="O170" s="505"/>
      <c r="P170" s="1742"/>
      <c r="Q170" s="1742"/>
    </row>
    <row r="171" spans="1:17" s="473" customFormat="1" x14ac:dyDescent="0.2">
      <c r="A171" s="1046"/>
      <c r="D171" s="590">
        <v>2012</v>
      </c>
      <c r="E171" s="1727">
        <f>SUM(F171:N171)</f>
        <v>15557.622931867918</v>
      </c>
      <c r="F171" s="505"/>
      <c r="G171" s="505"/>
      <c r="H171" s="505"/>
      <c r="I171" s="505"/>
      <c r="J171" s="505">
        <v>2682</v>
      </c>
      <c r="K171" s="505">
        <v>3218.9057329669799</v>
      </c>
      <c r="L171" s="505">
        <v>3218.9057329669799</v>
      </c>
      <c r="M171" s="505">
        <v>3218.9057329669799</v>
      </c>
      <c r="N171" s="505">
        <v>3218.9057329669799</v>
      </c>
      <c r="O171" s="505"/>
      <c r="P171" s="1742"/>
      <c r="Q171" s="1742"/>
    </row>
    <row r="172" spans="1:17" s="473" customFormat="1" x14ac:dyDescent="0.2">
      <c r="A172" s="1046"/>
      <c r="D172" s="589" t="s">
        <v>347</v>
      </c>
      <c r="E172" s="1126">
        <f t="shared" ref="E172:N172" si="29">SUM(E167:E171)</f>
        <v>147043.6564971086</v>
      </c>
      <c r="F172" s="863">
        <f t="shared" si="29"/>
        <v>9046</v>
      </c>
      <c r="G172" s="863">
        <f t="shared" si="29"/>
        <v>19526.977096531355</v>
      </c>
      <c r="H172" s="863">
        <f t="shared" si="29"/>
        <v>24036.424561795982</v>
      </c>
      <c r="I172" s="863">
        <f t="shared" si="29"/>
        <v>27467.755829928254</v>
      </c>
      <c r="J172" s="863">
        <f t="shared" si="29"/>
        <v>30688.25839131017</v>
      </c>
      <c r="K172" s="863">
        <f t="shared" si="29"/>
        <v>15717.187027745795</v>
      </c>
      <c r="L172" s="863">
        <f t="shared" si="29"/>
        <v>10894.739562481165</v>
      </c>
      <c r="M172" s="863">
        <f t="shared" si="29"/>
        <v>6447.4082943488957</v>
      </c>
      <c r="N172" s="863">
        <f t="shared" si="29"/>
        <v>3218.9057329669799</v>
      </c>
      <c r="O172" s="505"/>
      <c r="P172" s="1742"/>
      <c r="Q172" s="1742"/>
    </row>
    <row r="173" spans="1:17" s="473" customFormat="1" x14ac:dyDescent="0.2">
      <c r="A173" s="1046"/>
      <c r="D173" s="467"/>
      <c r="E173" s="1727"/>
      <c r="F173" s="505">
        <f>SUM(F172:N172)</f>
        <v>147043.6564971086</v>
      </c>
      <c r="G173" s="505" t="s">
        <v>171</v>
      </c>
      <c r="H173" s="505"/>
      <c r="I173" s="505"/>
      <c r="J173" s="505"/>
      <c r="K173" s="505"/>
      <c r="L173" s="505"/>
      <c r="M173" s="505"/>
      <c r="N173" s="505"/>
      <c r="O173" s="505"/>
      <c r="P173" s="1742"/>
      <c r="Q173" s="1742"/>
    </row>
    <row r="174" spans="1:17" x14ac:dyDescent="0.2">
      <c r="A174" s="430"/>
      <c r="B174" s="39"/>
      <c r="C174" s="39"/>
      <c r="D174" s="615"/>
      <c r="E174" s="397"/>
      <c r="F174" s="52"/>
      <c r="G174" s="52"/>
      <c r="H174" s="52"/>
      <c r="I174" s="52"/>
      <c r="J174" s="52"/>
      <c r="K174" s="52"/>
      <c r="L174" s="52"/>
      <c r="M174" s="52"/>
      <c r="N174" s="52"/>
      <c r="O174" s="52"/>
      <c r="P174" s="75"/>
    </row>
    <row r="175" spans="1:17" s="473" customFormat="1" x14ac:dyDescent="0.2">
      <c r="A175" s="1046" t="s">
        <v>50</v>
      </c>
      <c r="D175" s="589">
        <v>2008</v>
      </c>
      <c r="E175" s="1727">
        <f>SUM(F175:N175)</f>
        <v>0</v>
      </c>
      <c r="F175" s="505">
        <v>0</v>
      </c>
      <c r="G175" s="505">
        <v>0</v>
      </c>
      <c r="H175" s="505">
        <v>0</v>
      </c>
      <c r="I175" s="505">
        <v>0</v>
      </c>
      <c r="J175" s="505">
        <v>0</v>
      </c>
      <c r="K175" s="505"/>
      <c r="L175" s="505"/>
      <c r="M175" s="505"/>
      <c r="N175" s="505"/>
      <c r="O175" s="505"/>
      <c r="P175" s="1742"/>
      <c r="Q175" s="1742"/>
    </row>
    <row r="176" spans="1:17" s="473" customFormat="1" x14ac:dyDescent="0.2">
      <c r="A176" s="1046"/>
      <c r="D176" s="589">
        <v>2009</v>
      </c>
      <c r="E176" s="1727">
        <f>SUM(F176:N176)</f>
        <v>330646</v>
      </c>
      <c r="F176" s="505"/>
      <c r="G176" s="505">
        <v>25434</v>
      </c>
      <c r="H176" s="505">
        <v>76303</v>
      </c>
      <c r="I176" s="505">
        <v>76303</v>
      </c>
      <c r="J176" s="505">
        <v>76303</v>
      </c>
      <c r="K176" s="505">
        <v>76303</v>
      </c>
      <c r="L176" s="505"/>
      <c r="M176" s="505"/>
      <c r="N176" s="505"/>
      <c r="O176" s="505"/>
      <c r="P176" s="1742"/>
      <c r="Q176" s="1742"/>
    </row>
    <row r="177" spans="1:17" s="473" customFormat="1" x14ac:dyDescent="0.2">
      <c r="A177" s="1046"/>
      <c r="D177" s="589">
        <v>2010</v>
      </c>
      <c r="E177" s="1727">
        <f>SUM(F177:N177)</f>
        <v>348482</v>
      </c>
      <c r="F177" s="505"/>
      <c r="G177" s="505"/>
      <c r="H177" s="505">
        <v>26806</v>
      </c>
      <c r="I177" s="505">
        <v>80419</v>
      </c>
      <c r="J177" s="505">
        <v>80419</v>
      </c>
      <c r="K177" s="505">
        <v>80419</v>
      </c>
      <c r="L177" s="505">
        <v>80419</v>
      </c>
      <c r="M177" s="505"/>
      <c r="N177" s="505"/>
      <c r="O177" s="505"/>
      <c r="P177" s="1742"/>
      <c r="Q177" s="1742"/>
    </row>
    <row r="178" spans="1:17" s="473" customFormat="1" x14ac:dyDescent="0.2">
      <c r="A178" s="1046"/>
      <c r="D178" s="590">
        <v>2011</v>
      </c>
      <c r="E178" s="1727">
        <f>SUM(F178:N178)</f>
        <v>367263</v>
      </c>
      <c r="F178" s="505"/>
      <c r="G178" s="505"/>
      <c r="H178" s="505"/>
      <c r="I178" s="505">
        <v>28251</v>
      </c>
      <c r="J178" s="505">
        <v>84753</v>
      </c>
      <c r="K178" s="505">
        <v>84753</v>
      </c>
      <c r="L178" s="505">
        <v>84753</v>
      </c>
      <c r="M178" s="505">
        <v>84753</v>
      </c>
      <c r="N178" s="505"/>
      <c r="O178" s="505"/>
      <c r="P178" s="1742"/>
      <c r="Q178" s="1742"/>
    </row>
    <row r="179" spans="1:17" s="473" customFormat="1" x14ac:dyDescent="0.2">
      <c r="A179" s="1046"/>
      <c r="D179" s="590">
        <v>2012</v>
      </c>
      <c r="E179" s="1727">
        <f>SUM(F179:N179)</f>
        <v>387045</v>
      </c>
      <c r="F179" s="505"/>
      <c r="G179" s="505"/>
      <c r="H179" s="505"/>
      <c r="I179" s="505"/>
      <c r="J179" s="505">
        <v>29773</v>
      </c>
      <c r="K179" s="505">
        <v>89318</v>
      </c>
      <c r="L179" s="505">
        <v>89318</v>
      </c>
      <c r="M179" s="505">
        <v>89318</v>
      </c>
      <c r="N179" s="505">
        <v>89318</v>
      </c>
      <c r="O179" s="505"/>
      <c r="P179" s="1742"/>
      <c r="Q179" s="1742"/>
    </row>
    <row r="180" spans="1:17" s="473" customFormat="1" x14ac:dyDescent="0.2">
      <c r="A180" s="1046"/>
      <c r="D180" s="589" t="s">
        <v>347</v>
      </c>
      <c r="E180" s="1126">
        <f t="shared" ref="E180:N180" si="30">SUM(E175:E179)</f>
        <v>1433436</v>
      </c>
      <c r="F180" s="863">
        <f t="shared" si="30"/>
        <v>0</v>
      </c>
      <c r="G180" s="863">
        <f t="shared" si="30"/>
        <v>25434</v>
      </c>
      <c r="H180" s="863">
        <f t="shared" si="30"/>
        <v>103109</v>
      </c>
      <c r="I180" s="863">
        <f t="shared" si="30"/>
        <v>184973</v>
      </c>
      <c r="J180" s="863">
        <f t="shared" si="30"/>
        <v>271248</v>
      </c>
      <c r="K180" s="863">
        <f t="shared" si="30"/>
        <v>330793</v>
      </c>
      <c r="L180" s="863">
        <f t="shared" si="30"/>
        <v>254490</v>
      </c>
      <c r="M180" s="863">
        <f t="shared" si="30"/>
        <v>174071</v>
      </c>
      <c r="N180" s="863">
        <f t="shared" si="30"/>
        <v>89318</v>
      </c>
      <c r="O180" s="505"/>
      <c r="P180" s="1742"/>
      <c r="Q180" s="1742"/>
    </row>
    <row r="181" spans="1:17" s="473" customFormat="1" x14ac:dyDescent="0.2">
      <c r="A181" s="1046"/>
      <c r="D181" s="467"/>
      <c r="E181" s="1727"/>
      <c r="F181" s="505">
        <f>SUM(F180:N180)</f>
        <v>1433436</v>
      </c>
      <c r="G181" s="505" t="s">
        <v>171</v>
      </c>
      <c r="H181" s="505"/>
      <c r="I181" s="505"/>
      <c r="J181" s="505"/>
      <c r="K181" s="505"/>
      <c r="L181" s="505"/>
      <c r="M181" s="505"/>
      <c r="N181" s="505"/>
      <c r="O181" s="505"/>
      <c r="P181" s="1742"/>
      <c r="Q181" s="1742"/>
    </row>
    <row r="182" spans="1:17" x14ac:dyDescent="0.2">
      <c r="A182" s="430"/>
      <c r="B182" s="39"/>
      <c r="C182" s="39"/>
      <c r="D182" s="615"/>
      <c r="E182" s="397"/>
      <c r="F182" s="52"/>
      <c r="G182" s="52"/>
      <c r="H182" s="52"/>
      <c r="I182" s="52"/>
      <c r="J182" s="52"/>
      <c r="K182" s="52"/>
      <c r="L182" s="52"/>
      <c r="M182" s="52"/>
      <c r="N182" s="52"/>
      <c r="O182" s="52"/>
      <c r="P182" s="75"/>
    </row>
    <row r="183" spans="1:17" x14ac:dyDescent="0.2">
      <c r="A183" s="430"/>
      <c r="B183" s="39"/>
      <c r="C183" s="39"/>
      <c r="D183" s="615"/>
      <c r="E183" s="397"/>
      <c r="F183" s="52"/>
      <c r="G183" s="52"/>
      <c r="H183" s="52"/>
      <c r="I183" s="52"/>
      <c r="J183" s="52"/>
      <c r="K183" s="52"/>
      <c r="L183" s="52"/>
      <c r="M183" s="52"/>
      <c r="N183" s="52"/>
      <c r="O183" s="52"/>
      <c r="P183" s="75"/>
    </row>
    <row r="184" spans="1:17" s="473" customFormat="1" x14ac:dyDescent="0.2">
      <c r="A184" s="1046" t="s">
        <v>125</v>
      </c>
      <c r="D184" s="589">
        <v>2008</v>
      </c>
      <c r="E184" s="1727">
        <f>SUM(F184:N184)</f>
        <v>14252.335339743073</v>
      </c>
      <c r="F184" s="505">
        <v>291</v>
      </c>
      <c r="G184" s="505">
        <v>3490.3338349357682</v>
      </c>
      <c r="H184" s="505">
        <v>3490.3338349357682</v>
      </c>
      <c r="I184" s="505">
        <v>3490.3338349357682</v>
      </c>
      <c r="J184" s="505">
        <v>3490.3338349357682</v>
      </c>
      <c r="K184" s="505"/>
      <c r="L184" s="505"/>
      <c r="M184" s="505"/>
      <c r="N184" s="505"/>
      <c r="O184" s="505"/>
      <c r="P184" s="1742"/>
      <c r="Q184" s="1742"/>
    </row>
    <row r="185" spans="1:17" s="473" customFormat="1" x14ac:dyDescent="0.2">
      <c r="A185" s="1046"/>
      <c r="D185" s="589">
        <v>2009</v>
      </c>
      <c r="E185" s="1727">
        <f>SUM(F185:N185)</f>
        <v>33613.983762983895</v>
      </c>
      <c r="F185" s="505"/>
      <c r="G185" s="505">
        <v>2586</v>
      </c>
      <c r="H185" s="505">
        <v>7756.9959407459737</v>
      </c>
      <c r="I185" s="505">
        <v>7756.9959407459737</v>
      </c>
      <c r="J185" s="505">
        <v>7756.9959407459737</v>
      </c>
      <c r="K185" s="505">
        <v>7756.9959407459737</v>
      </c>
      <c r="L185" s="505"/>
      <c r="M185" s="505"/>
      <c r="N185" s="505"/>
      <c r="O185" s="505"/>
      <c r="P185" s="1742"/>
      <c r="Q185" s="1742"/>
    </row>
    <row r="186" spans="1:17" s="473" customFormat="1" x14ac:dyDescent="0.2">
      <c r="A186" s="1046"/>
      <c r="D186" s="589">
        <v>2010</v>
      </c>
      <c r="E186" s="1727">
        <f>SUM(F186:N186)</f>
        <v>44169.003203787841</v>
      </c>
      <c r="F186" s="505"/>
      <c r="G186" s="505"/>
      <c r="H186" s="505">
        <v>3398</v>
      </c>
      <c r="I186" s="505">
        <v>10192.75080094696</v>
      </c>
      <c r="J186" s="505">
        <v>10192.75080094696</v>
      </c>
      <c r="K186" s="505">
        <v>10192.75080094696</v>
      </c>
      <c r="L186" s="505">
        <v>10192.75080094696</v>
      </c>
      <c r="M186" s="505"/>
      <c r="N186" s="505"/>
      <c r="O186" s="505"/>
      <c r="P186" s="1742"/>
      <c r="Q186" s="1742"/>
    </row>
    <row r="187" spans="1:17" s="473" customFormat="1" x14ac:dyDescent="0.2">
      <c r="A187" s="1046"/>
      <c r="D187" s="590">
        <v>2011</v>
      </c>
      <c r="E187" s="1727">
        <f>SUM(F187:N187)</f>
        <v>39183.426859909683</v>
      </c>
      <c r="F187" s="505"/>
      <c r="G187" s="505"/>
      <c r="H187" s="505"/>
      <c r="I187" s="505">
        <v>4987</v>
      </c>
      <c r="J187" s="505">
        <v>8549.1067149774208</v>
      </c>
      <c r="K187" s="505">
        <v>8549.1067149774208</v>
      </c>
      <c r="L187" s="505">
        <v>8549.1067149774208</v>
      </c>
      <c r="M187" s="505">
        <v>8549.1067149774208</v>
      </c>
      <c r="N187" s="505"/>
      <c r="O187" s="505"/>
      <c r="P187" s="1742"/>
      <c r="Q187" s="1742"/>
    </row>
    <row r="188" spans="1:17" s="473" customFormat="1" x14ac:dyDescent="0.2">
      <c r="A188" s="1046"/>
      <c r="D188" s="590">
        <v>2012</v>
      </c>
      <c r="E188" s="1727">
        <f>SUM(F188:N188)</f>
        <v>28123.72610387129</v>
      </c>
      <c r="F188" s="505"/>
      <c r="G188" s="505"/>
      <c r="H188" s="505"/>
      <c r="I188" s="505"/>
      <c r="J188" s="505">
        <v>2164</v>
      </c>
      <c r="K188" s="505">
        <v>6489.9315259678233</v>
      </c>
      <c r="L188" s="505">
        <v>6489.9315259678233</v>
      </c>
      <c r="M188" s="505">
        <v>6489.9315259678233</v>
      </c>
      <c r="N188" s="505">
        <v>6489.9315259678233</v>
      </c>
      <c r="O188" s="505"/>
      <c r="P188" s="1742"/>
      <c r="Q188" s="1742"/>
    </row>
    <row r="189" spans="1:17" s="473" customFormat="1" x14ac:dyDescent="0.2">
      <c r="A189" s="1046"/>
      <c r="D189" s="589" t="s">
        <v>347</v>
      </c>
      <c r="E189" s="1126">
        <f t="shared" ref="E189:N189" si="31">SUM(E184:E188)</f>
        <v>159342.47527029581</v>
      </c>
      <c r="F189" s="863">
        <f t="shared" si="31"/>
        <v>291</v>
      </c>
      <c r="G189" s="863">
        <f t="shared" si="31"/>
        <v>6076.3338349357682</v>
      </c>
      <c r="H189" s="863">
        <f t="shared" si="31"/>
        <v>14645.329775681741</v>
      </c>
      <c r="I189" s="863">
        <f t="shared" si="31"/>
        <v>26427.080576628701</v>
      </c>
      <c r="J189" s="863">
        <f t="shared" si="31"/>
        <v>32153.187291606122</v>
      </c>
      <c r="K189" s="863">
        <f t="shared" si="31"/>
        <v>32988.784982638179</v>
      </c>
      <c r="L189" s="863">
        <f t="shared" si="31"/>
        <v>25231.789041892203</v>
      </c>
      <c r="M189" s="863">
        <f t="shared" si="31"/>
        <v>15039.038240945243</v>
      </c>
      <c r="N189" s="863">
        <f t="shared" si="31"/>
        <v>6489.9315259678233</v>
      </c>
      <c r="O189" s="505"/>
      <c r="P189" s="1742"/>
      <c r="Q189" s="1742"/>
    </row>
    <row r="190" spans="1:17" s="473" customFormat="1" x14ac:dyDescent="0.2">
      <c r="A190" s="1046"/>
      <c r="D190" s="467"/>
      <c r="E190" s="1727"/>
      <c r="F190" s="505">
        <f>SUM(F189:N189)</f>
        <v>159342.47527029578</v>
      </c>
      <c r="G190" s="505" t="s">
        <v>171</v>
      </c>
      <c r="H190" s="505"/>
      <c r="I190" s="505"/>
      <c r="J190" s="505"/>
      <c r="K190" s="505"/>
      <c r="L190" s="505"/>
      <c r="M190" s="505"/>
      <c r="N190" s="505"/>
      <c r="O190" s="505"/>
      <c r="P190" s="1742"/>
      <c r="Q190" s="1742"/>
    </row>
    <row r="191" spans="1:17" x14ac:dyDescent="0.2">
      <c r="A191" s="430"/>
      <c r="B191" s="39"/>
      <c r="C191" s="39"/>
      <c r="D191" s="615"/>
      <c r="E191" s="397"/>
      <c r="F191" s="52"/>
      <c r="G191" s="52"/>
      <c r="H191" s="52"/>
      <c r="I191" s="52"/>
      <c r="J191" s="52"/>
      <c r="K191" s="52"/>
      <c r="L191" s="52"/>
      <c r="M191" s="52"/>
      <c r="N191" s="52"/>
      <c r="O191" s="52"/>
      <c r="P191" s="75"/>
    </row>
    <row r="192" spans="1:17" x14ac:dyDescent="0.2">
      <c r="A192" s="430"/>
      <c r="B192" s="39"/>
      <c r="C192" s="39"/>
      <c r="D192" s="615"/>
      <c r="E192" s="397"/>
      <c r="F192" s="52"/>
      <c r="G192" s="52"/>
      <c r="H192" s="52"/>
      <c r="I192" s="52"/>
      <c r="J192" s="52"/>
      <c r="K192" s="52"/>
      <c r="L192" s="52"/>
      <c r="M192" s="52"/>
      <c r="N192" s="52"/>
      <c r="O192" s="52"/>
      <c r="P192" s="75"/>
    </row>
    <row r="193" spans="1:17" s="473" customFormat="1" x14ac:dyDescent="0.2">
      <c r="A193" s="1046" t="s">
        <v>121</v>
      </c>
      <c r="D193" s="589">
        <v>2008</v>
      </c>
      <c r="E193" s="1727">
        <f>SUM(F193:N193)</f>
        <v>536083.01093643787</v>
      </c>
      <c r="F193" s="505">
        <v>41237</v>
      </c>
      <c r="G193" s="505">
        <v>123711.50273410948</v>
      </c>
      <c r="H193" s="505">
        <v>123711.50273410948</v>
      </c>
      <c r="I193" s="505">
        <v>123711.50273410948</v>
      </c>
      <c r="J193" s="505">
        <v>123711.50273410948</v>
      </c>
      <c r="K193" s="505"/>
      <c r="L193" s="505"/>
      <c r="M193" s="505"/>
      <c r="N193" s="505"/>
      <c r="O193" s="505"/>
      <c r="P193" s="1742"/>
      <c r="Q193" s="1742"/>
    </row>
    <row r="194" spans="1:17" s="473" customFormat="1" x14ac:dyDescent="0.2">
      <c r="A194" s="1046"/>
      <c r="D194" s="589">
        <v>2009</v>
      </c>
      <c r="E194" s="1727">
        <f>SUM(F194:N194)</f>
        <v>1012501.3487471244</v>
      </c>
      <c r="F194" s="505"/>
      <c r="G194" s="505">
        <v>77885</v>
      </c>
      <c r="H194" s="505">
        <v>233654.08718678108</v>
      </c>
      <c r="I194" s="505">
        <v>233654.08718678108</v>
      </c>
      <c r="J194" s="505">
        <v>233654.08718678108</v>
      </c>
      <c r="K194" s="505">
        <v>233654.08718678108</v>
      </c>
      <c r="L194" s="505"/>
      <c r="M194" s="505"/>
      <c r="N194" s="505"/>
      <c r="O194" s="505"/>
      <c r="P194" s="1742"/>
      <c r="Q194" s="1742"/>
    </row>
    <row r="195" spans="1:17" s="473" customFormat="1" x14ac:dyDescent="0.2">
      <c r="A195" s="1046"/>
      <c r="D195" s="589">
        <v>2010</v>
      </c>
      <c r="E195" s="1727">
        <f>SUM(F195:N195)</f>
        <v>0</v>
      </c>
      <c r="F195" s="505"/>
      <c r="G195" s="505"/>
      <c r="H195" s="505">
        <v>0</v>
      </c>
      <c r="I195" s="505">
        <v>0</v>
      </c>
      <c r="J195" s="505">
        <v>0</v>
      </c>
      <c r="K195" s="505">
        <v>0</v>
      </c>
      <c r="L195" s="505">
        <v>0</v>
      </c>
      <c r="M195" s="505"/>
      <c r="N195" s="505"/>
      <c r="O195" s="505"/>
      <c r="P195" s="1742"/>
      <c r="Q195" s="1742"/>
    </row>
    <row r="196" spans="1:17" s="473" customFormat="1" x14ac:dyDescent="0.2">
      <c r="A196" s="1046"/>
      <c r="D196" s="590">
        <v>2011</v>
      </c>
      <c r="E196" s="1727">
        <f>SUM(F196:N196)</f>
        <v>0</v>
      </c>
      <c r="F196" s="505"/>
      <c r="G196" s="505"/>
      <c r="H196" s="505"/>
      <c r="I196" s="505">
        <v>0</v>
      </c>
      <c r="J196" s="505">
        <v>0</v>
      </c>
      <c r="K196" s="505">
        <v>0</v>
      </c>
      <c r="L196" s="505">
        <v>0</v>
      </c>
      <c r="M196" s="505">
        <v>0</v>
      </c>
      <c r="N196" s="505"/>
      <c r="O196" s="505"/>
      <c r="P196" s="1742"/>
      <c r="Q196" s="1742"/>
    </row>
    <row r="197" spans="1:17" s="473" customFormat="1" x14ac:dyDescent="0.2">
      <c r="A197" s="1046"/>
      <c r="D197" s="590">
        <v>2012</v>
      </c>
      <c r="E197" s="1727">
        <f>SUM(F197:N197)</f>
        <v>0</v>
      </c>
      <c r="F197" s="505"/>
      <c r="G197" s="505"/>
      <c r="H197" s="505"/>
      <c r="I197" s="505"/>
      <c r="J197" s="505">
        <v>0</v>
      </c>
      <c r="K197" s="505">
        <v>0</v>
      </c>
      <c r="L197" s="505">
        <v>0</v>
      </c>
      <c r="M197" s="505">
        <v>0</v>
      </c>
      <c r="N197" s="505">
        <v>0</v>
      </c>
      <c r="O197" s="505"/>
      <c r="P197" s="1742"/>
      <c r="Q197" s="1742"/>
    </row>
    <row r="198" spans="1:17" s="473" customFormat="1" x14ac:dyDescent="0.2">
      <c r="A198" s="1046"/>
      <c r="D198" s="589" t="s">
        <v>347</v>
      </c>
      <c r="E198" s="1126">
        <f t="shared" ref="E198:N198" si="32">SUM(E193:E197)</f>
        <v>1548584.3596835623</v>
      </c>
      <c r="F198" s="863">
        <f t="shared" si="32"/>
        <v>41237</v>
      </c>
      <c r="G198" s="863">
        <f t="shared" si="32"/>
        <v>201596.50273410947</v>
      </c>
      <c r="H198" s="863">
        <f t="shared" si="32"/>
        <v>357365.58992089058</v>
      </c>
      <c r="I198" s="863">
        <f t="shared" si="32"/>
        <v>357365.58992089058</v>
      </c>
      <c r="J198" s="863">
        <f t="shared" si="32"/>
        <v>357365.58992089058</v>
      </c>
      <c r="K198" s="863">
        <f t="shared" si="32"/>
        <v>233654.08718678108</v>
      </c>
      <c r="L198" s="863">
        <f t="shared" si="32"/>
        <v>0</v>
      </c>
      <c r="M198" s="863">
        <f t="shared" si="32"/>
        <v>0</v>
      </c>
      <c r="N198" s="863">
        <f t="shared" si="32"/>
        <v>0</v>
      </c>
      <c r="O198" s="505"/>
      <c r="P198" s="1742"/>
      <c r="Q198" s="1742"/>
    </row>
    <row r="199" spans="1:17" s="473" customFormat="1" x14ac:dyDescent="0.2">
      <c r="A199" s="1046"/>
      <c r="D199" s="467"/>
      <c r="E199" s="1727"/>
      <c r="F199" s="505">
        <f>SUM(F198:N198)</f>
        <v>1548584.3596835621</v>
      </c>
      <c r="G199" s="505" t="s">
        <v>171</v>
      </c>
      <c r="H199" s="505"/>
      <c r="I199" s="505"/>
      <c r="J199" s="505"/>
      <c r="K199" s="505"/>
      <c r="L199" s="505"/>
      <c r="M199" s="505"/>
      <c r="N199" s="505"/>
      <c r="O199" s="505"/>
      <c r="P199" s="1742"/>
      <c r="Q199" s="1742"/>
    </row>
    <row r="200" spans="1:17" x14ac:dyDescent="0.2">
      <c r="A200" s="77"/>
    </row>
    <row r="201" spans="1:17" s="1196" customFormat="1" x14ac:dyDescent="0.2">
      <c r="A201" s="1234" t="s">
        <v>478</v>
      </c>
      <c r="D201" s="1728">
        <v>2009</v>
      </c>
      <c r="E201" s="1729">
        <f>SUM(G201:O201)</f>
        <v>10079.380653086249</v>
      </c>
      <c r="F201" s="1197"/>
      <c r="G201" s="1730">
        <v>1282.8302649382499</v>
      </c>
      <c r="H201" s="1197">
        <v>2199.137597037</v>
      </c>
      <c r="I201" s="1197">
        <v>2199.137597037</v>
      </c>
      <c r="J201" s="1197">
        <v>2199.137597037</v>
      </c>
      <c r="K201" s="1197">
        <v>2199.137597037</v>
      </c>
      <c r="L201" s="1197"/>
      <c r="M201" s="1197"/>
      <c r="N201" s="1197"/>
      <c r="O201" s="1197"/>
      <c r="P201" s="1743"/>
      <c r="Q201" s="1743"/>
    </row>
    <row r="202" spans="1:17" s="1196" customFormat="1" x14ac:dyDescent="0.2">
      <c r="A202" s="1234"/>
      <c r="D202" s="1728">
        <v>2010</v>
      </c>
      <c r="E202" s="1729">
        <f>SUM(G202:O202)</f>
        <v>14210.436487986179</v>
      </c>
      <c r="F202" s="1197"/>
      <c r="G202" s="1731"/>
      <c r="H202" s="1197">
        <v>2450.0752565493399</v>
      </c>
      <c r="I202" s="1197">
        <v>2940.09030785921</v>
      </c>
      <c r="J202" s="1197">
        <v>2940.09030785921</v>
      </c>
      <c r="K202" s="1197">
        <v>2940.09030785921</v>
      </c>
      <c r="L202" s="1197">
        <v>2940.09030785921</v>
      </c>
      <c r="M202" s="1197"/>
      <c r="N202" s="1197"/>
      <c r="O202" s="1197"/>
      <c r="P202" s="1743"/>
      <c r="Q202" s="1743"/>
    </row>
    <row r="203" spans="1:17" s="1196" customFormat="1" x14ac:dyDescent="0.2">
      <c r="A203" s="1234"/>
      <c r="D203" s="1732">
        <v>2011</v>
      </c>
      <c r="E203" s="1729">
        <f>SUM(G203:O203)</f>
        <v>10077.544480651221</v>
      </c>
      <c r="F203" s="1197"/>
      <c r="G203" s="1731"/>
      <c r="H203" s="1197"/>
      <c r="I203" s="1197">
        <v>1282.5965702646999</v>
      </c>
      <c r="J203" s="1197">
        <v>2198.7369775966299</v>
      </c>
      <c r="K203" s="1197">
        <v>2198.7369775966299</v>
      </c>
      <c r="L203" s="1197">
        <v>2198.7369775966299</v>
      </c>
      <c r="M203" s="1197">
        <v>2198.7369775966299</v>
      </c>
      <c r="N203" s="1197"/>
      <c r="O203" s="1197"/>
      <c r="P203" s="1743"/>
      <c r="Q203" s="1743"/>
    </row>
    <row r="204" spans="1:17" s="1196" customFormat="1" x14ac:dyDescent="0.2">
      <c r="A204" s="1234"/>
      <c r="D204" s="1732">
        <v>2012</v>
      </c>
      <c r="E204" s="1729">
        <f>SUM(G204:O204)</f>
        <v>18507.167050226119</v>
      </c>
      <c r="F204" s="1197"/>
      <c r="G204" s="1731"/>
      <c r="H204" s="1197"/>
      <c r="I204" s="1197"/>
      <c r="J204" s="1197">
        <v>3190.89087072864</v>
      </c>
      <c r="K204" s="1197">
        <v>3829.0690448743699</v>
      </c>
      <c r="L204" s="1197">
        <v>3829.0690448743699</v>
      </c>
      <c r="M204" s="1197">
        <v>3829.0690448743699</v>
      </c>
      <c r="N204" s="1197">
        <v>3829.0690448743699</v>
      </c>
      <c r="O204" s="1197"/>
      <c r="P204" s="1743"/>
      <c r="Q204" s="1743"/>
    </row>
    <row r="205" spans="1:17" s="1196" customFormat="1" x14ac:dyDescent="0.2">
      <c r="A205" s="1234"/>
      <c r="D205" s="1732">
        <v>2013</v>
      </c>
      <c r="E205" s="1729">
        <f>SUM(G205:O205)</f>
        <v>13472.625653965732</v>
      </c>
      <c r="F205" s="1197"/>
      <c r="G205" s="1731"/>
      <c r="H205" s="1197"/>
      <c r="I205" s="1197"/>
      <c r="J205" s="1197"/>
      <c r="K205" s="1197">
        <v>1714.6978105047299</v>
      </c>
      <c r="L205" s="1197">
        <v>2939.4819608652501</v>
      </c>
      <c r="M205" s="1197">
        <v>2939.4819608652501</v>
      </c>
      <c r="N205" s="1197">
        <v>2939.4819608652501</v>
      </c>
      <c r="O205" s="1197">
        <v>2939.4819608652501</v>
      </c>
      <c r="P205" s="1743"/>
      <c r="Q205" s="1743"/>
    </row>
    <row r="206" spans="1:17" s="1196" customFormat="1" x14ac:dyDescent="0.2">
      <c r="A206" s="1234"/>
      <c r="D206" s="1728" t="s">
        <v>347</v>
      </c>
      <c r="E206" s="1733">
        <f t="shared" ref="E206:O206" si="33">SUM(E201:E205)</f>
        <v>66347.154325915501</v>
      </c>
      <c r="F206" s="1233"/>
      <c r="G206" s="1233">
        <f t="shared" si="33"/>
        <v>1282.8302649382499</v>
      </c>
      <c r="H206" s="1233">
        <f t="shared" si="33"/>
        <v>4649.2128535863394</v>
      </c>
      <c r="I206" s="1233">
        <f t="shared" si="33"/>
        <v>6421.82447516091</v>
      </c>
      <c r="J206" s="1233">
        <f t="shared" si="33"/>
        <v>10528.85575322148</v>
      </c>
      <c r="K206" s="1233">
        <f t="shared" si="33"/>
        <v>12881.73173787194</v>
      </c>
      <c r="L206" s="1233">
        <f t="shared" si="33"/>
        <v>11907.37829119546</v>
      </c>
      <c r="M206" s="1233">
        <f t="shared" si="33"/>
        <v>8967.2879833362495</v>
      </c>
      <c r="N206" s="1233">
        <f t="shared" si="33"/>
        <v>6768.5510057396205</v>
      </c>
      <c r="O206" s="1233">
        <f t="shared" si="33"/>
        <v>2939.4819608652501</v>
      </c>
      <c r="P206" s="1743"/>
      <c r="Q206" s="1743"/>
    </row>
    <row r="207" spans="1:17" s="1196" customFormat="1" x14ac:dyDescent="0.2">
      <c r="A207" s="1234"/>
      <c r="D207" s="1728"/>
      <c r="E207" s="1733"/>
      <c r="F207" s="1233">
        <f>SUM(G206:O206)</f>
        <v>66347.154325915501</v>
      </c>
      <c r="G207" s="1197" t="s">
        <v>171</v>
      </c>
      <c r="H207" s="1233"/>
      <c r="I207" s="1233"/>
      <c r="J207" s="1233"/>
      <c r="K207" s="1233"/>
      <c r="L207" s="1233"/>
      <c r="M207" s="1233"/>
      <c r="N207" s="1233"/>
      <c r="O207" s="1233"/>
      <c r="P207" s="1743"/>
      <c r="Q207" s="1743"/>
    </row>
    <row r="208" spans="1:17" s="39" customFormat="1" x14ac:dyDescent="0.2">
      <c r="A208" s="430"/>
      <c r="D208" s="312"/>
      <c r="E208" s="1666"/>
      <c r="F208" s="621"/>
      <c r="G208" s="52"/>
      <c r="H208" s="621"/>
      <c r="I208" s="621"/>
      <c r="J208" s="621"/>
      <c r="K208" s="621"/>
      <c r="L208" s="621"/>
      <c r="M208" s="621"/>
      <c r="N208" s="621"/>
      <c r="O208" s="621"/>
      <c r="P208" s="75"/>
      <c r="Q208" s="75"/>
    </row>
    <row r="209" spans="1:17" s="1196" customFormat="1" x14ac:dyDescent="0.2">
      <c r="A209" s="1234" t="s">
        <v>526</v>
      </c>
      <c r="D209" s="1728">
        <v>2009</v>
      </c>
      <c r="E209" s="2177">
        <f>SUM(G209:O209)</f>
        <v>179172.24484958503</v>
      </c>
      <c r="F209" s="1233"/>
      <c r="G209" s="1197">
        <v>13782.480373045</v>
      </c>
      <c r="H209" s="1734">
        <v>41347.441119135001</v>
      </c>
      <c r="I209" s="1734">
        <v>41347.441119135001</v>
      </c>
      <c r="J209" s="1734">
        <v>41347.441119135001</v>
      </c>
      <c r="K209" s="1734">
        <v>41347.441119135001</v>
      </c>
      <c r="L209" s="1233"/>
      <c r="M209" s="1233"/>
      <c r="N209" s="1233"/>
      <c r="O209" s="1233"/>
      <c r="P209" s="1743"/>
      <c r="Q209" s="1743"/>
    </row>
    <row r="210" spans="1:17" s="1196" customFormat="1" x14ac:dyDescent="0.2">
      <c r="A210" s="1234"/>
      <c r="D210" s="1728">
        <v>2010</v>
      </c>
      <c r="E210" s="2177">
        <f>SUM(G210:O210)</f>
        <v>0</v>
      </c>
      <c r="F210" s="1233"/>
      <c r="G210" s="1197"/>
      <c r="H210" s="1233"/>
      <c r="I210" s="1233"/>
      <c r="J210" s="1233"/>
      <c r="K210" s="1233"/>
      <c r="L210" s="1233"/>
      <c r="M210" s="1233"/>
      <c r="N210" s="1233"/>
      <c r="O210" s="1233"/>
      <c r="P210" s="1743"/>
      <c r="Q210" s="1743"/>
    </row>
    <row r="211" spans="1:17" s="1196" customFormat="1" x14ac:dyDescent="0.2">
      <c r="A211" s="1234"/>
      <c r="D211" s="1732">
        <v>2011</v>
      </c>
      <c r="E211" s="2177">
        <f>SUM(G211:O211)</f>
        <v>0</v>
      </c>
      <c r="F211" s="1233"/>
      <c r="G211" s="1197"/>
      <c r="H211" s="1233"/>
      <c r="I211" s="1233"/>
      <c r="J211" s="1233"/>
      <c r="K211" s="1233"/>
      <c r="L211" s="1233"/>
      <c r="M211" s="1233"/>
      <c r="N211" s="1233"/>
      <c r="O211" s="1233"/>
      <c r="P211" s="1743"/>
      <c r="Q211" s="1743"/>
    </row>
    <row r="212" spans="1:17" s="1196" customFormat="1" x14ac:dyDescent="0.2">
      <c r="A212" s="1234"/>
      <c r="D212" s="1732">
        <v>2012</v>
      </c>
      <c r="E212" s="2177">
        <f>SUM(G212:O212)</f>
        <v>0</v>
      </c>
      <c r="F212" s="1233"/>
      <c r="G212" s="1197"/>
      <c r="H212" s="1233"/>
      <c r="I212" s="1233"/>
      <c r="J212" s="1233"/>
      <c r="K212" s="1233"/>
      <c r="L212" s="1233"/>
      <c r="M212" s="1233"/>
      <c r="N212" s="1233"/>
      <c r="O212" s="1233"/>
      <c r="P212" s="1743"/>
      <c r="Q212" s="1743"/>
    </row>
    <row r="213" spans="1:17" s="1196" customFormat="1" x14ac:dyDescent="0.2">
      <c r="A213" s="1234"/>
      <c r="D213" s="1732">
        <v>2013</v>
      </c>
      <c r="E213" s="2177">
        <f>SUM(G213:O213)</f>
        <v>0</v>
      </c>
      <c r="F213" s="1233"/>
      <c r="G213" s="1197"/>
      <c r="H213" s="1233"/>
      <c r="I213" s="1233"/>
      <c r="J213" s="1233"/>
      <c r="K213" s="1233"/>
      <c r="L213" s="1233"/>
      <c r="M213" s="1233"/>
      <c r="N213" s="1233"/>
      <c r="O213" s="1233"/>
      <c r="P213" s="1743"/>
      <c r="Q213" s="1743"/>
    </row>
    <row r="214" spans="1:17" s="1196" customFormat="1" x14ac:dyDescent="0.2">
      <c r="A214" s="1234"/>
      <c r="D214" s="1728" t="s">
        <v>347</v>
      </c>
      <c r="E214" s="1733">
        <f t="shared" ref="E214:N214" si="34">SUM(E209:E213)</f>
        <v>179172.24484958503</v>
      </c>
      <c r="F214" s="1233"/>
      <c r="G214" s="1197">
        <f t="shared" si="34"/>
        <v>13782.480373045</v>
      </c>
      <c r="H214" s="1233">
        <f t="shared" si="34"/>
        <v>41347.441119135001</v>
      </c>
      <c r="I214" s="1233">
        <f t="shared" si="34"/>
        <v>41347.441119135001</v>
      </c>
      <c r="J214" s="1233">
        <f t="shared" si="34"/>
        <v>41347.441119135001</v>
      </c>
      <c r="K214" s="1233">
        <f t="shared" si="34"/>
        <v>41347.441119135001</v>
      </c>
      <c r="L214" s="1233">
        <f t="shared" si="34"/>
        <v>0</v>
      </c>
      <c r="M214" s="1233">
        <f t="shared" si="34"/>
        <v>0</v>
      </c>
      <c r="N214" s="1233">
        <f t="shared" si="34"/>
        <v>0</v>
      </c>
      <c r="O214" s="1233"/>
      <c r="P214" s="1743"/>
      <c r="Q214" s="1743"/>
    </row>
    <row r="215" spans="1:17" s="1196" customFormat="1" x14ac:dyDescent="0.2">
      <c r="A215" s="1234"/>
      <c r="D215" s="1728"/>
      <c r="E215" s="1733"/>
      <c r="F215" s="1233">
        <f>SUM(G214:N214)</f>
        <v>179172.24484958503</v>
      </c>
      <c r="G215" s="1609" t="s">
        <v>70</v>
      </c>
      <c r="H215" s="1735"/>
      <c r="I215" s="1735"/>
      <c r="J215" s="1735"/>
      <c r="K215" s="1735"/>
      <c r="L215" s="1735"/>
      <c r="M215" s="1735"/>
      <c r="N215" s="1735"/>
      <c r="O215" s="1735"/>
      <c r="P215" s="1743"/>
      <c r="Q215" s="1743"/>
    </row>
    <row r="216" spans="1:17" x14ac:dyDescent="0.2">
      <c r="A216" s="430"/>
      <c r="B216" s="39"/>
      <c r="C216" s="39"/>
      <c r="D216" s="312"/>
      <c r="E216" s="1666"/>
      <c r="F216" s="621"/>
      <c r="G216" s="52"/>
      <c r="H216" s="621"/>
      <c r="I216" s="621"/>
      <c r="J216" s="621"/>
      <c r="K216" s="621"/>
      <c r="L216" s="621"/>
      <c r="M216" s="621"/>
      <c r="N216" s="621"/>
      <c r="O216" s="621"/>
      <c r="P216" s="75"/>
    </row>
    <row r="217" spans="1:17" x14ac:dyDescent="0.2">
      <c r="A217" s="430"/>
      <c r="B217" s="39"/>
      <c r="C217" s="39"/>
      <c r="D217" s="312"/>
      <c r="E217" s="1666"/>
      <c r="F217" s="621"/>
      <c r="G217" s="52"/>
      <c r="H217" s="621"/>
      <c r="I217" s="621"/>
      <c r="J217" s="621"/>
      <c r="K217" s="621"/>
      <c r="L217" s="621"/>
      <c r="M217" s="621"/>
      <c r="N217" s="621"/>
      <c r="O217" s="621"/>
      <c r="P217" s="75"/>
    </row>
    <row r="218" spans="1:17" s="1196" customFormat="1" x14ac:dyDescent="0.2">
      <c r="A218" s="1234" t="s">
        <v>607</v>
      </c>
      <c r="D218" s="1728">
        <v>2009</v>
      </c>
      <c r="E218" s="2177">
        <f>SUM(G218:O218)</f>
        <v>0</v>
      </c>
      <c r="F218" s="1233"/>
      <c r="G218" s="1197">
        <v>0</v>
      </c>
      <c r="H218" s="1233">
        <v>0</v>
      </c>
      <c r="I218" s="1233">
        <v>0</v>
      </c>
      <c r="J218" s="1233">
        <v>0</v>
      </c>
      <c r="K218" s="1233">
        <v>0</v>
      </c>
      <c r="L218" s="1233"/>
      <c r="M218" s="1233"/>
      <c r="N218" s="1233"/>
      <c r="O218" s="1233"/>
      <c r="P218" s="1743"/>
      <c r="Q218" s="1743"/>
    </row>
    <row r="219" spans="1:17" s="1196" customFormat="1" x14ac:dyDescent="0.2">
      <c r="A219" s="1234"/>
      <c r="D219" s="1728">
        <v>2010</v>
      </c>
      <c r="E219" s="2177">
        <f>SUM(G219:O219)</f>
        <v>47731.539327952611</v>
      </c>
      <c r="F219" s="1233"/>
      <c r="G219" s="1197"/>
      <c r="H219" s="1233">
        <v>3672</v>
      </c>
      <c r="I219" s="1233">
        <v>11014.884831988153</v>
      </c>
      <c r="J219" s="1233">
        <v>11014.884831988153</v>
      </c>
      <c r="K219" s="1233">
        <v>11014.884831988153</v>
      </c>
      <c r="L219" s="1233">
        <v>11014.884831988153</v>
      </c>
      <c r="M219" s="1233"/>
      <c r="N219" s="1233"/>
      <c r="O219" s="1233"/>
      <c r="P219" s="1743"/>
      <c r="Q219" s="1743"/>
    </row>
    <row r="220" spans="1:17" s="1196" customFormat="1" x14ac:dyDescent="0.2">
      <c r="A220" s="1234"/>
      <c r="D220" s="1728">
        <v>2011</v>
      </c>
      <c r="E220" s="2177">
        <f>SUM(G220:O220)</f>
        <v>59144.523063322951</v>
      </c>
      <c r="F220" s="1233"/>
      <c r="G220" s="1197"/>
      <c r="H220" s="1233"/>
      <c r="I220" s="1233">
        <v>4550</v>
      </c>
      <c r="J220" s="1233">
        <v>13648.630765830738</v>
      </c>
      <c r="K220" s="1233">
        <v>13648.630765830738</v>
      </c>
      <c r="L220" s="1233">
        <v>13648.630765830738</v>
      </c>
      <c r="M220" s="1233">
        <v>13648.630765830738</v>
      </c>
      <c r="N220" s="1233"/>
      <c r="O220" s="1233"/>
      <c r="P220" s="1743"/>
      <c r="Q220" s="1743"/>
    </row>
    <row r="221" spans="1:17" s="1196" customFormat="1" x14ac:dyDescent="0.2">
      <c r="A221" s="1234"/>
      <c r="D221" s="1728">
        <v>2012</v>
      </c>
      <c r="E221" s="2177">
        <f>SUM(G221:O221)</f>
        <v>45429.581404804652</v>
      </c>
      <c r="F221" s="1233"/>
      <c r="G221" s="1197"/>
      <c r="H221" s="1233"/>
      <c r="I221" s="1233"/>
      <c r="J221" s="1233">
        <v>3495</v>
      </c>
      <c r="K221" s="1233">
        <v>10483.645351201163</v>
      </c>
      <c r="L221" s="1233">
        <v>10483.645351201163</v>
      </c>
      <c r="M221" s="1233">
        <v>10483.645351201163</v>
      </c>
      <c r="N221" s="1233">
        <v>10483.645351201163</v>
      </c>
      <c r="O221" s="1233"/>
      <c r="P221" s="1743"/>
      <c r="Q221" s="1743"/>
    </row>
    <row r="222" spans="1:17" s="1196" customFormat="1" x14ac:dyDescent="0.2">
      <c r="A222" s="1234"/>
      <c r="D222" s="1728">
        <v>2013</v>
      </c>
      <c r="E222" s="2177">
        <f>SUM(G222:O222)</f>
        <v>56766.836062801769</v>
      </c>
      <c r="F222" s="1233"/>
      <c r="G222" s="1197"/>
      <c r="H222" s="1233"/>
      <c r="I222" s="1233"/>
      <c r="J222" s="1233"/>
      <c r="K222" s="1233">
        <v>4367</v>
      </c>
      <c r="L222" s="1233">
        <v>13099.95901570044</v>
      </c>
      <c r="M222" s="1233">
        <v>13099.95901570044</v>
      </c>
      <c r="N222" s="1233">
        <v>13099.95901570044</v>
      </c>
      <c r="O222" s="1233">
        <v>13099.95901570044</v>
      </c>
      <c r="P222" s="1743"/>
      <c r="Q222" s="1743"/>
    </row>
    <row r="223" spans="1:17" s="1196" customFormat="1" x14ac:dyDescent="0.2">
      <c r="A223" s="1234"/>
      <c r="D223" s="1728" t="s">
        <v>347</v>
      </c>
      <c r="E223" s="1733">
        <f t="shared" ref="E223:O223" si="35">SUM(E218:E222)</f>
        <v>209072.479858882</v>
      </c>
      <c r="F223" s="1233"/>
      <c r="G223" s="1197">
        <f t="shared" si="35"/>
        <v>0</v>
      </c>
      <c r="H223" s="1197">
        <f t="shared" si="35"/>
        <v>3672</v>
      </c>
      <c r="I223" s="1197">
        <f t="shared" si="35"/>
        <v>15564.884831988153</v>
      </c>
      <c r="J223" s="1197">
        <f t="shared" si="35"/>
        <v>28158.515597818892</v>
      </c>
      <c r="K223" s="1197">
        <f t="shared" si="35"/>
        <v>39514.160949020057</v>
      </c>
      <c r="L223" s="1197">
        <f t="shared" si="35"/>
        <v>48247.119964720499</v>
      </c>
      <c r="M223" s="1197">
        <f t="shared" si="35"/>
        <v>37232.235132732341</v>
      </c>
      <c r="N223" s="1197">
        <f t="shared" si="35"/>
        <v>23583.604366901603</v>
      </c>
      <c r="O223" s="1197">
        <f t="shared" si="35"/>
        <v>13099.95901570044</v>
      </c>
      <c r="P223" s="1743"/>
      <c r="Q223" s="1743"/>
    </row>
    <row r="224" spans="1:17" x14ac:dyDescent="0.2">
      <c r="A224" s="430"/>
      <c r="B224" s="39"/>
      <c r="C224" s="39"/>
      <c r="D224" s="312"/>
      <c r="E224" s="1666"/>
      <c r="F224" s="621">
        <f>SUM(G223:O223)</f>
        <v>209072.47985888197</v>
      </c>
      <c r="G224" s="52" t="s">
        <v>171</v>
      </c>
      <c r="H224" s="621"/>
      <c r="I224" s="621"/>
      <c r="J224" s="621"/>
      <c r="K224" s="621"/>
      <c r="L224" s="621"/>
      <c r="M224" s="621"/>
      <c r="N224" s="621"/>
      <c r="O224" s="621"/>
      <c r="P224" s="75"/>
    </row>
    <row r="225" spans="1:17" x14ac:dyDescent="0.2">
      <c r="A225" s="430"/>
      <c r="B225" s="39"/>
      <c r="C225" s="39"/>
      <c r="D225" s="312"/>
      <c r="E225" s="1666"/>
      <c r="F225" s="621"/>
      <c r="G225" s="52"/>
      <c r="H225" s="621"/>
      <c r="I225" s="621"/>
      <c r="J225" s="621"/>
      <c r="K225" s="621"/>
      <c r="L225" s="621"/>
      <c r="M225" s="621"/>
      <c r="N225" s="621"/>
      <c r="O225" s="621"/>
      <c r="P225" s="75"/>
    </row>
    <row r="226" spans="1:17" s="1196" customFormat="1" x14ac:dyDescent="0.2">
      <c r="A226" s="1234" t="s">
        <v>566</v>
      </c>
      <c r="D226" s="1728">
        <v>2009</v>
      </c>
      <c r="E226" s="2177">
        <f>SUM(G226:O226)</f>
        <v>162569</v>
      </c>
      <c r="F226" s="1233"/>
      <c r="G226" s="1197">
        <v>12505</v>
      </c>
      <c r="H226" s="1734">
        <v>37516</v>
      </c>
      <c r="I226" s="1734">
        <f>H226</f>
        <v>37516</v>
      </c>
      <c r="J226" s="1734">
        <f>I226</f>
        <v>37516</v>
      </c>
      <c r="K226" s="1734">
        <f>J226</f>
        <v>37516</v>
      </c>
      <c r="L226" s="1233"/>
      <c r="M226" s="1233"/>
      <c r="N226" s="1233"/>
      <c r="O226" s="1233"/>
      <c r="P226" s="1743"/>
      <c r="Q226" s="1743"/>
    </row>
    <row r="227" spans="1:17" s="1196" customFormat="1" x14ac:dyDescent="0.2">
      <c r="A227" s="1234"/>
      <c r="D227" s="1728">
        <v>2010</v>
      </c>
      <c r="E227" s="2177">
        <f>SUM(G227:O227)</f>
        <v>153918</v>
      </c>
      <c r="F227" s="1233"/>
      <c r="G227" s="1197"/>
      <c r="H227" s="1734">
        <v>19590</v>
      </c>
      <c r="I227" s="1734">
        <v>33582</v>
      </c>
      <c r="J227" s="1734">
        <f>I227</f>
        <v>33582</v>
      </c>
      <c r="K227" s="1734">
        <f>J227</f>
        <v>33582</v>
      </c>
      <c r="L227" s="1734">
        <f>K227</f>
        <v>33582</v>
      </c>
      <c r="M227" s="1734"/>
      <c r="N227" s="1734"/>
      <c r="O227" s="1233"/>
      <c r="P227" s="1743"/>
      <c r="Q227" s="1743"/>
    </row>
    <row r="228" spans="1:17" s="1196" customFormat="1" x14ac:dyDescent="0.2">
      <c r="A228" s="1234"/>
      <c r="D228" s="1732">
        <v>2011</v>
      </c>
      <c r="E228" s="2177">
        <f>SUM(G228:O228)</f>
        <v>20057</v>
      </c>
      <c r="F228" s="1233"/>
      <c r="G228" s="1197"/>
      <c r="H228" s="1734"/>
      <c r="I228" s="1734">
        <v>2553</v>
      </c>
      <c r="J228" s="1734">
        <v>4376</v>
      </c>
      <c r="K228" s="1734">
        <f>J228</f>
        <v>4376</v>
      </c>
      <c r="L228" s="1734">
        <f>K228</f>
        <v>4376</v>
      </c>
      <c r="M228" s="1734">
        <f>L228</f>
        <v>4376</v>
      </c>
      <c r="N228" s="1734"/>
      <c r="O228" s="1233"/>
      <c r="P228" s="1743"/>
      <c r="Q228" s="1743"/>
    </row>
    <row r="229" spans="1:17" s="1196" customFormat="1" x14ac:dyDescent="0.2">
      <c r="A229" s="1234"/>
      <c r="D229" s="1732">
        <v>2012</v>
      </c>
      <c r="E229" s="2177">
        <f>SUM(G229:O229)</f>
        <v>0</v>
      </c>
      <c r="F229" s="1233"/>
      <c r="G229" s="1197"/>
      <c r="H229" s="1734"/>
      <c r="I229" s="1734"/>
      <c r="J229" s="1734">
        <v>0</v>
      </c>
      <c r="K229" s="1734">
        <v>0</v>
      </c>
      <c r="L229" s="1734">
        <v>0</v>
      </c>
      <c r="M229" s="1734">
        <v>0</v>
      </c>
      <c r="N229" s="1734">
        <v>0</v>
      </c>
      <c r="O229" s="1233"/>
      <c r="P229" s="1743"/>
      <c r="Q229" s="1743"/>
    </row>
    <row r="230" spans="1:17" s="1196" customFormat="1" x14ac:dyDescent="0.2">
      <c r="A230" s="1234"/>
      <c r="D230" s="1732">
        <v>2013</v>
      </c>
      <c r="E230" s="2177">
        <f>SUM(G230:O230)</f>
        <v>0</v>
      </c>
      <c r="F230" s="1233"/>
      <c r="G230" s="1197"/>
      <c r="H230" s="1734"/>
      <c r="I230" s="1734"/>
      <c r="J230" s="1734"/>
      <c r="K230" s="1734">
        <v>0</v>
      </c>
      <c r="L230" s="1734">
        <v>0</v>
      </c>
      <c r="M230" s="1734">
        <v>0</v>
      </c>
      <c r="N230" s="1734">
        <v>0</v>
      </c>
      <c r="O230" s="1233">
        <v>0</v>
      </c>
      <c r="P230" s="1743"/>
      <c r="Q230" s="1743"/>
    </row>
    <row r="231" spans="1:17" s="1196" customFormat="1" x14ac:dyDescent="0.2">
      <c r="A231" s="1234"/>
      <c r="D231" s="1728" t="s">
        <v>347</v>
      </c>
      <c r="E231" s="1733">
        <f t="shared" ref="E231:N231" si="36">SUM(E226:E230)</f>
        <v>336544</v>
      </c>
      <c r="F231" s="1233"/>
      <c r="G231" s="1197">
        <f t="shared" si="36"/>
        <v>12505</v>
      </c>
      <c r="H231" s="1233">
        <f t="shared" si="36"/>
        <v>57106</v>
      </c>
      <c r="I231" s="1233">
        <f t="shared" si="36"/>
        <v>73651</v>
      </c>
      <c r="J231" s="1233">
        <f t="shared" si="36"/>
        <v>75474</v>
      </c>
      <c r="K231" s="1233">
        <f t="shared" si="36"/>
        <v>75474</v>
      </c>
      <c r="L231" s="1233">
        <f t="shared" si="36"/>
        <v>37958</v>
      </c>
      <c r="M231" s="1233">
        <f t="shared" si="36"/>
        <v>4376</v>
      </c>
      <c r="N231" s="1233">
        <f t="shared" si="36"/>
        <v>0</v>
      </c>
      <c r="O231" s="1233"/>
      <c r="P231" s="1743"/>
      <c r="Q231" s="1743"/>
    </row>
    <row r="232" spans="1:17" s="1196" customFormat="1" ht="12.75" customHeight="1" x14ac:dyDescent="0.2">
      <c r="A232" s="1234"/>
      <c r="D232" s="1728"/>
      <c r="E232" s="1733"/>
      <c r="F232" s="1233">
        <f>SUM(G231:O231)</f>
        <v>336544</v>
      </c>
      <c r="G232" s="1197" t="s">
        <v>171</v>
      </c>
      <c r="H232" s="1233"/>
      <c r="I232" s="1233"/>
      <c r="J232" s="1233"/>
      <c r="K232" s="1233"/>
      <c r="L232" s="1233"/>
      <c r="M232" s="1233"/>
      <c r="N232" s="1233"/>
      <c r="O232" s="1233"/>
      <c r="P232" s="1743"/>
      <c r="Q232" s="1743"/>
    </row>
    <row r="233" spans="1:17" ht="12.75" customHeight="1" x14ac:dyDescent="0.2">
      <c r="A233" s="430"/>
      <c r="B233" s="39"/>
      <c r="C233" s="39"/>
      <c r="D233" s="312"/>
      <c r="E233" s="1666"/>
      <c r="F233" s="621"/>
      <c r="G233" s="52"/>
      <c r="H233" s="621"/>
      <c r="I233" s="621"/>
      <c r="J233" s="621"/>
      <c r="K233" s="621"/>
      <c r="L233" s="621"/>
      <c r="M233" s="621"/>
      <c r="N233" s="621"/>
      <c r="O233" s="621"/>
      <c r="P233" s="75"/>
    </row>
    <row r="234" spans="1:17" s="1196" customFormat="1" x14ac:dyDescent="0.2">
      <c r="A234" s="1234" t="s">
        <v>385</v>
      </c>
      <c r="D234" s="1728">
        <v>2009</v>
      </c>
      <c r="E234" s="2177">
        <f>SUM(F234:O234)</f>
        <v>44223.197814973842</v>
      </c>
      <c r="F234" s="1197"/>
      <c r="G234" s="1197">
        <v>5628</v>
      </c>
      <c r="H234" s="1197">
        <v>9648.7994537434606</v>
      </c>
      <c r="I234" s="1197">
        <v>9648.7994537434606</v>
      </c>
      <c r="J234" s="1197">
        <v>9648.7994537434606</v>
      </c>
      <c r="K234" s="1197">
        <v>9648.7994537434606</v>
      </c>
      <c r="L234" s="1197"/>
      <c r="M234" s="1197"/>
      <c r="N234" s="1197"/>
      <c r="O234" s="1197"/>
      <c r="P234" s="1743"/>
      <c r="Q234" s="1743"/>
    </row>
    <row r="235" spans="1:17" s="1196" customFormat="1" x14ac:dyDescent="0.2">
      <c r="D235" s="1728">
        <v>2010</v>
      </c>
      <c r="E235" s="2177">
        <f>SUM(F235:O235)</f>
        <v>66668.545522290922</v>
      </c>
      <c r="F235" s="1197"/>
      <c r="G235" s="1197"/>
      <c r="H235" s="1197">
        <v>11495</v>
      </c>
      <c r="I235" s="1197">
        <v>13793.386380572731</v>
      </c>
      <c r="J235" s="1197">
        <v>13793.386380572731</v>
      </c>
      <c r="K235" s="1197">
        <v>13793.386380572731</v>
      </c>
      <c r="L235" s="1197">
        <v>13793.386380572731</v>
      </c>
      <c r="M235" s="1197"/>
      <c r="N235" s="1197"/>
      <c r="O235" s="1197"/>
      <c r="P235" s="1743"/>
      <c r="Q235" s="1743"/>
    </row>
    <row r="236" spans="1:17" s="1196" customFormat="1" x14ac:dyDescent="0.2">
      <c r="D236" s="1732">
        <v>2011</v>
      </c>
      <c r="E236" s="2177">
        <f>SUM(F236:O236)</f>
        <v>41798.586897445697</v>
      </c>
      <c r="F236" s="1197"/>
      <c r="G236" s="1197"/>
      <c r="H236" s="1197"/>
      <c r="I236" s="1197">
        <v>7207</v>
      </c>
      <c r="J236" s="1197">
        <v>8647.8967243614243</v>
      </c>
      <c r="K236" s="1197">
        <v>8647.8967243614243</v>
      </c>
      <c r="L236" s="1197">
        <v>8647.8967243614243</v>
      </c>
      <c r="M236" s="1197">
        <v>8647.8967243614243</v>
      </c>
      <c r="N236" s="1197"/>
      <c r="O236" s="1197"/>
      <c r="P236" s="1743"/>
      <c r="Q236" s="1743"/>
    </row>
    <row r="237" spans="1:17" s="1196" customFormat="1" x14ac:dyDescent="0.2">
      <c r="D237" s="1732">
        <v>2012</v>
      </c>
      <c r="E237" s="2177">
        <f>SUM(F237:O237)</f>
        <v>36218.739434401141</v>
      </c>
      <c r="F237" s="1197"/>
      <c r="G237" s="1197"/>
      <c r="H237" s="1197"/>
      <c r="I237" s="1197"/>
      <c r="J237" s="1197">
        <v>6245</v>
      </c>
      <c r="K237" s="1197">
        <v>7493.4348586002861</v>
      </c>
      <c r="L237" s="1197">
        <v>7493.4348586002861</v>
      </c>
      <c r="M237" s="1197">
        <v>7493.4348586002861</v>
      </c>
      <c r="N237" s="1197">
        <v>7493.4348586002861</v>
      </c>
      <c r="O237" s="1197"/>
      <c r="P237" s="1743"/>
      <c r="Q237" s="1743"/>
    </row>
    <row r="238" spans="1:17" s="1196" customFormat="1" x14ac:dyDescent="0.2">
      <c r="D238" s="1732">
        <v>2013</v>
      </c>
      <c r="E238" s="2177">
        <f>SUM(F238:O238)</f>
        <v>32492.69650553308</v>
      </c>
      <c r="F238" s="1197"/>
      <c r="G238" s="1197"/>
      <c r="H238" s="1197"/>
      <c r="I238" s="1197"/>
      <c r="J238" s="1197"/>
      <c r="K238" s="1197">
        <v>5602</v>
      </c>
      <c r="L238" s="1197">
        <v>6722.674126383271</v>
      </c>
      <c r="M238" s="1197">
        <v>6722.674126383271</v>
      </c>
      <c r="N238" s="1197">
        <v>6722.674126383271</v>
      </c>
      <c r="O238" s="1197">
        <v>6722.674126383271</v>
      </c>
      <c r="P238" s="1743"/>
      <c r="Q238" s="1743"/>
    </row>
    <row r="239" spans="1:17" s="1196" customFormat="1" x14ac:dyDescent="0.2">
      <c r="D239" s="1728" t="s">
        <v>347</v>
      </c>
      <c r="E239" s="1733">
        <f t="shared" ref="E239:O239" si="37">SUM(E234:E238)</f>
        <v>221401.7661746447</v>
      </c>
      <c r="F239" s="1233"/>
      <c r="G239" s="1233">
        <f t="shared" si="37"/>
        <v>5628</v>
      </c>
      <c r="H239" s="1233">
        <f t="shared" si="37"/>
        <v>21143.799453743461</v>
      </c>
      <c r="I239" s="1233">
        <f t="shared" si="37"/>
        <v>30649.185834316191</v>
      </c>
      <c r="J239" s="1233">
        <f t="shared" si="37"/>
        <v>38335.082558677619</v>
      </c>
      <c r="K239" s="1233">
        <f t="shared" si="37"/>
        <v>45185.517417277901</v>
      </c>
      <c r="L239" s="1233">
        <f t="shared" si="37"/>
        <v>36657.39208991771</v>
      </c>
      <c r="M239" s="1233">
        <f t="shared" si="37"/>
        <v>22864.00570934498</v>
      </c>
      <c r="N239" s="1233">
        <f t="shared" si="37"/>
        <v>14216.108984983557</v>
      </c>
      <c r="O239" s="1233">
        <f t="shared" si="37"/>
        <v>6722.674126383271</v>
      </c>
      <c r="P239" s="1743"/>
      <c r="Q239" s="1743"/>
    </row>
    <row r="240" spans="1:17" s="1196" customFormat="1" x14ac:dyDescent="0.2">
      <c r="D240" s="1728"/>
      <c r="E240" s="1733"/>
      <c r="F240" s="1233">
        <f>SUM(G239:O239)</f>
        <v>221401.7661746447</v>
      </c>
      <c r="G240" s="1197" t="s">
        <v>171</v>
      </c>
      <c r="H240" s="1233"/>
      <c r="I240" s="1233"/>
      <c r="J240" s="1233"/>
      <c r="K240" s="1233"/>
      <c r="L240" s="1233"/>
      <c r="M240" s="1233"/>
      <c r="N240" s="1233"/>
      <c r="O240" s="1233"/>
      <c r="P240" s="1743"/>
      <c r="Q240" s="1743"/>
    </row>
    <row r="241" spans="1:17" x14ac:dyDescent="0.2">
      <c r="A241" s="39"/>
      <c r="B241" s="39"/>
      <c r="C241" s="39"/>
      <c r="D241" s="312"/>
      <c r="E241" s="1666"/>
      <c r="F241" s="621"/>
      <c r="G241" s="52"/>
      <c r="H241" s="621"/>
      <c r="I241" s="621"/>
      <c r="J241" s="621"/>
      <c r="K241" s="621"/>
      <c r="L241" s="621"/>
      <c r="M241" s="621"/>
      <c r="N241" s="621"/>
      <c r="O241" s="621"/>
      <c r="P241" s="75"/>
    </row>
    <row r="242" spans="1:17" s="1276" customFormat="1" x14ac:dyDescent="0.2">
      <c r="A242" s="1271" t="s">
        <v>383</v>
      </c>
      <c r="D242" s="1736">
        <v>2010</v>
      </c>
      <c r="E242" s="2178">
        <f>SUM(F242:P242)</f>
        <v>403774.23083686992</v>
      </c>
      <c r="F242" s="1275"/>
      <c r="H242" s="1275">
        <v>31060</v>
      </c>
      <c r="I242" s="1275">
        <v>93178.557709217479</v>
      </c>
      <c r="J242" s="1275">
        <v>93178.557709217479</v>
      </c>
      <c r="K242" s="1275">
        <v>93178.557709217479</v>
      </c>
      <c r="L242" s="1275">
        <v>93178.557709217479</v>
      </c>
      <c r="M242" s="1275"/>
      <c r="N242" s="1275"/>
      <c r="O242" s="1275"/>
      <c r="P242" s="1746"/>
      <c r="Q242" s="1746"/>
    </row>
    <row r="243" spans="1:17" s="1276" customFormat="1" x14ac:dyDescent="0.2">
      <c r="D243" s="1738">
        <v>2011</v>
      </c>
      <c r="E243" s="2178">
        <f>SUM(F243:P243)</f>
        <v>151218.63760186499</v>
      </c>
      <c r="F243" s="1275"/>
      <c r="H243" s="1275"/>
      <c r="I243" s="1275">
        <v>19246</v>
      </c>
      <c r="J243" s="1275">
        <v>32993.159400466247</v>
      </c>
      <c r="K243" s="1275">
        <v>32993.159400466247</v>
      </c>
      <c r="L243" s="1275">
        <v>32993.159400466247</v>
      </c>
      <c r="M243" s="1275">
        <v>32993.159400466247</v>
      </c>
      <c r="N243" s="1275"/>
      <c r="O243" s="1275"/>
      <c r="P243" s="1746"/>
      <c r="Q243" s="1746"/>
    </row>
    <row r="244" spans="1:17" s="1276" customFormat="1" x14ac:dyDescent="0.2">
      <c r="D244" s="1738">
        <v>2012</v>
      </c>
      <c r="E244" s="2178">
        <f>SUM(F244:P244)</f>
        <v>0</v>
      </c>
      <c r="F244" s="1275"/>
      <c r="H244" s="1275"/>
      <c r="I244" s="1275"/>
      <c r="J244" s="1275">
        <v>0</v>
      </c>
      <c r="K244" s="1275">
        <v>0</v>
      </c>
      <c r="L244" s="1275">
        <v>0</v>
      </c>
      <c r="M244" s="1275">
        <v>0</v>
      </c>
      <c r="N244" s="1275">
        <v>0</v>
      </c>
      <c r="O244" s="1275"/>
      <c r="P244" s="1746"/>
      <c r="Q244" s="1746"/>
    </row>
    <row r="245" spans="1:17" s="1276" customFormat="1" x14ac:dyDescent="0.2">
      <c r="D245" s="1738">
        <v>2013</v>
      </c>
      <c r="E245" s="2178">
        <f>SUM(F245:P245)</f>
        <v>0</v>
      </c>
      <c r="F245" s="1275"/>
      <c r="H245" s="1275"/>
      <c r="I245" s="1275"/>
      <c r="J245" s="1275"/>
      <c r="K245" s="1275">
        <v>0</v>
      </c>
      <c r="L245" s="1275">
        <v>0</v>
      </c>
      <c r="M245" s="1275">
        <v>0</v>
      </c>
      <c r="N245" s="1275">
        <v>0</v>
      </c>
      <c r="O245" s="1275">
        <v>0</v>
      </c>
      <c r="P245" s="1746"/>
      <c r="Q245" s="1746"/>
    </row>
    <row r="246" spans="1:17" s="1276" customFormat="1" x14ac:dyDescent="0.2">
      <c r="D246" s="1739">
        <v>2014</v>
      </c>
      <c r="E246" s="2178">
        <f>SUM(F246:P246)</f>
        <v>0</v>
      </c>
      <c r="F246" s="1275"/>
      <c r="H246" s="1275"/>
      <c r="I246" s="1275"/>
      <c r="J246" s="1275"/>
      <c r="K246" s="1275"/>
      <c r="L246" s="1275">
        <v>0</v>
      </c>
      <c r="M246" s="1275">
        <v>0</v>
      </c>
      <c r="N246" s="1275">
        <v>0</v>
      </c>
      <c r="O246" s="1275">
        <v>0</v>
      </c>
      <c r="P246" s="1746">
        <v>0</v>
      </c>
      <c r="Q246" s="1746"/>
    </row>
    <row r="247" spans="1:17" s="1276" customFormat="1" x14ac:dyDescent="0.2">
      <c r="D247" s="1736" t="s">
        <v>347</v>
      </c>
      <c r="E247" s="1737">
        <f>SUM(E242:E246)</f>
        <v>554992.86843873491</v>
      </c>
      <c r="F247" s="1270"/>
      <c r="G247" s="1270"/>
      <c r="H247" s="1270">
        <f>SUM(H242:H246)</f>
        <v>31060</v>
      </c>
      <c r="I247" s="1270">
        <f t="shared" ref="I247:P247" si="38">SUM(I242:I246)</f>
        <v>112424.55770921748</v>
      </c>
      <c r="J247" s="1270">
        <f t="shared" si="38"/>
        <v>126171.71710968373</v>
      </c>
      <c r="K247" s="1270">
        <f t="shared" si="38"/>
        <v>126171.71710968373</v>
      </c>
      <c r="L247" s="1270">
        <f t="shared" si="38"/>
        <v>126171.71710968373</v>
      </c>
      <c r="M247" s="1270">
        <f t="shared" si="38"/>
        <v>32993.159400466247</v>
      </c>
      <c r="N247" s="1270">
        <f t="shared" si="38"/>
        <v>0</v>
      </c>
      <c r="O247" s="1270">
        <f t="shared" si="38"/>
        <v>0</v>
      </c>
      <c r="P247" s="1657">
        <f t="shared" si="38"/>
        <v>0</v>
      </c>
      <c r="Q247" s="1746"/>
    </row>
    <row r="248" spans="1:17" s="1276" customFormat="1" x14ac:dyDescent="0.2">
      <c r="D248" s="1740"/>
      <c r="E248" s="1741"/>
      <c r="F248" s="1270">
        <f>SUM(H247:P247)</f>
        <v>554992.86843873491</v>
      </c>
      <c r="G248" s="1275" t="s">
        <v>171</v>
      </c>
      <c r="H248" s="1275"/>
      <c r="I248" s="1275"/>
      <c r="J248" s="1275"/>
      <c r="K248" s="1275"/>
      <c r="L248" s="1275"/>
      <c r="M248" s="1275"/>
      <c r="N248" s="1275"/>
      <c r="O248" s="1275"/>
      <c r="P248" s="1746"/>
      <c r="Q248" s="1746"/>
    </row>
    <row r="249" spans="1:17" x14ac:dyDescent="0.2">
      <c r="A249" s="39"/>
      <c r="B249" s="39"/>
      <c r="C249" s="39"/>
      <c r="D249" s="615"/>
      <c r="E249" s="397"/>
      <c r="F249" s="52"/>
      <c r="G249" s="52"/>
      <c r="H249" s="52"/>
      <c r="I249" s="52"/>
      <c r="J249" s="52"/>
      <c r="K249" s="52"/>
      <c r="L249" s="52"/>
      <c r="M249" s="52"/>
      <c r="N249" s="52"/>
      <c r="O249" s="52"/>
      <c r="P249" s="75"/>
    </row>
    <row r="250" spans="1:17" s="1276" customFormat="1" x14ac:dyDescent="0.2">
      <c r="A250" s="1271" t="s">
        <v>563</v>
      </c>
      <c r="D250" s="1739" t="s">
        <v>461</v>
      </c>
      <c r="E250" s="2178">
        <f>SUM(F250:P250)</f>
        <v>0</v>
      </c>
      <c r="F250" s="1270"/>
      <c r="G250" s="1275"/>
      <c r="H250" s="1281">
        <v>0</v>
      </c>
      <c r="I250" s="1281">
        <v>0</v>
      </c>
      <c r="J250" s="1281">
        <v>0</v>
      </c>
      <c r="K250" s="1281">
        <v>0</v>
      </c>
      <c r="L250" s="1281">
        <v>0</v>
      </c>
      <c r="M250" s="1281"/>
      <c r="N250" s="1281"/>
      <c r="O250" s="1281"/>
      <c r="P250" s="1475"/>
      <c r="Q250" s="1746"/>
    </row>
    <row r="251" spans="1:17" s="1276" customFormat="1" x14ac:dyDescent="0.2">
      <c r="D251" s="1739" t="s">
        <v>462</v>
      </c>
      <c r="E251" s="2178">
        <f>SUM(F251:P251)</f>
        <v>559944.25012677</v>
      </c>
      <c r="F251" s="1270"/>
      <c r="G251" s="1275"/>
      <c r="H251" s="1281"/>
      <c r="I251" s="1281">
        <v>43073</v>
      </c>
      <c r="J251" s="1281">
        <v>129217.81253169249</v>
      </c>
      <c r="K251" s="1281">
        <v>129217.81253169249</v>
      </c>
      <c r="L251" s="1281">
        <v>129217.81253169249</v>
      </c>
      <c r="M251" s="1281">
        <v>129217.81253169249</v>
      </c>
      <c r="N251" s="1281"/>
      <c r="O251" s="1281"/>
      <c r="P251" s="1475"/>
      <c r="Q251" s="1746"/>
    </row>
    <row r="252" spans="1:17" s="1276" customFormat="1" x14ac:dyDescent="0.2">
      <c r="D252" s="1739" t="s">
        <v>463</v>
      </c>
      <c r="E252" s="2178">
        <f>SUM(F252:P252)</f>
        <v>54530.302058140049</v>
      </c>
      <c r="F252" s="1270"/>
      <c r="G252" s="1275"/>
      <c r="H252" s="1281"/>
      <c r="I252" s="1281"/>
      <c r="J252" s="1281">
        <v>9402</v>
      </c>
      <c r="K252" s="1281">
        <v>11282.07551453501</v>
      </c>
      <c r="L252" s="1281">
        <v>11282.07551453501</v>
      </c>
      <c r="M252" s="1281">
        <v>11282.07551453501</v>
      </c>
      <c r="N252" s="1281">
        <v>11282.07551453501</v>
      </c>
      <c r="O252" s="1281"/>
      <c r="P252" s="1475"/>
      <c r="Q252" s="1746"/>
    </row>
    <row r="253" spans="1:17" s="1276" customFormat="1" x14ac:dyDescent="0.2">
      <c r="D253" s="1739" t="s">
        <v>653</v>
      </c>
      <c r="E253" s="2178">
        <f>SUM(F253:P253)</f>
        <v>210434.09654697165</v>
      </c>
      <c r="F253" s="1270"/>
      <c r="G253" s="1275"/>
      <c r="H253" s="1281"/>
      <c r="I253" s="1281"/>
      <c r="J253" s="1281"/>
      <c r="K253" s="1281">
        <v>36282</v>
      </c>
      <c r="L253" s="1281">
        <v>43538.024136742912</v>
      </c>
      <c r="M253" s="1281">
        <v>43538.024136742912</v>
      </c>
      <c r="N253" s="1281">
        <v>43538.024136742912</v>
      </c>
      <c r="O253" s="1281">
        <v>43538.024136742912</v>
      </c>
      <c r="P253" s="1475"/>
      <c r="Q253" s="1746"/>
    </row>
    <row r="254" spans="1:17" s="1276" customFormat="1" x14ac:dyDescent="0.2">
      <c r="D254" s="1739" t="s">
        <v>656</v>
      </c>
      <c r="E254" s="2178">
        <f>SUM(F254:P254)</f>
        <v>271598.80952466966</v>
      </c>
      <c r="F254" s="1270"/>
      <c r="G254" s="1275"/>
      <c r="H254" s="1281"/>
      <c r="I254" s="1281"/>
      <c r="J254" s="1281"/>
      <c r="K254" s="1281"/>
      <c r="L254" s="1281">
        <v>46827</v>
      </c>
      <c r="M254" s="1281">
        <v>56192.952381167408</v>
      </c>
      <c r="N254" s="1281">
        <v>56192.952381167408</v>
      </c>
      <c r="O254" s="1281">
        <v>56192.952381167408</v>
      </c>
      <c r="P254" s="1475">
        <v>56192.952381167408</v>
      </c>
      <c r="Q254" s="1746"/>
    </row>
    <row r="255" spans="1:17" s="1276" customFormat="1" x14ac:dyDescent="0.2">
      <c r="D255" s="1736" t="s">
        <v>347</v>
      </c>
      <c r="E255" s="1737">
        <f>SUM(E250:E254)</f>
        <v>1096507.4582565515</v>
      </c>
      <c r="F255" s="1270"/>
      <c r="G255" s="1270"/>
      <c r="H255" s="1270">
        <f t="shared" ref="H255:P255" si="39">SUM(H250:H254)</f>
        <v>0</v>
      </c>
      <c r="I255" s="1270">
        <f t="shared" si="39"/>
        <v>43073</v>
      </c>
      <c r="J255" s="1270">
        <f t="shared" si="39"/>
        <v>138619.8125316925</v>
      </c>
      <c r="K255" s="1270">
        <f t="shared" si="39"/>
        <v>176781.88804622748</v>
      </c>
      <c r="L255" s="1270">
        <f t="shared" si="39"/>
        <v>230864.91218297038</v>
      </c>
      <c r="M255" s="1270">
        <f t="shared" si="39"/>
        <v>240230.8645641378</v>
      </c>
      <c r="N255" s="1270">
        <f t="shared" si="39"/>
        <v>111013.05203244532</v>
      </c>
      <c r="O255" s="1270">
        <f t="shared" si="39"/>
        <v>99730.976517910312</v>
      </c>
      <c r="P255" s="1657">
        <f t="shared" si="39"/>
        <v>56192.952381167408</v>
      </c>
      <c r="Q255" s="1746"/>
    </row>
    <row r="256" spans="1:17" s="1276" customFormat="1" x14ac:dyDescent="0.2">
      <c r="D256" s="1736"/>
      <c r="E256" s="1737"/>
      <c r="F256" s="1270">
        <f>SUM(G255:P255)</f>
        <v>1096507.4582565511</v>
      </c>
      <c r="G256" s="1275" t="s">
        <v>171</v>
      </c>
      <c r="H256" s="1270"/>
      <c r="I256" s="1270"/>
      <c r="J256" s="1270"/>
      <c r="K256" s="1270"/>
      <c r="L256" s="1270"/>
      <c r="M256" s="1270"/>
      <c r="N256" s="1270"/>
      <c r="O256" s="1270"/>
      <c r="P256" s="1746"/>
      <c r="Q256" s="1746"/>
    </row>
    <row r="257" spans="1:17" x14ac:dyDescent="0.2">
      <c r="A257" s="39"/>
      <c r="B257" s="39"/>
      <c r="C257" s="39"/>
      <c r="D257" s="312"/>
      <c r="E257" s="1666"/>
      <c r="F257" s="621"/>
      <c r="G257" s="52"/>
      <c r="H257" s="621"/>
      <c r="I257" s="621"/>
      <c r="J257" s="621"/>
      <c r="K257" s="621"/>
      <c r="L257" s="621"/>
      <c r="M257" s="621"/>
      <c r="N257" s="621"/>
      <c r="O257" s="621"/>
      <c r="P257" s="75"/>
    </row>
    <row r="258" spans="1:17" s="1276" customFormat="1" x14ac:dyDescent="0.2">
      <c r="A258" s="1271" t="s">
        <v>635</v>
      </c>
      <c r="D258" s="1739" t="s">
        <v>461</v>
      </c>
      <c r="E258" s="1737">
        <f>SUM(F258:P258)</f>
        <v>81965.990854864576</v>
      </c>
      <c r="F258" s="1270"/>
      <c r="G258" s="1275"/>
      <c r="H258" s="1281">
        <v>14132</v>
      </c>
      <c r="I258" s="1281">
        <v>16958.497713716144</v>
      </c>
      <c r="J258" s="1281">
        <v>16958.497713716144</v>
      </c>
      <c r="K258" s="1281">
        <v>16958.497713716144</v>
      </c>
      <c r="L258" s="1281">
        <v>16958.497713716144</v>
      </c>
      <c r="M258" s="1281"/>
      <c r="N258" s="1281"/>
      <c r="O258" s="1281"/>
      <c r="P258" s="1475"/>
      <c r="Q258" s="1746"/>
    </row>
    <row r="259" spans="1:17" s="1276" customFormat="1" x14ac:dyDescent="0.2">
      <c r="A259" s="1271"/>
      <c r="D259" s="1739" t="s">
        <v>462</v>
      </c>
      <c r="E259" s="1737">
        <f>SUM(F259:P259)</f>
        <v>17891.137416544359</v>
      </c>
      <c r="F259" s="1270"/>
      <c r="G259" s="1275"/>
      <c r="H259" s="1281"/>
      <c r="I259" s="1281">
        <v>3085</v>
      </c>
      <c r="J259" s="1281">
        <v>3701.5343541360899</v>
      </c>
      <c r="K259" s="1281">
        <v>3701.5343541360899</v>
      </c>
      <c r="L259" s="1281">
        <v>3701.5343541360899</v>
      </c>
      <c r="M259" s="1281">
        <v>3701.5343541360899</v>
      </c>
      <c r="N259" s="1281"/>
      <c r="O259" s="1281"/>
      <c r="P259" s="1475"/>
      <c r="Q259" s="1746"/>
    </row>
    <row r="260" spans="1:17" s="1276" customFormat="1" x14ac:dyDescent="0.2">
      <c r="A260" s="1271"/>
      <c r="D260" s="1739" t="s">
        <v>463</v>
      </c>
      <c r="E260" s="1737">
        <f>SUM(F260:P260)</f>
        <v>0</v>
      </c>
      <c r="F260" s="1270"/>
      <c r="G260" s="1275"/>
      <c r="H260" s="1281"/>
      <c r="I260" s="1281"/>
      <c r="J260" s="1281">
        <v>0</v>
      </c>
      <c r="K260" s="1281">
        <v>0</v>
      </c>
      <c r="L260" s="1281">
        <v>0</v>
      </c>
      <c r="M260" s="1281">
        <v>0</v>
      </c>
      <c r="N260" s="1281">
        <v>0</v>
      </c>
      <c r="O260" s="1281"/>
      <c r="P260" s="1475"/>
      <c r="Q260" s="1746"/>
    </row>
    <row r="261" spans="1:17" s="1276" customFormat="1" x14ac:dyDescent="0.2">
      <c r="A261" s="1271"/>
      <c r="D261" s="1739" t="s">
        <v>653</v>
      </c>
      <c r="E261" s="1737">
        <f>SUM(F261:P261)</f>
        <v>0</v>
      </c>
      <c r="F261" s="1270"/>
      <c r="G261" s="1275"/>
      <c r="H261" s="1281"/>
      <c r="I261" s="1281"/>
      <c r="J261" s="1281"/>
      <c r="K261" s="1281">
        <v>0</v>
      </c>
      <c r="L261" s="1281">
        <v>0</v>
      </c>
      <c r="M261" s="1281">
        <v>0</v>
      </c>
      <c r="N261" s="1281">
        <v>0</v>
      </c>
      <c r="O261" s="1281">
        <v>0</v>
      </c>
      <c r="P261" s="1475"/>
      <c r="Q261" s="1746"/>
    </row>
    <row r="262" spans="1:17" s="1276" customFormat="1" x14ac:dyDescent="0.2">
      <c r="A262" s="1271"/>
      <c r="D262" s="1739" t="s">
        <v>656</v>
      </c>
      <c r="E262" s="1737">
        <f>SUM(F262:P262)</f>
        <v>0</v>
      </c>
      <c r="F262" s="1270"/>
      <c r="G262" s="1275"/>
      <c r="H262" s="1281"/>
      <c r="I262" s="1281"/>
      <c r="J262" s="1281"/>
      <c r="K262" s="1281"/>
      <c r="L262" s="1281">
        <v>0</v>
      </c>
      <c r="M262" s="1281">
        <v>0</v>
      </c>
      <c r="N262" s="1281">
        <v>0</v>
      </c>
      <c r="O262" s="1281">
        <v>0</v>
      </c>
      <c r="P262" s="1475">
        <v>0</v>
      </c>
      <c r="Q262" s="1746"/>
    </row>
    <row r="263" spans="1:17" s="1276" customFormat="1" x14ac:dyDescent="0.2">
      <c r="A263" s="1271"/>
      <c r="D263" s="1736" t="s">
        <v>347</v>
      </c>
      <c r="E263" s="1737">
        <f t="shared" ref="E263:P263" si="40">SUM(E258:E262)</f>
        <v>99857.128271408932</v>
      </c>
      <c r="F263" s="1270"/>
      <c r="G263" s="1275"/>
      <c r="H263" s="1270">
        <f t="shared" si="40"/>
        <v>14132</v>
      </c>
      <c r="I263" s="1270">
        <f t="shared" si="40"/>
        <v>20043.497713716144</v>
      </c>
      <c r="J263" s="1270">
        <f t="shared" si="40"/>
        <v>20660.032067852233</v>
      </c>
      <c r="K263" s="1270">
        <f t="shared" si="40"/>
        <v>20660.032067852233</v>
      </c>
      <c r="L263" s="1270">
        <f t="shared" si="40"/>
        <v>20660.032067852233</v>
      </c>
      <c r="M263" s="1270">
        <f t="shared" si="40"/>
        <v>3701.5343541360899</v>
      </c>
      <c r="N263" s="1270">
        <f t="shared" si="40"/>
        <v>0</v>
      </c>
      <c r="O263" s="1270">
        <f t="shared" si="40"/>
        <v>0</v>
      </c>
      <c r="P263" s="1657">
        <f t="shared" si="40"/>
        <v>0</v>
      </c>
      <c r="Q263" s="1746"/>
    </row>
    <row r="264" spans="1:17" s="1276" customFormat="1" x14ac:dyDescent="0.2">
      <c r="A264" s="1271"/>
      <c r="D264" s="1736"/>
      <c r="E264" s="1737"/>
      <c r="F264" s="1270">
        <f>SUM(G263:P263)</f>
        <v>99857.128271408932</v>
      </c>
      <c r="G264" s="1275" t="s">
        <v>171</v>
      </c>
      <c r="H264" s="1270"/>
      <c r="I264" s="1270"/>
      <c r="J264" s="1270"/>
      <c r="K264" s="1270"/>
      <c r="L264" s="1270"/>
      <c r="M264" s="1270"/>
      <c r="N264" s="1270"/>
      <c r="O264" s="1270"/>
      <c r="P264" s="1746"/>
      <c r="Q264" s="1746"/>
    </row>
    <row r="265" spans="1:17" x14ac:dyDescent="0.2">
      <c r="A265" s="430"/>
      <c r="B265" s="39"/>
      <c r="C265" s="39"/>
      <c r="D265" s="312"/>
      <c r="E265" s="1666"/>
      <c r="F265" s="621"/>
      <c r="G265" s="52"/>
      <c r="H265" s="621"/>
      <c r="I265" s="621"/>
      <c r="J265" s="621"/>
      <c r="K265" s="621"/>
      <c r="L265" s="621"/>
      <c r="M265" s="621"/>
      <c r="N265" s="621"/>
      <c r="O265" s="621"/>
      <c r="P265" s="75"/>
    </row>
    <row r="266" spans="1:17" s="1276" customFormat="1" x14ac:dyDescent="0.2">
      <c r="A266" s="1271" t="s">
        <v>723</v>
      </c>
      <c r="D266" s="1739" t="s">
        <v>461</v>
      </c>
      <c r="E266" s="1737">
        <f>SUM(F266:P266)</f>
        <v>66990.108566701194</v>
      </c>
      <c r="F266" s="1270"/>
      <c r="G266" s="1275"/>
      <c r="H266" s="1281">
        <v>1367</v>
      </c>
      <c r="I266" s="1281">
        <v>16405.777141675298</v>
      </c>
      <c r="J266" s="1281">
        <v>16405.777141675298</v>
      </c>
      <c r="K266" s="1281">
        <v>16405.777141675298</v>
      </c>
      <c r="L266" s="1281">
        <v>16405.777141675298</v>
      </c>
      <c r="M266" s="1281"/>
      <c r="N266" s="1281"/>
      <c r="O266" s="1281"/>
      <c r="P266" s="1475"/>
      <c r="Q266" s="1746"/>
    </row>
    <row r="267" spans="1:17" s="1276" customFormat="1" x14ac:dyDescent="0.2">
      <c r="A267" s="1271"/>
      <c r="D267" s="1739" t="s">
        <v>462</v>
      </c>
      <c r="E267" s="1737">
        <f>SUM(F267:P267)</f>
        <v>93652.29253327653</v>
      </c>
      <c r="F267" s="1270"/>
      <c r="G267" s="1275"/>
      <c r="H267" s="1281"/>
      <c r="I267" s="1281">
        <v>1911</v>
      </c>
      <c r="J267" s="1281">
        <v>22935.323133319132</v>
      </c>
      <c r="K267" s="1281">
        <v>22935.323133319132</v>
      </c>
      <c r="L267" s="1281">
        <v>22935.323133319132</v>
      </c>
      <c r="M267" s="1281">
        <v>22935.323133319132</v>
      </c>
      <c r="N267" s="1281"/>
      <c r="O267" s="1281"/>
      <c r="P267" s="1475"/>
      <c r="Q267" s="1746"/>
    </row>
    <row r="268" spans="1:17" s="1276" customFormat="1" x14ac:dyDescent="0.2">
      <c r="A268" s="1271"/>
      <c r="D268" s="1739" t="s">
        <v>463</v>
      </c>
      <c r="E268" s="1737">
        <f>SUM(F268:P268)</f>
        <v>146831.80863708237</v>
      </c>
      <c r="F268" s="1270"/>
      <c r="G268" s="1275"/>
      <c r="H268" s="1281"/>
      <c r="I268" s="1281"/>
      <c r="J268" s="1281">
        <v>2997</v>
      </c>
      <c r="K268" s="1281">
        <v>35958.702159270593</v>
      </c>
      <c r="L268" s="1281">
        <v>35958.702159270593</v>
      </c>
      <c r="M268" s="1281">
        <v>35958.702159270593</v>
      </c>
      <c r="N268" s="1281">
        <v>35958.702159270593</v>
      </c>
      <c r="O268" s="1281"/>
      <c r="P268" s="1475"/>
      <c r="Q268" s="1746"/>
    </row>
    <row r="269" spans="1:17" s="1276" customFormat="1" x14ac:dyDescent="0.2">
      <c r="A269" s="1271"/>
      <c r="D269" s="1739" t="s">
        <v>653</v>
      </c>
      <c r="E269" s="1737">
        <f>SUM(F269:P269)</f>
        <v>144732.78302571451</v>
      </c>
      <c r="F269" s="1270"/>
      <c r="G269" s="1275"/>
      <c r="H269" s="1281"/>
      <c r="I269" s="1281"/>
      <c r="J269" s="1281"/>
      <c r="K269" s="1281">
        <v>2954</v>
      </c>
      <c r="L269" s="1281">
        <v>35444.695756428628</v>
      </c>
      <c r="M269" s="1281">
        <v>35444.695756428628</v>
      </c>
      <c r="N269" s="1281">
        <v>35444.695756428628</v>
      </c>
      <c r="O269" s="1281">
        <v>35444.695756428628</v>
      </c>
      <c r="P269" s="1475"/>
      <c r="Q269" s="1746"/>
    </row>
    <row r="270" spans="1:17" s="1276" customFormat="1" x14ac:dyDescent="0.2">
      <c r="A270" s="1271"/>
      <c r="D270" s="1739" t="s">
        <v>656</v>
      </c>
      <c r="E270" s="1737">
        <f>SUM(F270:P270)</f>
        <v>0</v>
      </c>
      <c r="F270" s="1270"/>
      <c r="G270" s="1275"/>
      <c r="H270" s="1281"/>
      <c r="I270" s="1281"/>
      <c r="J270" s="1281"/>
      <c r="K270" s="1281"/>
      <c r="L270" s="1281">
        <v>0</v>
      </c>
      <c r="M270" s="1281">
        <v>0</v>
      </c>
      <c r="N270" s="1281">
        <v>0</v>
      </c>
      <c r="O270" s="1281">
        <v>0</v>
      </c>
      <c r="P270" s="1475">
        <v>0</v>
      </c>
      <c r="Q270" s="1746"/>
    </row>
    <row r="271" spans="1:17" s="1276" customFormat="1" x14ac:dyDescent="0.2">
      <c r="A271" s="1271"/>
      <c r="D271" s="1736" t="s">
        <v>347</v>
      </c>
      <c r="E271" s="1737">
        <f>SUM(E266:E270)</f>
        <v>452206.99276277464</v>
      </c>
      <c r="F271" s="1270"/>
      <c r="G271" s="1275"/>
      <c r="H271" s="1270">
        <f t="shared" ref="H271:P271" si="41">SUM(H266:H270)</f>
        <v>1367</v>
      </c>
      <c r="I271" s="1270">
        <f t="shared" si="41"/>
        <v>18316.777141675298</v>
      </c>
      <c r="J271" s="1270">
        <f t="shared" si="41"/>
        <v>42338.100274994431</v>
      </c>
      <c r="K271" s="1270">
        <f t="shared" si="41"/>
        <v>78253.802434265031</v>
      </c>
      <c r="L271" s="1270">
        <f t="shared" si="41"/>
        <v>110744.49819069366</v>
      </c>
      <c r="M271" s="1270">
        <f t="shared" si="41"/>
        <v>94338.72104901835</v>
      </c>
      <c r="N271" s="1270">
        <f t="shared" si="41"/>
        <v>71403.397915699228</v>
      </c>
      <c r="O271" s="1270">
        <f t="shared" si="41"/>
        <v>35444.695756428628</v>
      </c>
      <c r="P271" s="1657">
        <f t="shared" si="41"/>
        <v>0</v>
      </c>
      <c r="Q271" s="1746"/>
    </row>
    <row r="272" spans="1:17" s="1276" customFormat="1" x14ac:dyDescent="0.2">
      <c r="A272" s="1271"/>
      <c r="D272" s="1736"/>
      <c r="E272" s="1737"/>
      <c r="F272" s="1270">
        <f>SUM(G271:P271)</f>
        <v>452206.99276277464</v>
      </c>
      <c r="G272" s="1275" t="s">
        <v>171</v>
      </c>
      <c r="H272" s="1270"/>
      <c r="I272" s="1270"/>
      <c r="J272" s="1270"/>
      <c r="K272" s="1270"/>
      <c r="L272" s="1270"/>
      <c r="M272" s="1270"/>
      <c r="N272" s="1270"/>
      <c r="O272" s="1270"/>
      <c r="P272" s="1746"/>
      <c r="Q272" s="1746"/>
    </row>
    <row r="273" spans="1:17" x14ac:dyDescent="0.2">
      <c r="A273" s="430"/>
      <c r="B273" s="39"/>
      <c r="C273" s="39"/>
      <c r="D273" s="312"/>
      <c r="E273" s="1666"/>
      <c r="F273" s="621"/>
      <c r="G273" s="52"/>
      <c r="H273" s="621"/>
      <c r="I273" s="621"/>
      <c r="J273" s="621"/>
      <c r="K273" s="621"/>
      <c r="L273" s="621"/>
      <c r="M273" s="621"/>
      <c r="N273" s="621"/>
      <c r="O273" s="621"/>
      <c r="P273" s="75"/>
    </row>
    <row r="274" spans="1:17" s="1276" customFormat="1" x14ac:dyDescent="0.2">
      <c r="A274" s="1271" t="s">
        <v>821</v>
      </c>
      <c r="D274" s="1739" t="s">
        <v>461</v>
      </c>
      <c r="E274" s="1737">
        <f>SUM(F274:P274)</f>
        <v>91366.217124432005</v>
      </c>
      <c r="F274" s="1270"/>
      <c r="G274" s="1275"/>
      <c r="H274" s="1281">
        <v>11628</v>
      </c>
      <c r="I274" s="1281">
        <v>19934.554281108001</v>
      </c>
      <c r="J274" s="1281">
        <v>19934.554281108001</v>
      </c>
      <c r="K274" s="1281">
        <v>19934.554281108001</v>
      </c>
      <c r="L274" s="1281">
        <v>19934.554281108001</v>
      </c>
      <c r="M274" s="1281"/>
      <c r="N274" s="1281"/>
      <c r="O274" s="1281"/>
      <c r="P274" s="1475"/>
      <c r="Q274" s="1746"/>
    </row>
    <row r="275" spans="1:17" s="1276" customFormat="1" x14ac:dyDescent="0.2">
      <c r="D275" s="1739" t="s">
        <v>462</v>
      </c>
      <c r="E275" s="1737">
        <f>SUM(F275:P275)</f>
        <v>114322.24380470254</v>
      </c>
      <c r="F275" s="1270"/>
      <c r="G275" s="1275"/>
      <c r="H275" s="1281"/>
      <c r="I275" s="1281">
        <v>19711</v>
      </c>
      <c r="J275" s="1281">
        <v>23652.810951175634</v>
      </c>
      <c r="K275" s="1281">
        <v>23652.810951175634</v>
      </c>
      <c r="L275" s="1281">
        <v>23652.810951175634</v>
      </c>
      <c r="M275" s="1281">
        <v>23652.810951175634</v>
      </c>
      <c r="N275" s="1281"/>
      <c r="O275" s="1281"/>
      <c r="P275" s="1475"/>
      <c r="Q275" s="1746"/>
    </row>
    <row r="276" spans="1:17" s="1276" customFormat="1" x14ac:dyDescent="0.2">
      <c r="D276" s="1739" t="s">
        <v>463</v>
      </c>
      <c r="E276" s="1737">
        <f>SUM(F276:P276)</f>
        <v>47977.776713682571</v>
      </c>
      <c r="F276" s="1270"/>
      <c r="G276" s="1275"/>
      <c r="H276" s="1281"/>
      <c r="I276" s="1281"/>
      <c r="J276" s="1281">
        <v>8272</v>
      </c>
      <c r="K276" s="1281">
        <v>9926.4441784206429</v>
      </c>
      <c r="L276" s="1281">
        <v>9926.4441784206429</v>
      </c>
      <c r="M276" s="1281">
        <v>9926.4441784206429</v>
      </c>
      <c r="N276" s="1281">
        <v>9926.4441784206429</v>
      </c>
      <c r="O276" s="1281"/>
      <c r="P276" s="1475"/>
      <c r="Q276" s="1746"/>
    </row>
    <row r="277" spans="1:17" s="1276" customFormat="1" x14ac:dyDescent="0.2">
      <c r="D277" s="1739" t="s">
        <v>653</v>
      </c>
      <c r="E277" s="1737">
        <f>SUM(F277:P277)</f>
        <v>0</v>
      </c>
      <c r="F277" s="1270"/>
      <c r="G277" s="1275"/>
      <c r="H277" s="1281"/>
      <c r="I277" s="1281"/>
      <c r="J277" s="1281"/>
      <c r="K277" s="1281">
        <v>0</v>
      </c>
      <c r="L277" s="1281">
        <v>0</v>
      </c>
      <c r="M277" s="1281">
        <v>0</v>
      </c>
      <c r="N277" s="1281">
        <v>0</v>
      </c>
      <c r="O277" s="1281">
        <v>0</v>
      </c>
      <c r="P277" s="1475"/>
      <c r="Q277" s="1746"/>
    </row>
    <row r="278" spans="1:17" s="1276" customFormat="1" x14ac:dyDescent="0.2">
      <c r="D278" s="1739" t="s">
        <v>656</v>
      </c>
      <c r="E278" s="1737">
        <f>SUM(F278:P278)</f>
        <v>0</v>
      </c>
      <c r="F278" s="1270"/>
      <c r="G278" s="1275"/>
      <c r="H278" s="1281"/>
      <c r="I278" s="1281"/>
      <c r="J278" s="1281"/>
      <c r="K278" s="1281"/>
      <c r="L278" s="1281">
        <v>0</v>
      </c>
      <c r="M278" s="1281">
        <v>0</v>
      </c>
      <c r="N278" s="1281">
        <v>0</v>
      </c>
      <c r="O278" s="1281">
        <v>0</v>
      </c>
      <c r="P278" s="1475">
        <v>0</v>
      </c>
      <c r="Q278" s="1746"/>
    </row>
    <row r="279" spans="1:17" s="1276" customFormat="1" x14ac:dyDescent="0.2">
      <c r="D279" s="1736" t="s">
        <v>347</v>
      </c>
      <c r="E279" s="1737">
        <f>SUM(E274:E278)</f>
        <v>253666.23764281711</v>
      </c>
      <c r="F279" s="1270"/>
      <c r="G279" s="1275"/>
      <c r="H279" s="1270">
        <f t="shared" ref="H279:P279" si="42">SUM(H274:H278)</f>
        <v>11628</v>
      </c>
      <c r="I279" s="1270">
        <f t="shared" si="42"/>
        <v>39645.554281108001</v>
      </c>
      <c r="J279" s="1270">
        <f t="shared" si="42"/>
        <v>51859.365232283635</v>
      </c>
      <c r="K279" s="1270">
        <f t="shared" si="42"/>
        <v>53513.809410704278</v>
      </c>
      <c r="L279" s="1270">
        <f t="shared" si="42"/>
        <v>53513.809410704278</v>
      </c>
      <c r="M279" s="1270">
        <f t="shared" si="42"/>
        <v>33579.255129596277</v>
      </c>
      <c r="N279" s="1270">
        <f t="shared" si="42"/>
        <v>9926.4441784206429</v>
      </c>
      <c r="O279" s="1270">
        <f t="shared" si="42"/>
        <v>0</v>
      </c>
      <c r="P279" s="1657">
        <f t="shared" si="42"/>
        <v>0</v>
      </c>
      <c r="Q279" s="1746"/>
    </row>
    <row r="280" spans="1:17" s="1276" customFormat="1" x14ac:dyDescent="0.2">
      <c r="D280" s="1736"/>
      <c r="E280" s="1737"/>
      <c r="F280" s="1270">
        <f>SUM(G279:P279)</f>
        <v>253666.23764281711</v>
      </c>
      <c r="G280" s="1275" t="s">
        <v>171</v>
      </c>
      <c r="H280" s="1270"/>
      <c r="I280" s="1270"/>
      <c r="J280" s="1270"/>
      <c r="K280" s="1270"/>
      <c r="L280" s="1270"/>
      <c r="M280" s="1270"/>
      <c r="N280" s="1270"/>
      <c r="O280" s="1270"/>
      <c r="P280" s="1746"/>
      <c r="Q280" s="1746"/>
    </row>
    <row r="281" spans="1:17" x14ac:dyDescent="0.2">
      <c r="A281" s="39"/>
      <c r="B281" s="39"/>
      <c r="C281" s="39"/>
      <c r="D281" s="312"/>
      <c r="E281" s="1666"/>
      <c r="F281" s="621"/>
      <c r="G281" s="52"/>
      <c r="H281" s="621"/>
      <c r="I281" s="621"/>
      <c r="J281" s="621"/>
      <c r="K281" s="621"/>
      <c r="L281" s="621"/>
      <c r="M281" s="621"/>
      <c r="N281" s="621"/>
      <c r="O281" s="621"/>
      <c r="P281" s="75"/>
    </row>
    <row r="282" spans="1:17" s="1276" customFormat="1" x14ac:dyDescent="0.2">
      <c r="A282" s="1271" t="s">
        <v>722</v>
      </c>
      <c r="D282" s="1739" t="s">
        <v>461</v>
      </c>
      <c r="E282" s="1737">
        <f>SUM(F282:P282)</f>
        <v>271010.92477652786</v>
      </c>
      <c r="F282" s="1270"/>
      <c r="G282" s="1275"/>
      <c r="H282" s="1281">
        <v>34492</v>
      </c>
      <c r="I282" s="1281">
        <v>59129.731194131964</v>
      </c>
      <c r="J282" s="1281">
        <v>59129.731194131964</v>
      </c>
      <c r="K282" s="1281">
        <v>59129.731194131964</v>
      </c>
      <c r="L282" s="1281">
        <v>59129.731194131964</v>
      </c>
      <c r="M282" s="1281"/>
      <c r="N282" s="1281"/>
      <c r="O282" s="1281"/>
      <c r="P282" s="1475"/>
      <c r="Q282" s="1746"/>
    </row>
    <row r="283" spans="1:17" s="1276" customFormat="1" x14ac:dyDescent="0.2">
      <c r="D283" s="1739" t="s">
        <v>462</v>
      </c>
      <c r="E283" s="1737">
        <f>SUM(F283:P283)</f>
        <v>167048.33152818494</v>
      </c>
      <c r="F283" s="1270"/>
      <c r="G283" s="1275"/>
      <c r="H283" s="1281"/>
      <c r="I283" s="1281">
        <v>21261</v>
      </c>
      <c r="J283" s="1281">
        <v>36446.832882046234</v>
      </c>
      <c r="K283" s="1281">
        <v>36446.832882046234</v>
      </c>
      <c r="L283" s="1281">
        <v>36446.832882046234</v>
      </c>
      <c r="M283" s="1281">
        <v>36446.832882046234</v>
      </c>
      <c r="N283" s="1281"/>
      <c r="O283" s="1281"/>
      <c r="P283" s="1475"/>
      <c r="Q283" s="1746"/>
    </row>
    <row r="284" spans="1:17" s="1276" customFormat="1" x14ac:dyDescent="0.2">
      <c r="D284" s="1739" t="s">
        <v>463</v>
      </c>
      <c r="E284" s="1737">
        <f>SUM(F284:P284)</f>
        <v>196402.21013601293</v>
      </c>
      <c r="F284" s="1270"/>
      <c r="G284" s="1275"/>
      <c r="H284" s="1281"/>
      <c r="I284" s="1281"/>
      <c r="J284" s="1281">
        <v>24997</v>
      </c>
      <c r="K284" s="1281">
        <v>42851.302534003233</v>
      </c>
      <c r="L284" s="1281">
        <v>42851.302534003233</v>
      </c>
      <c r="M284" s="1281">
        <v>42851.302534003233</v>
      </c>
      <c r="N284" s="1281">
        <v>42851.302534003233</v>
      </c>
      <c r="O284" s="1281"/>
      <c r="P284" s="1475"/>
      <c r="Q284" s="1746"/>
    </row>
    <row r="285" spans="1:17" s="1276" customFormat="1" x14ac:dyDescent="0.2">
      <c r="D285" s="1739" t="s">
        <v>653</v>
      </c>
      <c r="E285" s="1737">
        <f>SUM(F285:P285)</f>
        <v>654.84698054404555</v>
      </c>
      <c r="F285" s="1270"/>
      <c r="G285" s="1275"/>
      <c r="H285" s="1281"/>
      <c r="I285" s="1281"/>
      <c r="J285" s="1281"/>
      <c r="K285" s="1281">
        <v>83</v>
      </c>
      <c r="L285" s="1281">
        <v>142.96174513601139</v>
      </c>
      <c r="M285" s="1281">
        <v>142.96174513601139</v>
      </c>
      <c r="N285" s="1281">
        <v>142.96174513601139</v>
      </c>
      <c r="O285" s="1281">
        <v>142.96174513601139</v>
      </c>
      <c r="P285" s="1475"/>
      <c r="Q285" s="1746"/>
    </row>
    <row r="286" spans="1:17" s="1276" customFormat="1" x14ac:dyDescent="0.2">
      <c r="D286" s="1739" t="s">
        <v>656</v>
      </c>
      <c r="E286" s="1737">
        <f>SUM(F286:P286)</f>
        <v>0</v>
      </c>
      <c r="F286" s="1270"/>
      <c r="G286" s="1275"/>
      <c r="H286" s="1281"/>
      <c r="I286" s="1281"/>
      <c r="J286" s="1281"/>
      <c r="K286" s="1281"/>
      <c r="L286" s="1281">
        <v>0</v>
      </c>
      <c r="M286" s="1281">
        <v>0</v>
      </c>
      <c r="N286" s="1281">
        <v>0</v>
      </c>
      <c r="O286" s="1281">
        <v>0</v>
      </c>
      <c r="P286" s="1475">
        <v>0</v>
      </c>
      <c r="Q286" s="1746"/>
    </row>
    <row r="287" spans="1:17" s="1276" customFormat="1" x14ac:dyDescent="0.2">
      <c r="D287" s="1736" t="s">
        <v>347</v>
      </c>
      <c r="E287" s="1737">
        <f>SUM(E282:E286)</f>
        <v>635116.31342126976</v>
      </c>
      <c r="F287" s="1270"/>
      <c r="G287" s="1275"/>
      <c r="H287" s="1270">
        <f t="shared" ref="H287:P287" si="43">SUM(H282:H286)</f>
        <v>34492</v>
      </c>
      <c r="I287" s="1270">
        <f t="shared" si="43"/>
        <v>80390.731194131964</v>
      </c>
      <c r="J287" s="1270">
        <f t="shared" si="43"/>
        <v>120573.5640761782</v>
      </c>
      <c r="K287" s="1270">
        <f t="shared" si="43"/>
        <v>138510.86661018143</v>
      </c>
      <c r="L287" s="1270">
        <f t="shared" si="43"/>
        <v>138570.82835531744</v>
      </c>
      <c r="M287" s="1270">
        <f t="shared" si="43"/>
        <v>79441.097161185477</v>
      </c>
      <c r="N287" s="1270">
        <f t="shared" si="43"/>
        <v>42994.264279139243</v>
      </c>
      <c r="O287" s="1270">
        <f t="shared" si="43"/>
        <v>142.96174513601139</v>
      </c>
      <c r="P287" s="1657">
        <f t="shared" si="43"/>
        <v>0</v>
      </c>
      <c r="Q287" s="1746"/>
    </row>
    <row r="288" spans="1:17" s="1276" customFormat="1" x14ac:dyDescent="0.2">
      <c r="D288" s="1736"/>
      <c r="E288" s="1737"/>
      <c r="F288" s="1270">
        <f>SUM(G287:P287)</f>
        <v>635116.31342126976</v>
      </c>
      <c r="G288" s="1275" t="s">
        <v>171</v>
      </c>
      <c r="H288" s="1270"/>
      <c r="I288" s="1270"/>
      <c r="J288" s="1270"/>
      <c r="K288" s="1270"/>
      <c r="L288" s="1270"/>
      <c r="M288" s="1270"/>
      <c r="N288" s="1270"/>
      <c r="O288" s="1270"/>
      <c r="P288" s="1746"/>
      <c r="Q288" s="1746"/>
    </row>
    <row r="289" spans="1:17" x14ac:dyDescent="0.2">
      <c r="A289" s="39"/>
      <c r="B289" s="39"/>
      <c r="C289" s="39"/>
      <c r="D289" s="312"/>
      <c r="E289" s="1666"/>
      <c r="F289" s="621"/>
      <c r="G289" s="52"/>
      <c r="H289" s="621"/>
      <c r="I289" s="621"/>
      <c r="J289" s="621"/>
      <c r="K289" s="621"/>
      <c r="L289" s="621"/>
      <c r="M289" s="621"/>
      <c r="N289" s="621"/>
      <c r="O289" s="621"/>
      <c r="P289" s="75"/>
    </row>
    <row r="290" spans="1:17" s="1276" customFormat="1" x14ac:dyDescent="0.2">
      <c r="A290" s="1271" t="s">
        <v>760</v>
      </c>
      <c r="D290" s="1739" t="s">
        <v>461</v>
      </c>
      <c r="E290" s="1737">
        <f>SUM(F290:P290)</f>
        <v>164137.96873858213</v>
      </c>
      <c r="F290" s="1270"/>
      <c r="G290" s="1275"/>
      <c r="H290" s="1475">
        <v>20890</v>
      </c>
      <c r="I290" s="1475">
        <v>35811.992184645533</v>
      </c>
      <c r="J290" s="1475">
        <v>35811.992184645533</v>
      </c>
      <c r="K290" s="1475">
        <v>35811.992184645533</v>
      </c>
      <c r="L290" s="1475">
        <v>35811.992184645533</v>
      </c>
      <c r="M290" s="1475"/>
      <c r="N290" s="1475"/>
      <c r="O290" s="1475"/>
      <c r="P290" s="1475"/>
      <c r="Q290" s="1746"/>
    </row>
    <row r="291" spans="1:17" s="1276" customFormat="1" x14ac:dyDescent="0.2">
      <c r="D291" s="1739" t="s">
        <v>462</v>
      </c>
      <c r="E291" s="1737">
        <f>SUM(F291:P291)</f>
        <v>3535.9544067339384</v>
      </c>
      <c r="F291" s="1270"/>
      <c r="G291" s="1275"/>
      <c r="H291" s="1475"/>
      <c r="I291" s="1475">
        <v>610</v>
      </c>
      <c r="J291" s="1475">
        <v>731.4886016834846</v>
      </c>
      <c r="K291" s="1475">
        <v>731.4886016834846</v>
      </c>
      <c r="L291" s="1475">
        <v>731.4886016834846</v>
      </c>
      <c r="M291" s="1475">
        <v>731.4886016834846</v>
      </c>
      <c r="N291" s="1475"/>
      <c r="O291" s="1475"/>
      <c r="P291" s="1475"/>
      <c r="Q291" s="1746"/>
    </row>
    <row r="292" spans="1:17" s="1276" customFormat="1" x14ac:dyDescent="0.2">
      <c r="D292" s="1739" t="s">
        <v>463</v>
      </c>
      <c r="E292" s="1737">
        <f>SUM(F292:P292)</f>
        <v>15161.45629428223</v>
      </c>
      <c r="F292" s="1270"/>
      <c r="G292" s="1275"/>
      <c r="H292" s="1475"/>
      <c r="I292" s="1475"/>
      <c r="J292" s="1475">
        <v>2614</v>
      </c>
      <c r="K292" s="1475">
        <v>3136.864073570558</v>
      </c>
      <c r="L292" s="1475">
        <v>3136.864073570558</v>
      </c>
      <c r="M292" s="1475">
        <v>3136.864073570558</v>
      </c>
      <c r="N292" s="1475">
        <v>3136.864073570558</v>
      </c>
      <c r="O292" s="1475"/>
      <c r="P292" s="1475"/>
      <c r="Q292" s="1746"/>
    </row>
    <row r="293" spans="1:17" s="1276" customFormat="1" x14ac:dyDescent="0.2">
      <c r="D293" s="1739" t="s">
        <v>653</v>
      </c>
      <c r="E293" s="1737">
        <f>SUM(F293:P293)</f>
        <v>11403.613657167207</v>
      </c>
      <c r="F293" s="1270"/>
      <c r="G293" s="1275"/>
      <c r="H293" s="1475"/>
      <c r="I293" s="1475"/>
      <c r="J293" s="1475"/>
      <c r="K293" s="1475">
        <v>1966</v>
      </c>
      <c r="L293" s="1475">
        <v>2359.4034142918017</v>
      </c>
      <c r="M293" s="1475">
        <v>2359.4034142918017</v>
      </c>
      <c r="N293" s="1475">
        <v>2359.4034142918017</v>
      </c>
      <c r="O293" s="1475">
        <v>2359.4034142918017</v>
      </c>
      <c r="P293" s="1475"/>
      <c r="Q293" s="1746"/>
    </row>
    <row r="294" spans="1:17" s="1276" customFormat="1" x14ac:dyDescent="0.2">
      <c r="D294" s="1739" t="s">
        <v>656</v>
      </c>
      <c r="E294" s="1737">
        <f>SUM(F294:P294)</f>
        <v>19541.288238907182</v>
      </c>
      <c r="F294" s="1270"/>
      <c r="G294" s="1275"/>
      <c r="H294" s="1475"/>
      <c r="I294" s="1475"/>
      <c r="J294" s="1475"/>
      <c r="K294" s="1475"/>
      <c r="L294" s="1475">
        <v>3369</v>
      </c>
      <c r="M294" s="1475">
        <v>4043.0720597267959</v>
      </c>
      <c r="N294" s="1475">
        <v>4043.0720597267959</v>
      </c>
      <c r="O294" s="1475">
        <v>4043.0720597267959</v>
      </c>
      <c r="P294" s="1475">
        <v>4043.0720597267959</v>
      </c>
      <c r="Q294" s="1746"/>
    </row>
    <row r="295" spans="1:17" s="1276" customFormat="1" x14ac:dyDescent="0.2">
      <c r="D295" s="1736" t="s">
        <v>347</v>
      </c>
      <c r="E295" s="1737">
        <f>SUM(E290:E294)</f>
        <v>213780.28133567268</v>
      </c>
      <c r="F295" s="1270"/>
      <c r="G295" s="1275"/>
      <c r="H295" s="1270">
        <f t="shared" ref="H295:P295" si="44">SUM(H290:H294)</f>
        <v>20890</v>
      </c>
      <c r="I295" s="1270">
        <f t="shared" si="44"/>
        <v>36421.992184645533</v>
      </c>
      <c r="J295" s="1270">
        <f t="shared" si="44"/>
        <v>39157.480786329019</v>
      </c>
      <c r="K295" s="1270">
        <f t="shared" si="44"/>
        <v>41646.344859899575</v>
      </c>
      <c r="L295" s="1270">
        <f t="shared" si="44"/>
        <v>45408.748274191377</v>
      </c>
      <c r="M295" s="1270">
        <f t="shared" si="44"/>
        <v>10270.82814927264</v>
      </c>
      <c r="N295" s="1270">
        <f t="shared" si="44"/>
        <v>9539.3395475891557</v>
      </c>
      <c r="O295" s="1270">
        <f t="shared" si="44"/>
        <v>6402.4754740185981</v>
      </c>
      <c r="P295" s="1657">
        <f t="shared" si="44"/>
        <v>4043.0720597267959</v>
      </c>
      <c r="Q295" s="1746"/>
    </row>
    <row r="296" spans="1:17" s="1276" customFormat="1" x14ac:dyDescent="0.2">
      <c r="D296" s="1736"/>
      <c r="E296" s="1737"/>
      <c r="F296" s="1270">
        <f>SUM(G295:P295)</f>
        <v>213780.28133567271</v>
      </c>
      <c r="G296" s="1275" t="s">
        <v>171</v>
      </c>
      <c r="H296" s="1270"/>
      <c r="I296" s="1270"/>
      <c r="J296" s="1270"/>
      <c r="K296" s="1270"/>
      <c r="L296" s="1270"/>
      <c r="M296" s="1270"/>
      <c r="N296" s="1270"/>
      <c r="O296" s="1270"/>
      <c r="P296" s="1746"/>
      <c r="Q296" s="1746"/>
    </row>
    <row r="297" spans="1:17" x14ac:dyDescent="0.2">
      <c r="A297" s="39"/>
      <c r="B297" s="39"/>
      <c r="C297" s="39"/>
      <c r="D297" s="312"/>
      <c r="E297" s="1666"/>
      <c r="F297" s="621"/>
      <c r="G297" s="52"/>
      <c r="H297" s="621"/>
      <c r="I297" s="621"/>
      <c r="J297" s="621"/>
      <c r="K297" s="621"/>
      <c r="L297" s="621"/>
      <c r="M297" s="621"/>
      <c r="N297" s="621"/>
      <c r="O297" s="621"/>
      <c r="P297" s="75"/>
    </row>
    <row r="298" spans="1:17" s="1276" customFormat="1" x14ac:dyDescent="0.2">
      <c r="A298" s="1271" t="s">
        <v>773</v>
      </c>
      <c r="D298" s="1739" t="s">
        <v>461</v>
      </c>
      <c r="E298" s="1737">
        <f>SUM(F298:P298)</f>
        <v>0</v>
      </c>
      <c r="F298" s="1270"/>
      <c r="G298" s="1275"/>
      <c r="H298" s="1281"/>
      <c r="I298" s="1281"/>
      <c r="J298" s="1281"/>
      <c r="K298" s="1281"/>
      <c r="L298" s="1281"/>
      <c r="M298" s="1281"/>
      <c r="N298" s="1281"/>
      <c r="O298" s="1281"/>
      <c r="P298" s="1475"/>
      <c r="Q298" s="1746"/>
    </row>
    <row r="299" spans="1:17" s="1276" customFormat="1" x14ac:dyDescent="0.2">
      <c r="D299" s="1739" t="s">
        <v>462</v>
      </c>
      <c r="E299" s="1737">
        <f>SUM(F299:P299)</f>
        <v>107077.8</v>
      </c>
      <c r="F299" s="1270"/>
      <c r="G299" s="1275"/>
      <c r="H299" s="1281"/>
      <c r="I299" s="1281">
        <v>18462</v>
      </c>
      <c r="J299" s="1281">
        <v>22154</v>
      </c>
      <c r="K299" s="1281">
        <v>22153.8</v>
      </c>
      <c r="L299" s="1281">
        <v>22154</v>
      </c>
      <c r="M299" s="1281">
        <v>22154</v>
      </c>
      <c r="N299" s="1281"/>
      <c r="O299" s="1281"/>
      <c r="P299" s="1475"/>
      <c r="Q299" s="1746"/>
    </row>
    <row r="300" spans="1:17" s="1276" customFormat="1" x14ac:dyDescent="0.2">
      <c r="D300" s="1739" t="s">
        <v>463</v>
      </c>
      <c r="E300" s="1737">
        <f>SUM(F300:P300)</f>
        <v>18458.5</v>
      </c>
      <c r="F300" s="1270"/>
      <c r="G300" s="1275"/>
      <c r="H300" s="1281"/>
      <c r="I300" s="1281"/>
      <c r="J300" s="1281">
        <v>2349.3000000000002</v>
      </c>
      <c r="K300" s="1281">
        <v>4027</v>
      </c>
      <c r="L300" s="1281">
        <v>4027.4</v>
      </c>
      <c r="M300" s="1281">
        <v>4027.4</v>
      </c>
      <c r="N300" s="1281">
        <v>4027.4</v>
      </c>
      <c r="O300" s="1281"/>
      <c r="P300" s="1475"/>
      <c r="Q300" s="1746"/>
    </row>
    <row r="301" spans="1:17" s="1276" customFormat="1" x14ac:dyDescent="0.2">
      <c r="D301" s="1739" t="s">
        <v>653</v>
      </c>
      <c r="E301" s="1737">
        <f>SUM(F301:P301)</f>
        <v>11485.6</v>
      </c>
      <c r="F301" s="1270"/>
      <c r="G301" s="1275"/>
      <c r="H301" s="1281"/>
      <c r="I301" s="1281"/>
      <c r="J301" s="1281"/>
      <c r="K301" s="1281">
        <v>1461.6</v>
      </c>
      <c r="L301" s="1281">
        <v>2506</v>
      </c>
      <c r="M301" s="1281">
        <v>2506</v>
      </c>
      <c r="N301" s="1281">
        <v>2506</v>
      </c>
      <c r="O301" s="1281">
        <v>2506</v>
      </c>
      <c r="P301" s="1475"/>
      <c r="Q301" s="1746"/>
    </row>
    <row r="302" spans="1:17" s="1276" customFormat="1" x14ac:dyDescent="0.2">
      <c r="D302" s="1739" t="s">
        <v>656</v>
      </c>
      <c r="E302" s="1737">
        <f>SUM(F302:P302)</f>
        <v>0</v>
      </c>
      <c r="F302" s="1270"/>
      <c r="G302" s="1275"/>
      <c r="H302" s="1281"/>
      <c r="I302" s="1281"/>
      <c r="J302" s="1281"/>
      <c r="K302" s="1281"/>
      <c r="L302" s="1281">
        <v>0</v>
      </c>
      <c r="M302" s="1281">
        <v>0</v>
      </c>
      <c r="N302" s="1281">
        <v>0</v>
      </c>
      <c r="O302" s="1281">
        <v>0</v>
      </c>
      <c r="P302" s="1475">
        <v>0</v>
      </c>
      <c r="Q302" s="1746"/>
    </row>
    <row r="303" spans="1:17" s="1276" customFormat="1" x14ac:dyDescent="0.2">
      <c r="D303" s="1736" t="s">
        <v>347</v>
      </c>
      <c r="E303" s="1737">
        <f>SUM(E298:E302)</f>
        <v>137021.9</v>
      </c>
      <c r="F303" s="1270"/>
      <c r="G303" s="1275"/>
      <c r="H303" s="1270">
        <f t="shared" ref="H303:P303" si="45">SUM(H298:H302)</f>
        <v>0</v>
      </c>
      <c r="I303" s="1270">
        <f t="shared" si="45"/>
        <v>18462</v>
      </c>
      <c r="J303" s="1270">
        <f t="shared" si="45"/>
        <v>24503.3</v>
      </c>
      <c r="K303" s="1270">
        <f t="shared" si="45"/>
        <v>27642.399999999998</v>
      </c>
      <c r="L303" s="1270">
        <f t="shared" si="45"/>
        <v>28687.4</v>
      </c>
      <c r="M303" s="1270">
        <f t="shared" si="45"/>
        <v>28687.4</v>
      </c>
      <c r="N303" s="1270">
        <f t="shared" si="45"/>
        <v>6533.4</v>
      </c>
      <c r="O303" s="1270">
        <f t="shared" si="45"/>
        <v>2506</v>
      </c>
      <c r="P303" s="1657">
        <f t="shared" si="45"/>
        <v>0</v>
      </c>
      <c r="Q303" s="1746"/>
    </row>
    <row r="304" spans="1:17" s="1276" customFormat="1" x14ac:dyDescent="0.2">
      <c r="D304" s="1736"/>
      <c r="E304" s="1737"/>
      <c r="F304" s="1270">
        <f>SUM(G303:P303)</f>
        <v>137021.9</v>
      </c>
      <c r="G304" s="1275" t="s">
        <v>171</v>
      </c>
      <c r="H304" s="1270"/>
      <c r="I304" s="1270"/>
      <c r="J304" s="1270"/>
      <c r="K304" s="1270"/>
      <c r="L304" s="1270"/>
      <c r="M304" s="1270"/>
      <c r="N304" s="1270"/>
      <c r="O304" s="1270"/>
      <c r="P304" s="1746"/>
      <c r="Q304" s="1746"/>
    </row>
    <row r="305" spans="1:17" x14ac:dyDescent="0.2">
      <c r="A305" s="39"/>
      <c r="B305" s="39"/>
      <c r="C305" s="39"/>
      <c r="D305" s="312"/>
      <c r="E305" s="1666"/>
      <c r="F305" s="621"/>
      <c r="G305" s="52"/>
      <c r="H305" s="621"/>
      <c r="I305" s="621"/>
      <c r="J305" s="621"/>
      <c r="K305" s="621"/>
      <c r="L305" s="621"/>
      <c r="M305" s="621"/>
      <c r="N305" s="621"/>
      <c r="O305" s="621"/>
      <c r="P305" s="75"/>
    </row>
    <row r="306" spans="1:17" s="1276" customFormat="1" x14ac:dyDescent="0.2">
      <c r="A306" s="1271" t="s">
        <v>811</v>
      </c>
      <c r="D306" s="1739" t="s">
        <v>461</v>
      </c>
      <c r="E306" s="1737">
        <f>SUM(F306:P306)</f>
        <v>0</v>
      </c>
      <c r="F306" s="1270"/>
      <c r="G306" s="1275"/>
      <c r="H306" s="1281">
        <v>0</v>
      </c>
      <c r="I306" s="1281">
        <v>0</v>
      </c>
      <c r="J306" s="1281">
        <v>0</v>
      </c>
      <c r="K306" s="1281">
        <v>0</v>
      </c>
      <c r="L306" s="1281">
        <v>0</v>
      </c>
      <c r="M306" s="1281"/>
      <c r="N306" s="1281"/>
      <c r="O306" s="1281"/>
      <c r="P306" s="1475"/>
      <c r="Q306" s="1746"/>
    </row>
    <row r="307" spans="1:17" s="1276" customFormat="1" x14ac:dyDescent="0.2">
      <c r="D307" s="1739" t="s">
        <v>462</v>
      </c>
      <c r="E307" s="1737">
        <f>SUM(F307:P307)</f>
        <v>14799.952871138365</v>
      </c>
      <c r="F307" s="1270"/>
      <c r="G307" s="1275"/>
      <c r="H307" s="1281"/>
      <c r="I307" s="1281">
        <v>1884</v>
      </c>
      <c r="J307" s="1281">
        <v>3228.9882177845911</v>
      </c>
      <c r="K307" s="1281">
        <v>3228.9882177845911</v>
      </c>
      <c r="L307" s="1281">
        <v>3228.9882177845911</v>
      </c>
      <c r="M307" s="1281">
        <v>3228.9882177845911</v>
      </c>
      <c r="N307" s="1281"/>
      <c r="O307" s="1281"/>
      <c r="P307" s="1475"/>
      <c r="Q307" s="1746"/>
    </row>
    <row r="308" spans="1:17" s="1276" customFormat="1" x14ac:dyDescent="0.2">
      <c r="D308" s="1739" t="s">
        <v>463</v>
      </c>
      <c r="E308" s="1737">
        <f>SUM(F308:P308)</f>
        <v>24188.426016129597</v>
      </c>
      <c r="F308" s="1270"/>
      <c r="G308" s="1275"/>
      <c r="H308" s="1281"/>
      <c r="I308" s="1281"/>
      <c r="J308" s="1281">
        <v>3079</v>
      </c>
      <c r="K308" s="1281">
        <v>5277.3565040324002</v>
      </c>
      <c r="L308" s="1281">
        <v>5277.3565040324002</v>
      </c>
      <c r="M308" s="1281">
        <v>5277.3565040324002</v>
      </c>
      <c r="N308" s="1281">
        <v>5277.3565040324002</v>
      </c>
      <c r="O308" s="1281"/>
      <c r="P308" s="1475"/>
      <c r="Q308" s="1746"/>
    </row>
    <row r="309" spans="1:17" s="1276" customFormat="1" x14ac:dyDescent="0.2">
      <c r="D309" s="1739" t="s">
        <v>653</v>
      </c>
      <c r="E309" s="1737">
        <f>SUM(F309:P309)</f>
        <v>177876.16436962679</v>
      </c>
      <c r="F309" s="1270"/>
      <c r="G309" s="1275"/>
      <c r="H309" s="1281"/>
      <c r="I309" s="1281"/>
      <c r="J309" s="1281"/>
      <c r="K309" s="1281">
        <v>22639</v>
      </c>
      <c r="L309" s="1281">
        <v>38809.291092406696</v>
      </c>
      <c r="M309" s="1281">
        <v>38809.291092406696</v>
      </c>
      <c r="N309" s="1281">
        <v>38809.291092406696</v>
      </c>
      <c r="O309" s="1281">
        <v>38809.291092406696</v>
      </c>
      <c r="P309" s="1475"/>
      <c r="Q309" s="1746"/>
    </row>
    <row r="310" spans="1:17" s="1276" customFormat="1" x14ac:dyDescent="0.2">
      <c r="D310" s="1739" t="s">
        <v>656</v>
      </c>
      <c r="E310" s="1737">
        <f>SUM(F310:P310)</f>
        <v>8448.0264985710237</v>
      </c>
      <c r="F310" s="1270"/>
      <c r="G310" s="1275"/>
      <c r="H310" s="1281"/>
      <c r="I310" s="1281"/>
      <c r="J310" s="1281"/>
      <c r="K310" s="1281"/>
      <c r="L310" s="1281">
        <v>1075</v>
      </c>
      <c r="M310" s="1281">
        <v>1843.2566246427559</v>
      </c>
      <c r="N310" s="1281">
        <v>1843.2566246427559</v>
      </c>
      <c r="O310" s="1281">
        <v>1843.2566246427559</v>
      </c>
      <c r="P310" s="1475">
        <v>1843.2566246427559</v>
      </c>
      <c r="Q310" s="1746"/>
    </row>
    <row r="311" spans="1:17" s="1276" customFormat="1" x14ac:dyDescent="0.2">
      <c r="D311" s="1736" t="s">
        <v>347</v>
      </c>
      <c r="E311" s="1737">
        <f>SUM(E306:E310)</f>
        <v>225312.56975546578</v>
      </c>
      <c r="F311" s="1270"/>
      <c r="G311" s="1275"/>
      <c r="H311" s="1270">
        <f t="shared" ref="H311:P311" si="46">SUM(H306:H310)</f>
        <v>0</v>
      </c>
      <c r="I311" s="1270">
        <f t="shared" si="46"/>
        <v>1884</v>
      </c>
      <c r="J311" s="1270">
        <f t="shared" si="46"/>
        <v>6307.9882177845911</v>
      </c>
      <c r="K311" s="1270">
        <f t="shared" si="46"/>
        <v>31145.344721816989</v>
      </c>
      <c r="L311" s="1270">
        <f t="shared" si="46"/>
        <v>48390.635814223686</v>
      </c>
      <c r="M311" s="1270">
        <f t="shared" si="46"/>
        <v>49158.892438866445</v>
      </c>
      <c r="N311" s="1270">
        <f t="shared" si="46"/>
        <v>45929.904221081859</v>
      </c>
      <c r="O311" s="1270">
        <f t="shared" si="46"/>
        <v>40652.547717049456</v>
      </c>
      <c r="P311" s="1657">
        <f t="shared" si="46"/>
        <v>1843.2566246427559</v>
      </c>
      <c r="Q311" s="1746"/>
    </row>
    <row r="312" spans="1:17" s="1276" customFormat="1" x14ac:dyDescent="0.2">
      <c r="D312" s="1736"/>
      <c r="E312" s="1737"/>
      <c r="F312" s="1270">
        <f>SUM(G311:P311)</f>
        <v>225312.56975546581</v>
      </c>
      <c r="G312" s="1275" t="s">
        <v>171</v>
      </c>
      <c r="H312" s="1270"/>
      <c r="I312" s="1270"/>
      <c r="J312" s="1270"/>
      <c r="K312" s="1270"/>
      <c r="L312" s="1270"/>
      <c r="M312" s="1270"/>
      <c r="N312" s="1270"/>
      <c r="O312" s="1270"/>
      <c r="P312" s="1746"/>
      <c r="Q312" s="1746"/>
    </row>
    <row r="313" spans="1:17" x14ac:dyDescent="0.2">
      <c r="A313" s="39"/>
      <c r="B313" s="39"/>
      <c r="C313" s="39"/>
      <c r="D313" s="312"/>
      <c r="E313" s="1666"/>
      <c r="F313" s="621"/>
      <c r="G313" s="52"/>
      <c r="H313" s="621"/>
      <c r="I313" s="621"/>
      <c r="J313" s="621"/>
      <c r="K313" s="621"/>
      <c r="L313" s="621"/>
      <c r="M313" s="621"/>
      <c r="N313" s="621"/>
      <c r="O313" s="621"/>
      <c r="P313" s="75"/>
    </row>
    <row r="314" spans="1:17" s="1276" customFormat="1" x14ac:dyDescent="0.2">
      <c r="A314" s="1271" t="s">
        <v>859</v>
      </c>
      <c r="D314" s="1739" t="s">
        <v>461</v>
      </c>
      <c r="E314" s="1737">
        <f>SUM(F314:P314)</f>
        <v>68249</v>
      </c>
      <c r="F314" s="1270"/>
      <c r="G314" s="1275"/>
      <c r="H314" s="1281">
        <v>1393</v>
      </c>
      <c r="I314" s="1281">
        <v>16714</v>
      </c>
      <c r="J314" s="1281">
        <v>16714</v>
      </c>
      <c r="K314" s="1281">
        <v>16714</v>
      </c>
      <c r="L314" s="1281">
        <v>16714</v>
      </c>
      <c r="M314" s="1281"/>
      <c r="N314" s="1281"/>
      <c r="O314" s="1281"/>
      <c r="P314" s="1475"/>
      <c r="Q314" s="1746"/>
    </row>
    <row r="315" spans="1:17" s="1276" customFormat="1" x14ac:dyDescent="0.2">
      <c r="D315" s="1739" t="s">
        <v>462</v>
      </c>
      <c r="E315" s="1737">
        <f>SUM(F315:P315)</f>
        <v>90495</v>
      </c>
      <c r="F315" s="1270"/>
      <c r="G315" s="1275"/>
      <c r="H315" s="1281"/>
      <c r="I315" s="1281">
        <v>15603</v>
      </c>
      <c r="J315" s="1281">
        <v>18723</v>
      </c>
      <c r="K315" s="1281">
        <v>18723</v>
      </c>
      <c r="L315" s="1281">
        <v>18723</v>
      </c>
      <c r="M315" s="1281">
        <v>18723</v>
      </c>
      <c r="N315" s="1281"/>
      <c r="O315" s="1281"/>
      <c r="P315" s="1475"/>
      <c r="Q315" s="1746"/>
    </row>
    <row r="316" spans="1:17" s="1276" customFormat="1" x14ac:dyDescent="0.2">
      <c r="D316" s="1739" t="s">
        <v>463</v>
      </c>
      <c r="E316" s="1737">
        <f>SUM(F316:P316)</f>
        <v>23173</v>
      </c>
      <c r="F316" s="1270"/>
      <c r="G316" s="1275"/>
      <c r="H316" s="1281"/>
      <c r="I316" s="1281"/>
      <c r="J316" s="1281">
        <v>2949</v>
      </c>
      <c r="K316" s="1281">
        <v>5056</v>
      </c>
      <c r="L316" s="1281">
        <v>5056</v>
      </c>
      <c r="M316" s="1281">
        <v>5056</v>
      </c>
      <c r="N316" s="1281">
        <v>5056</v>
      </c>
      <c r="O316" s="1281"/>
      <c r="P316" s="1475"/>
      <c r="Q316" s="1746"/>
    </row>
    <row r="317" spans="1:17" s="1276" customFormat="1" x14ac:dyDescent="0.2">
      <c r="D317" s="1739" t="s">
        <v>653</v>
      </c>
      <c r="E317" s="1737">
        <f>SUM(F317:P317)</f>
        <v>37414</v>
      </c>
      <c r="F317" s="1270"/>
      <c r="G317" s="1275"/>
      <c r="H317" s="1281"/>
      <c r="I317" s="1281"/>
      <c r="J317" s="1281"/>
      <c r="K317" s="1281">
        <v>4762</v>
      </c>
      <c r="L317" s="1281">
        <v>8163</v>
      </c>
      <c r="M317" s="1281">
        <v>8163</v>
      </c>
      <c r="N317" s="1281">
        <v>8163</v>
      </c>
      <c r="O317" s="1281">
        <v>8163</v>
      </c>
      <c r="P317" s="1475"/>
      <c r="Q317" s="1746"/>
    </row>
    <row r="318" spans="1:17" s="1276" customFormat="1" x14ac:dyDescent="0.2">
      <c r="D318" s="1739" t="s">
        <v>656</v>
      </c>
      <c r="E318" s="1737">
        <f>SUM(F318:P318)</f>
        <v>0</v>
      </c>
      <c r="F318" s="1270"/>
      <c r="G318" s="1275"/>
      <c r="H318" s="1281"/>
      <c r="I318" s="1281"/>
      <c r="J318" s="1281"/>
      <c r="K318" s="1281"/>
      <c r="L318" s="1281">
        <v>0</v>
      </c>
      <c r="M318" s="1281">
        <v>0</v>
      </c>
      <c r="N318" s="1281">
        <v>0</v>
      </c>
      <c r="O318" s="1281">
        <v>0</v>
      </c>
      <c r="P318" s="1475">
        <v>0</v>
      </c>
      <c r="Q318" s="1746"/>
    </row>
    <row r="319" spans="1:17" s="1276" customFormat="1" x14ac:dyDescent="0.2">
      <c r="D319" s="1736" t="s">
        <v>347</v>
      </c>
      <c r="E319" s="1737">
        <f>SUM(E314:E318)</f>
        <v>219331</v>
      </c>
      <c r="F319" s="1270"/>
      <c r="G319" s="1275"/>
      <c r="H319" s="1270">
        <f t="shared" ref="H319:P319" si="47">SUM(H314:H318)</f>
        <v>1393</v>
      </c>
      <c r="I319" s="1270">
        <f t="shared" si="47"/>
        <v>32317</v>
      </c>
      <c r="J319" s="1270">
        <f t="shared" si="47"/>
        <v>38386</v>
      </c>
      <c r="K319" s="1270">
        <f t="shared" si="47"/>
        <v>45255</v>
      </c>
      <c r="L319" s="1270">
        <f t="shared" si="47"/>
        <v>48656</v>
      </c>
      <c r="M319" s="1270">
        <f t="shared" si="47"/>
        <v>31942</v>
      </c>
      <c r="N319" s="1270">
        <f t="shared" si="47"/>
        <v>13219</v>
      </c>
      <c r="O319" s="1270">
        <f t="shared" si="47"/>
        <v>8163</v>
      </c>
      <c r="P319" s="1657">
        <f t="shared" si="47"/>
        <v>0</v>
      </c>
      <c r="Q319" s="1746"/>
    </row>
    <row r="320" spans="1:17" s="1276" customFormat="1" x14ac:dyDescent="0.2">
      <c r="D320" s="1736"/>
      <c r="E320" s="1737"/>
      <c r="F320" s="1270">
        <f>SUM(G319:P319)</f>
        <v>219331</v>
      </c>
      <c r="G320" s="1275" t="s">
        <v>171</v>
      </c>
      <c r="H320" s="1270"/>
      <c r="I320" s="1270"/>
      <c r="J320" s="1270"/>
      <c r="K320" s="1270"/>
      <c r="L320" s="1270"/>
      <c r="M320" s="1270"/>
      <c r="N320" s="1270"/>
      <c r="O320" s="1270"/>
      <c r="P320" s="1746"/>
      <c r="Q320" s="1746"/>
    </row>
    <row r="321" spans="1:17" s="39" customFormat="1" x14ac:dyDescent="0.2">
      <c r="D321" s="312"/>
      <c r="E321" s="1666"/>
      <c r="F321" s="621"/>
      <c r="G321" s="52"/>
      <c r="H321" s="621"/>
      <c r="I321" s="621"/>
      <c r="J321" s="621"/>
      <c r="K321" s="621"/>
      <c r="L321" s="621"/>
      <c r="M321" s="621"/>
      <c r="N321" s="621"/>
      <c r="O321" s="621"/>
      <c r="P321" s="75"/>
      <c r="Q321" s="75"/>
    </row>
    <row r="322" spans="1:17" s="1271" customFormat="1" x14ac:dyDescent="0.2">
      <c r="A322" s="1271" t="s">
        <v>911</v>
      </c>
      <c r="D322" s="2003" t="s">
        <v>461</v>
      </c>
      <c r="E322" s="1737">
        <f>SUM(F322:P322)</f>
        <v>15860</v>
      </c>
      <c r="F322" s="1270"/>
      <c r="G322" s="1270"/>
      <c r="H322" s="1270">
        <v>324</v>
      </c>
      <c r="I322" s="1270">
        <v>3884</v>
      </c>
      <c r="J322" s="1270">
        <v>3884</v>
      </c>
      <c r="K322" s="1270">
        <v>3884</v>
      </c>
      <c r="L322" s="1270">
        <v>3884</v>
      </c>
      <c r="M322" s="1270"/>
      <c r="N322" s="1270"/>
      <c r="O322" s="1270"/>
      <c r="P322" s="1657"/>
      <c r="Q322" s="1657"/>
    </row>
    <row r="323" spans="1:17" s="1271" customFormat="1" x14ac:dyDescent="0.2">
      <c r="D323" s="2003" t="s">
        <v>462</v>
      </c>
      <c r="E323" s="1737">
        <f>SUM(F323:P323)</f>
        <v>65908</v>
      </c>
      <c r="F323" s="1270"/>
      <c r="G323" s="1270"/>
      <c r="H323" s="1270"/>
      <c r="I323" s="1270">
        <v>11364</v>
      </c>
      <c r="J323" s="1270">
        <v>13636</v>
      </c>
      <c r="K323" s="1270">
        <v>13636</v>
      </c>
      <c r="L323" s="1270">
        <v>13636</v>
      </c>
      <c r="M323" s="1270">
        <v>13636</v>
      </c>
      <c r="N323" s="1270"/>
      <c r="O323" s="1270"/>
      <c r="P323" s="1657"/>
      <c r="Q323" s="1657"/>
    </row>
    <row r="324" spans="1:17" s="1271" customFormat="1" x14ac:dyDescent="0.2">
      <c r="D324" s="2003" t="s">
        <v>463</v>
      </c>
      <c r="E324" s="1737">
        <f>SUM(F324:P324)</f>
        <v>37405</v>
      </c>
      <c r="F324" s="1270"/>
      <c r="G324" s="1270"/>
      <c r="H324" s="1270"/>
      <c r="I324" s="1270"/>
      <c r="J324" s="1270">
        <v>6449</v>
      </c>
      <c r="K324" s="1270">
        <v>7739</v>
      </c>
      <c r="L324" s="1270">
        <v>7739</v>
      </c>
      <c r="M324" s="1270">
        <v>7739</v>
      </c>
      <c r="N324" s="1270">
        <v>7739</v>
      </c>
      <c r="O324" s="1270"/>
      <c r="P324" s="1657"/>
      <c r="Q324" s="1657"/>
    </row>
    <row r="325" spans="1:17" s="1271" customFormat="1" x14ac:dyDescent="0.2">
      <c r="D325" s="2003" t="s">
        <v>653</v>
      </c>
      <c r="E325" s="1737">
        <f>SUM(F325:P325)</f>
        <v>0</v>
      </c>
      <c r="F325" s="1270"/>
      <c r="G325" s="1270"/>
      <c r="H325" s="1270"/>
      <c r="I325" s="1270"/>
      <c r="J325" s="1270"/>
      <c r="K325" s="1270">
        <v>0</v>
      </c>
      <c r="L325" s="1270">
        <v>0</v>
      </c>
      <c r="M325" s="1270">
        <v>0</v>
      </c>
      <c r="N325" s="1270">
        <v>0</v>
      </c>
      <c r="O325" s="1270">
        <v>0</v>
      </c>
      <c r="P325" s="1657"/>
      <c r="Q325" s="1657"/>
    </row>
    <row r="326" spans="1:17" s="1271" customFormat="1" x14ac:dyDescent="0.2">
      <c r="D326" s="2003" t="s">
        <v>656</v>
      </c>
      <c r="E326" s="1737">
        <f>SUM(F326:P326)</f>
        <v>0</v>
      </c>
      <c r="F326" s="1270"/>
      <c r="G326" s="1270"/>
      <c r="H326" s="1270"/>
      <c r="I326" s="1270"/>
      <c r="J326" s="1270"/>
      <c r="K326" s="1270"/>
      <c r="L326" s="1270">
        <v>0</v>
      </c>
      <c r="M326" s="1270">
        <v>0</v>
      </c>
      <c r="N326" s="1270">
        <v>0</v>
      </c>
      <c r="O326" s="1270">
        <v>0</v>
      </c>
      <c r="P326" s="1657">
        <v>0</v>
      </c>
      <c r="Q326" s="1657"/>
    </row>
    <row r="327" spans="1:17" s="1271" customFormat="1" x14ac:dyDescent="0.2">
      <c r="D327" s="2003" t="s">
        <v>347</v>
      </c>
      <c r="E327" s="1737">
        <f>SUM(E322:E326)</f>
        <v>119173</v>
      </c>
      <c r="F327" s="1270"/>
      <c r="G327" s="1270"/>
      <c r="H327" s="1270">
        <f t="shared" ref="H327:P327" si="48">SUM(H322:H326)</f>
        <v>324</v>
      </c>
      <c r="I327" s="1270">
        <f t="shared" si="48"/>
        <v>15248</v>
      </c>
      <c r="J327" s="1270">
        <f t="shared" si="48"/>
        <v>23969</v>
      </c>
      <c r="K327" s="1270">
        <f t="shared" si="48"/>
        <v>25259</v>
      </c>
      <c r="L327" s="1270">
        <f t="shared" si="48"/>
        <v>25259</v>
      </c>
      <c r="M327" s="1270">
        <f t="shared" si="48"/>
        <v>21375</v>
      </c>
      <c r="N327" s="1270">
        <f t="shared" si="48"/>
        <v>7739</v>
      </c>
      <c r="O327" s="1270">
        <f t="shared" si="48"/>
        <v>0</v>
      </c>
      <c r="P327" s="1657">
        <f t="shared" si="48"/>
        <v>0</v>
      </c>
      <c r="Q327" s="1657"/>
    </row>
    <row r="328" spans="1:17" s="1271" customFormat="1" x14ac:dyDescent="0.2">
      <c r="D328" s="2003"/>
      <c r="E328" s="1737"/>
      <c r="F328" s="1270">
        <f>SUM(G327:P327)</f>
        <v>119173</v>
      </c>
      <c r="G328" s="1270" t="s">
        <v>171</v>
      </c>
      <c r="H328" s="1270"/>
      <c r="I328" s="1270"/>
      <c r="J328" s="1270"/>
      <c r="K328" s="1270"/>
      <c r="L328" s="1270"/>
      <c r="M328" s="1270"/>
      <c r="N328" s="1270"/>
      <c r="O328" s="1270"/>
      <c r="P328" s="1657"/>
      <c r="Q328" s="1657"/>
    </row>
    <row r="329" spans="1:17" s="39" customFormat="1" x14ac:dyDescent="0.2">
      <c r="D329" s="312"/>
      <c r="E329" s="1666"/>
      <c r="F329" s="621"/>
      <c r="G329" s="52"/>
      <c r="H329" s="621"/>
      <c r="I329" s="621"/>
      <c r="J329" s="621"/>
      <c r="K329" s="621"/>
      <c r="L329" s="621"/>
      <c r="M329" s="621"/>
      <c r="N329" s="621"/>
      <c r="O329" s="621"/>
      <c r="P329" s="75"/>
      <c r="Q329" s="75"/>
    </row>
    <row r="330" spans="1:17" s="1276" customFormat="1" x14ac:dyDescent="0.2">
      <c r="A330" s="1271" t="s">
        <v>912</v>
      </c>
      <c r="D330" s="1739" t="s">
        <v>461</v>
      </c>
      <c r="E330" s="1737">
        <f>SUM(F330:P330)</f>
        <v>132056.80000000002</v>
      </c>
      <c r="F330" s="1270"/>
      <c r="G330" s="1275"/>
      <c r="H330" s="1281">
        <v>2695.4</v>
      </c>
      <c r="I330" s="1281">
        <v>32340.400000000001</v>
      </c>
      <c r="J330" s="1281">
        <v>32340.400000000001</v>
      </c>
      <c r="K330" s="1281">
        <v>32340.400000000001</v>
      </c>
      <c r="L330" s="1281">
        <v>32340.2</v>
      </c>
      <c r="M330" s="1281"/>
      <c r="N330" s="1281"/>
      <c r="O330" s="1281"/>
      <c r="P330" s="1475"/>
      <c r="Q330" s="1746"/>
    </row>
    <row r="331" spans="1:17" s="1276" customFormat="1" x14ac:dyDescent="0.2">
      <c r="D331" s="1739" t="s">
        <v>462</v>
      </c>
      <c r="E331" s="1737">
        <f>SUM(F331:P331)</f>
        <v>148189.79999999999</v>
      </c>
      <c r="F331" s="1270"/>
      <c r="G331" s="1275"/>
      <c r="H331" s="1281"/>
      <c r="I331" s="1281">
        <v>18861</v>
      </c>
      <c r="J331" s="1281">
        <v>32332.400000000001</v>
      </c>
      <c r="K331" s="1281">
        <v>32332.400000000001</v>
      </c>
      <c r="L331" s="1281">
        <v>32332</v>
      </c>
      <c r="M331" s="1281">
        <v>32332</v>
      </c>
      <c r="N331" s="1281"/>
      <c r="O331" s="1281"/>
      <c r="P331" s="1475"/>
      <c r="Q331" s="1746"/>
    </row>
    <row r="332" spans="1:17" s="1276" customFormat="1" x14ac:dyDescent="0.2">
      <c r="D332" s="1739" t="s">
        <v>463</v>
      </c>
      <c r="E332" s="1737">
        <f>SUM(F332:P332)</f>
        <v>148152.79999999999</v>
      </c>
      <c r="F332" s="1270"/>
      <c r="G332" s="1275"/>
      <c r="H332" s="1281"/>
      <c r="I332" s="1281"/>
      <c r="J332" s="1281">
        <v>18856</v>
      </c>
      <c r="K332" s="1281">
        <v>32324.400000000001</v>
      </c>
      <c r="L332" s="1281">
        <v>32324.400000000001</v>
      </c>
      <c r="M332" s="1281">
        <v>32324</v>
      </c>
      <c r="N332" s="1281">
        <v>32324</v>
      </c>
      <c r="O332" s="1281"/>
      <c r="P332" s="1475"/>
      <c r="Q332" s="1746"/>
    </row>
    <row r="333" spans="1:17" s="1276" customFormat="1" x14ac:dyDescent="0.2">
      <c r="D333" s="1739" t="s">
        <v>653</v>
      </c>
      <c r="E333" s="1737">
        <f>SUM(F333:P333)</f>
        <v>148115</v>
      </c>
      <c r="F333" s="1270"/>
      <c r="G333" s="1275"/>
      <c r="H333" s="1281"/>
      <c r="I333" s="1281"/>
      <c r="J333" s="1281"/>
      <c r="K333" s="1281">
        <v>18851</v>
      </c>
      <c r="L333" s="1281">
        <v>32316</v>
      </c>
      <c r="M333" s="1281">
        <v>32316</v>
      </c>
      <c r="N333" s="1281">
        <v>32316</v>
      </c>
      <c r="O333" s="1281">
        <v>32316</v>
      </c>
      <c r="P333" s="1475"/>
      <c r="Q333" s="1746"/>
    </row>
    <row r="334" spans="1:17" s="1276" customFormat="1" x14ac:dyDescent="0.2">
      <c r="D334" s="1739" t="s">
        <v>656</v>
      </c>
      <c r="E334" s="1737">
        <f>SUM(F334:P334)</f>
        <v>148078</v>
      </c>
      <c r="F334" s="1270"/>
      <c r="G334" s="1275"/>
      <c r="H334" s="1281"/>
      <c r="I334" s="1281"/>
      <c r="J334" s="1281"/>
      <c r="K334" s="1281"/>
      <c r="L334" s="1281">
        <v>18846</v>
      </c>
      <c r="M334" s="1281">
        <v>32308</v>
      </c>
      <c r="N334" s="1281">
        <v>32308</v>
      </c>
      <c r="O334" s="1281">
        <v>32308</v>
      </c>
      <c r="P334" s="1475">
        <v>32308</v>
      </c>
      <c r="Q334" s="1746"/>
    </row>
    <row r="335" spans="1:17" s="1276" customFormat="1" x14ac:dyDescent="0.2">
      <c r="D335" s="1736" t="s">
        <v>347</v>
      </c>
      <c r="E335" s="1737">
        <f>SUM(E330:E334)</f>
        <v>724592.39999999991</v>
      </c>
      <c r="F335" s="1270"/>
      <c r="G335" s="1275"/>
      <c r="H335" s="1270">
        <f t="shared" ref="H335:P335" si="49">SUM(H330:H334)</f>
        <v>2695.4</v>
      </c>
      <c r="I335" s="1270">
        <f t="shared" si="49"/>
        <v>51201.4</v>
      </c>
      <c r="J335" s="1270">
        <f t="shared" si="49"/>
        <v>83528.800000000003</v>
      </c>
      <c r="K335" s="1270">
        <f t="shared" si="49"/>
        <v>115848.20000000001</v>
      </c>
      <c r="L335" s="1270">
        <f t="shared" si="49"/>
        <v>148158.6</v>
      </c>
      <c r="M335" s="1270">
        <f t="shared" si="49"/>
        <v>129280</v>
      </c>
      <c r="N335" s="1270">
        <f t="shared" si="49"/>
        <v>96948</v>
      </c>
      <c r="O335" s="1270">
        <f t="shared" si="49"/>
        <v>64624</v>
      </c>
      <c r="P335" s="1657">
        <f t="shared" si="49"/>
        <v>32308</v>
      </c>
      <c r="Q335" s="1746"/>
    </row>
    <row r="336" spans="1:17" s="1276" customFormat="1" x14ac:dyDescent="0.2">
      <c r="D336" s="1736"/>
      <c r="E336" s="1737"/>
      <c r="F336" s="1270">
        <f>SUM(G335:P335)</f>
        <v>724592.4</v>
      </c>
      <c r="G336" s="1275" t="s">
        <v>171</v>
      </c>
      <c r="H336" s="1270"/>
      <c r="I336" s="1270"/>
      <c r="J336" s="1270"/>
      <c r="K336" s="1270"/>
      <c r="L336" s="1270"/>
      <c r="M336" s="1270"/>
      <c r="N336" s="1270"/>
      <c r="O336" s="1270"/>
      <c r="P336" s="1746"/>
      <c r="Q336" s="1746"/>
    </row>
    <row r="337" spans="1:17" s="39" customFormat="1" x14ac:dyDescent="0.2">
      <c r="D337" s="312"/>
      <c r="E337" s="1666"/>
      <c r="F337" s="621"/>
      <c r="G337" s="52"/>
      <c r="H337" s="621"/>
      <c r="I337" s="621"/>
      <c r="J337" s="621"/>
      <c r="K337" s="621"/>
      <c r="L337" s="621"/>
      <c r="M337" s="621"/>
      <c r="N337" s="621"/>
      <c r="O337" s="621"/>
      <c r="P337" s="75"/>
      <c r="Q337" s="75"/>
    </row>
    <row r="338" spans="1:17" s="1271" customFormat="1" x14ac:dyDescent="0.2">
      <c r="A338" s="1271" t="s">
        <v>935</v>
      </c>
      <c r="D338" s="2003" t="s">
        <v>461</v>
      </c>
      <c r="E338" s="1737">
        <f>SUM(F338:P338)</f>
        <v>21005</v>
      </c>
      <c r="F338" s="1270"/>
      <c r="G338" s="1270"/>
      <c r="H338" s="1270">
        <v>429</v>
      </c>
      <c r="I338" s="1270">
        <v>5144</v>
      </c>
      <c r="J338" s="1270">
        <v>5144</v>
      </c>
      <c r="K338" s="1270">
        <v>5144</v>
      </c>
      <c r="L338" s="1270">
        <v>5144</v>
      </c>
      <c r="M338" s="1270"/>
      <c r="N338" s="1270"/>
      <c r="O338" s="1270"/>
      <c r="P338" s="1657"/>
      <c r="Q338" s="1657"/>
    </row>
    <row r="339" spans="1:17" s="1271" customFormat="1" x14ac:dyDescent="0.2">
      <c r="D339" s="2003" t="s">
        <v>462</v>
      </c>
      <c r="E339" s="1737">
        <f>SUM(F339:P339)</f>
        <v>190023</v>
      </c>
      <c r="F339" s="1270"/>
      <c r="G339" s="1270"/>
      <c r="H339" s="1270"/>
      <c r="I339" s="1270">
        <v>32763</v>
      </c>
      <c r="J339" s="1270">
        <v>39315</v>
      </c>
      <c r="K339" s="1270">
        <v>39315</v>
      </c>
      <c r="L339" s="1270">
        <v>39315</v>
      </c>
      <c r="M339" s="1270">
        <v>39315</v>
      </c>
      <c r="N339" s="1270"/>
      <c r="O339" s="1270"/>
      <c r="P339" s="1657"/>
      <c r="Q339" s="1657"/>
    </row>
    <row r="340" spans="1:17" s="1271" customFormat="1" x14ac:dyDescent="0.2">
      <c r="D340" s="2003" t="s">
        <v>463</v>
      </c>
      <c r="E340" s="1737">
        <f>SUM(F340:P340)</f>
        <v>60675</v>
      </c>
      <c r="F340" s="1270"/>
      <c r="G340" s="1270"/>
      <c r="H340" s="1270"/>
      <c r="I340" s="1270"/>
      <c r="J340" s="1270">
        <v>4667</v>
      </c>
      <c r="K340" s="1270">
        <v>14002</v>
      </c>
      <c r="L340" s="1270">
        <v>14002</v>
      </c>
      <c r="M340" s="1270">
        <v>14002</v>
      </c>
      <c r="N340" s="1270">
        <v>14002</v>
      </c>
      <c r="O340" s="1270"/>
      <c r="P340" s="1657"/>
      <c r="Q340" s="1657"/>
    </row>
    <row r="341" spans="1:17" s="1271" customFormat="1" x14ac:dyDescent="0.2">
      <c r="D341" s="2003" t="s">
        <v>653</v>
      </c>
      <c r="E341" s="1737">
        <f>SUM(F341:P341)</f>
        <v>0</v>
      </c>
      <c r="F341" s="1270"/>
      <c r="G341" s="1270"/>
      <c r="H341" s="1270"/>
      <c r="I341" s="1270"/>
      <c r="J341" s="1270"/>
      <c r="K341" s="1270">
        <v>0</v>
      </c>
      <c r="L341" s="1270">
        <v>0</v>
      </c>
      <c r="M341" s="1270">
        <v>0</v>
      </c>
      <c r="N341" s="1270">
        <v>0</v>
      </c>
      <c r="O341" s="1270">
        <v>0</v>
      </c>
      <c r="P341" s="1657"/>
      <c r="Q341" s="1657"/>
    </row>
    <row r="342" spans="1:17" s="1271" customFormat="1" x14ac:dyDescent="0.2">
      <c r="D342" s="2003" t="s">
        <v>656</v>
      </c>
      <c r="E342" s="1737">
        <f>SUM(F342:P342)</f>
        <v>0</v>
      </c>
      <c r="F342" s="1270"/>
      <c r="G342" s="1270"/>
      <c r="H342" s="1270"/>
      <c r="I342" s="1270"/>
      <c r="J342" s="1270"/>
      <c r="K342" s="1270"/>
      <c r="L342" s="1270">
        <v>0</v>
      </c>
      <c r="M342" s="1270">
        <v>0</v>
      </c>
      <c r="N342" s="1270">
        <v>0</v>
      </c>
      <c r="O342" s="1270">
        <v>0</v>
      </c>
      <c r="P342" s="1657">
        <v>0</v>
      </c>
      <c r="Q342" s="1657"/>
    </row>
    <row r="343" spans="1:17" s="1271" customFormat="1" x14ac:dyDescent="0.2">
      <c r="D343" s="2003" t="s">
        <v>347</v>
      </c>
      <c r="E343" s="1737">
        <f>SUM(E338:E342)</f>
        <v>271703</v>
      </c>
      <c r="F343" s="1270"/>
      <c r="G343" s="1270"/>
      <c r="H343" s="1270">
        <f t="shared" ref="H343:P343" si="50">SUM(H338:H342)</f>
        <v>429</v>
      </c>
      <c r="I343" s="1270">
        <f t="shared" si="50"/>
        <v>37907</v>
      </c>
      <c r="J343" s="1270">
        <f t="shared" si="50"/>
        <v>49126</v>
      </c>
      <c r="K343" s="1270">
        <f t="shared" si="50"/>
        <v>58461</v>
      </c>
      <c r="L343" s="1270">
        <f t="shared" si="50"/>
        <v>58461</v>
      </c>
      <c r="M343" s="1270">
        <f t="shared" si="50"/>
        <v>53317</v>
      </c>
      <c r="N343" s="1270">
        <f t="shared" si="50"/>
        <v>14002</v>
      </c>
      <c r="O343" s="1270">
        <f t="shared" si="50"/>
        <v>0</v>
      </c>
      <c r="P343" s="1657">
        <f t="shared" si="50"/>
        <v>0</v>
      </c>
      <c r="Q343" s="1657"/>
    </row>
    <row r="344" spans="1:17" s="1271" customFormat="1" x14ac:dyDescent="0.2">
      <c r="D344" s="2003"/>
      <c r="E344" s="1737"/>
      <c r="F344" s="1270">
        <f>SUM(G343:P343)</f>
        <v>271703</v>
      </c>
      <c r="G344" s="1270" t="s">
        <v>171</v>
      </c>
      <c r="H344" s="1270"/>
      <c r="I344" s="1270"/>
      <c r="J344" s="1270"/>
      <c r="K344" s="1270"/>
      <c r="L344" s="1270"/>
      <c r="M344" s="1270"/>
      <c r="N344" s="1270"/>
      <c r="O344" s="1270"/>
      <c r="P344" s="1657"/>
      <c r="Q344" s="1657"/>
    </row>
    <row r="345" spans="1:17" s="39" customFormat="1" x14ac:dyDescent="0.2">
      <c r="D345" s="312"/>
      <c r="E345" s="1666"/>
      <c r="F345" s="621"/>
      <c r="G345" s="52"/>
      <c r="H345" s="621"/>
      <c r="I345" s="621"/>
      <c r="J345" s="621"/>
      <c r="K345" s="621"/>
      <c r="L345" s="621"/>
      <c r="M345" s="621"/>
      <c r="N345" s="621"/>
      <c r="O345" s="621"/>
      <c r="P345" s="75"/>
      <c r="Q345" s="75"/>
    </row>
    <row r="346" spans="1:17" s="1505" customFormat="1" x14ac:dyDescent="0.2">
      <c r="A346" s="1932" t="s">
        <v>891</v>
      </c>
      <c r="D346" s="1767" t="s">
        <v>462</v>
      </c>
      <c r="E346" s="1768">
        <f>SUM(F346:Q346)</f>
        <v>546322.80000000005</v>
      </c>
      <c r="F346" s="1769"/>
      <c r="G346" s="1329"/>
      <c r="H346" s="1250"/>
      <c r="I346" s="1250">
        <v>69531.600000000006</v>
      </c>
      <c r="J346" s="1250">
        <v>119197.8</v>
      </c>
      <c r="K346" s="1250">
        <v>119197.8</v>
      </c>
      <c r="L346" s="1250">
        <v>119197.8</v>
      </c>
      <c r="M346" s="1250">
        <v>119197.8</v>
      </c>
      <c r="N346" s="1250"/>
      <c r="O346" s="1250"/>
      <c r="P346" s="1748"/>
      <c r="Q346" s="1770"/>
    </row>
    <row r="347" spans="1:17" s="1505" customFormat="1" x14ac:dyDescent="0.2">
      <c r="A347" s="1932"/>
      <c r="D347" s="1767" t="s">
        <v>463</v>
      </c>
      <c r="E347" s="1768">
        <f>SUM(F347:Q347)</f>
        <v>583416.79999999993</v>
      </c>
      <c r="F347" s="1769"/>
      <c r="G347" s="1329"/>
      <c r="H347" s="1250"/>
      <c r="I347" s="1250"/>
      <c r="J347" s="1250">
        <v>44878</v>
      </c>
      <c r="K347" s="1250">
        <v>134635</v>
      </c>
      <c r="L347" s="1250">
        <v>134634.6</v>
      </c>
      <c r="M347" s="1250">
        <v>134634.6</v>
      </c>
      <c r="N347" s="1250">
        <v>134634.6</v>
      </c>
      <c r="O347" s="1250"/>
      <c r="P347" s="1748"/>
      <c r="Q347" s="1770"/>
    </row>
    <row r="348" spans="1:17" s="1505" customFormat="1" x14ac:dyDescent="0.2">
      <c r="A348" s="1932"/>
      <c r="D348" s="1767" t="s">
        <v>653</v>
      </c>
      <c r="E348" s="1768">
        <f>SUM(F348:Q348)</f>
        <v>551289.59999999998</v>
      </c>
      <c r="F348" s="1769"/>
      <c r="G348" s="1329"/>
      <c r="H348" s="1250"/>
      <c r="I348" s="1250"/>
      <c r="J348" s="1250"/>
      <c r="K348" s="1250">
        <v>42407</v>
      </c>
      <c r="L348" s="1250">
        <v>127220.5</v>
      </c>
      <c r="M348" s="1250">
        <v>127221</v>
      </c>
      <c r="N348" s="1250">
        <v>127220.6</v>
      </c>
      <c r="O348" s="1250">
        <v>127220.5</v>
      </c>
      <c r="P348" s="1748"/>
      <c r="Q348" s="1770"/>
    </row>
    <row r="349" spans="1:17" s="1505" customFormat="1" x14ac:dyDescent="0.2">
      <c r="A349" s="1932"/>
      <c r="D349" s="1767" t="s">
        <v>656</v>
      </c>
      <c r="E349" s="1768">
        <f>SUM(F349:Q349)</f>
        <v>454408.6</v>
      </c>
      <c r="F349" s="1769"/>
      <c r="G349" s="1329"/>
      <c r="H349" s="1250"/>
      <c r="I349" s="1250"/>
      <c r="J349" s="1250"/>
      <c r="K349" s="1250"/>
      <c r="L349" s="1250">
        <v>57834</v>
      </c>
      <c r="M349" s="1250">
        <v>99144</v>
      </c>
      <c r="N349" s="1250">
        <v>99143.6</v>
      </c>
      <c r="O349" s="1250">
        <v>99143.5</v>
      </c>
      <c r="P349" s="1250">
        <v>99143.5</v>
      </c>
      <c r="Q349" s="1770"/>
    </row>
    <row r="350" spans="1:17" s="1505" customFormat="1" x14ac:dyDescent="0.2">
      <c r="A350" s="1932"/>
      <c r="D350" s="1767" t="s">
        <v>936</v>
      </c>
      <c r="E350" s="1768">
        <f>SUM(F350:Q350)</f>
        <v>593714.19999999995</v>
      </c>
      <c r="F350" s="1769"/>
      <c r="G350" s="1329"/>
      <c r="H350" s="1250"/>
      <c r="I350" s="1250"/>
      <c r="J350" s="1250"/>
      <c r="K350" s="1250"/>
      <c r="L350" s="1250"/>
      <c r="M350" s="1250">
        <v>75563.600000000006</v>
      </c>
      <c r="N350" s="1250">
        <v>129537.60000000001</v>
      </c>
      <c r="O350" s="1250">
        <v>129537.5</v>
      </c>
      <c r="P350" s="1250">
        <v>129537.5</v>
      </c>
      <c r="Q350" s="1250">
        <v>129538</v>
      </c>
    </row>
    <row r="351" spans="1:17" s="1505" customFormat="1" x14ac:dyDescent="0.2">
      <c r="A351" s="1932"/>
      <c r="D351" s="1771" t="s">
        <v>347</v>
      </c>
      <c r="E351" s="1768">
        <f>SUM(E346:E350)</f>
        <v>2729152</v>
      </c>
      <c r="F351" s="1769"/>
      <c r="G351" s="1329"/>
      <c r="H351" s="1769">
        <f t="shared" ref="H351:Q351" si="51">SUM(H346:H350)</f>
        <v>0</v>
      </c>
      <c r="I351" s="1769">
        <f t="shared" si="51"/>
        <v>69531.600000000006</v>
      </c>
      <c r="J351" s="1769">
        <f t="shared" si="51"/>
        <v>164075.79999999999</v>
      </c>
      <c r="K351" s="1769">
        <f t="shared" si="51"/>
        <v>296239.8</v>
      </c>
      <c r="L351" s="1769">
        <f t="shared" si="51"/>
        <v>438886.9</v>
      </c>
      <c r="M351" s="1769">
        <f t="shared" si="51"/>
        <v>555761</v>
      </c>
      <c r="N351" s="1769">
        <f t="shared" si="51"/>
        <v>490536.4</v>
      </c>
      <c r="O351" s="1769">
        <f t="shared" si="51"/>
        <v>355901.5</v>
      </c>
      <c r="P351" s="1772">
        <f t="shared" si="51"/>
        <v>228681</v>
      </c>
      <c r="Q351" s="1772">
        <f t="shared" si="51"/>
        <v>129538</v>
      </c>
    </row>
    <row r="352" spans="1:17" s="1505" customFormat="1" x14ac:dyDescent="0.2">
      <c r="A352" s="1932"/>
      <c r="D352" s="1771"/>
      <c r="E352" s="1768"/>
      <c r="F352" s="1769">
        <f>SUM(G351:Q351)</f>
        <v>2729152</v>
      </c>
      <c r="G352" s="1329" t="s">
        <v>171</v>
      </c>
      <c r="H352" s="1769"/>
      <c r="I352" s="1769"/>
      <c r="J352" s="1769"/>
      <c r="K352" s="1769"/>
      <c r="L352" s="1769"/>
      <c r="M352" s="1769"/>
      <c r="N352" s="1769"/>
      <c r="O352" s="1769"/>
      <c r="P352" s="1770"/>
      <c r="Q352" s="1770"/>
    </row>
    <row r="353" spans="1:17" s="39" customFormat="1" x14ac:dyDescent="0.2">
      <c r="A353" s="430"/>
      <c r="D353" s="312"/>
      <c r="E353" s="1666"/>
      <c r="F353" s="621"/>
      <c r="G353" s="52"/>
      <c r="H353" s="621"/>
      <c r="I353" s="621"/>
      <c r="J353" s="621"/>
      <c r="K353" s="621"/>
      <c r="L353" s="621"/>
      <c r="M353" s="621"/>
      <c r="N353" s="621"/>
      <c r="O353" s="621"/>
      <c r="P353" s="1885"/>
      <c r="Q353" s="1885"/>
    </row>
    <row r="354" spans="1:17" s="1505" customFormat="1" x14ac:dyDescent="0.2">
      <c r="A354" s="1932" t="s">
        <v>957</v>
      </c>
      <c r="D354" s="1767" t="s">
        <v>462</v>
      </c>
      <c r="E354" s="1768">
        <f>SUM(F354:Q354)</f>
        <v>32215.199999999997</v>
      </c>
      <c r="F354" s="1769"/>
      <c r="G354" s="1329"/>
      <c r="H354" s="1250"/>
      <c r="I354" s="1250">
        <v>4100</v>
      </c>
      <c r="J354" s="1250">
        <v>7028.6</v>
      </c>
      <c r="K354" s="1250">
        <v>7029</v>
      </c>
      <c r="L354" s="1250">
        <v>7029</v>
      </c>
      <c r="M354" s="1250">
        <v>7028.6</v>
      </c>
      <c r="N354" s="1250"/>
      <c r="O354" s="1250"/>
      <c r="P354" s="1748"/>
      <c r="Q354" s="1770"/>
    </row>
    <row r="355" spans="1:17" s="1505" customFormat="1" x14ac:dyDescent="0.2">
      <c r="A355" s="1932"/>
      <c r="D355" s="1767" t="s">
        <v>463</v>
      </c>
      <c r="E355" s="1768">
        <f>SUM(F355:Q355)</f>
        <v>116574.6</v>
      </c>
      <c r="F355" s="1769"/>
      <c r="G355" s="1329"/>
      <c r="H355" s="1250"/>
      <c r="I355" s="1250"/>
      <c r="J355" s="1250">
        <v>20099</v>
      </c>
      <c r="K355" s="1250">
        <v>24119</v>
      </c>
      <c r="L355" s="1250">
        <v>24119</v>
      </c>
      <c r="M355" s="1250">
        <v>24118.6</v>
      </c>
      <c r="N355" s="1250">
        <v>24119</v>
      </c>
      <c r="O355" s="1250"/>
      <c r="P355" s="1748"/>
      <c r="Q355" s="1770"/>
    </row>
    <row r="356" spans="1:17" s="1505" customFormat="1" x14ac:dyDescent="0.2">
      <c r="A356" s="1932"/>
      <c r="D356" s="1767" t="s">
        <v>653</v>
      </c>
      <c r="E356" s="1768">
        <f>SUM(F356:Q356)</f>
        <v>172481</v>
      </c>
      <c r="F356" s="1769"/>
      <c r="G356" s="1329"/>
      <c r="H356" s="1250"/>
      <c r="I356" s="1250"/>
      <c r="J356" s="1250"/>
      <c r="K356" s="1250">
        <v>29738</v>
      </c>
      <c r="L356" s="1250">
        <v>35686</v>
      </c>
      <c r="M356" s="1250">
        <v>35685.599999999999</v>
      </c>
      <c r="N356" s="1250">
        <v>35685.599999999999</v>
      </c>
      <c r="O356" s="1250">
        <v>35685.800000000003</v>
      </c>
      <c r="P356" s="1748"/>
      <c r="Q356" s="1770"/>
    </row>
    <row r="357" spans="1:17" s="1505" customFormat="1" x14ac:dyDescent="0.2">
      <c r="A357" s="1932"/>
      <c r="D357" s="1767" t="s">
        <v>656</v>
      </c>
      <c r="E357" s="1768">
        <f>SUM(F357:Q357)</f>
        <v>45197.099999999991</v>
      </c>
      <c r="F357" s="1769"/>
      <c r="G357" s="1329"/>
      <c r="H357" s="1250"/>
      <c r="I357" s="1250"/>
      <c r="J357" s="1250"/>
      <c r="K357" s="1250"/>
      <c r="L357" s="1250">
        <v>922</v>
      </c>
      <c r="M357" s="1250">
        <v>11069</v>
      </c>
      <c r="N357" s="1250">
        <v>11068.6</v>
      </c>
      <c r="O357" s="1250">
        <v>11068.8</v>
      </c>
      <c r="P357" s="1250">
        <v>11068.7</v>
      </c>
      <c r="Q357" s="1770"/>
    </row>
    <row r="358" spans="1:17" s="1505" customFormat="1" x14ac:dyDescent="0.2">
      <c r="A358" s="1932"/>
      <c r="D358" s="1767" t="s">
        <v>936</v>
      </c>
      <c r="E358" s="1768">
        <f>SUM(F358:Q358)</f>
        <v>77033.399999999994</v>
      </c>
      <c r="F358" s="1769"/>
      <c r="G358" s="1329"/>
      <c r="H358" s="1250"/>
      <c r="I358" s="1250"/>
      <c r="J358" s="1250"/>
      <c r="K358" s="1250"/>
      <c r="L358" s="1250"/>
      <c r="M358" s="1250">
        <v>5926</v>
      </c>
      <c r="N358" s="1250">
        <v>17777</v>
      </c>
      <c r="O358" s="1250">
        <v>17776.7</v>
      </c>
      <c r="P358" s="1250">
        <v>17776.7</v>
      </c>
      <c r="Q358" s="1250">
        <v>17777</v>
      </c>
    </row>
    <row r="359" spans="1:17" s="1505" customFormat="1" x14ac:dyDescent="0.2">
      <c r="A359" s="1932"/>
      <c r="D359" s="1771" t="s">
        <v>347</v>
      </c>
      <c r="E359" s="1768">
        <f>SUM(E354:E358)</f>
        <v>443501.29999999993</v>
      </c>
      <c r="F359" s="1769"/>
      <c r="G359" s="1329"/>
      <c r="H359" s="1769">
        <f t="shared" ref="H359:Q359" si="52">SUM(H354:H358)</f>
        <v>0</v>
      </c>
      <c r="I359" s="1769">
        <f t="shared" si="52"/>
        <v>4100</v>
      </c>
      <c r="J359" s="1769">
        <f t="shared" si="52"/>
        <v>27127.599999999999</v>
      </c>
      <c r="K359" s="1769">
        <f t="shared" si="52"/>
        <v>60886</v>
      </c>
      <c r="L359" s="1769">
        <f t="shared" si="52"/>
        <v>67756</v>
      </c>
      <c r="M359" s="1769">
        <f t="shared" si="52"/>
        <v>83827.799999999988</v>
      </c>
      <c r="N359" s="1769">
        <f t="shared" si="52"/>
        <v>88650.2</v>
      </c>
      <c r="O359" s="1769">
        <f t="shared" si="52"/>
        <v>64531.3</v>
      </c>
      <c r="P359" s="1772">
        <f t="shared" si="52"/>
        <v>28845.4</v>
      </c>
      <c r="Q359" s="1772">
        <f t="shared" si="52"/>
        <v>17777</v>
      </c>
    </row>
    <row r="360" spans="1:17" s="1505" customFormat="1" x14ac:dyDescent="0.2">
      <c r="A360" s="1932"/>
      <c r="D360" s="1771"/>
      <c r="E360" s="1768"/>
      <c r="F360" s="1769">
        <f>SUM(G359:Q359)</f>
        <v>443501.3</v>
      </c>
      <c r="G360" s="1329" t="s">
        <v>171</v>
      </c>
      <c r="H360" s="1769"/>
      <c r="I360" s="1769"/>
      <c r="J360" s="1769"/>
      <c r="K360" s="1769"/>
      <c r="L360" s="1769"/>
      <c r="M360" s="1769"/>
      <c r="N360" s="1769"/>
      <c r="O360" s="1769"/>
      <c r="P360" s="1770"/>
      <c r="Q360" s="1770"/>
    </row>
    <row r="361" spans="1:17" s="39" customFormat="1" x14ac:dyDescent="0.2">
      <c r="A361" s="430"/>
      <c r="D361" s="312"/>
      <c r="E361" s="1666"/>
      <c r="F361" s="621"/>
      <c r="G361" s="52"/>
      <c r="H361" s="621"/>
      <c r="I361" s="621"/>
      <c r="J361" s="621"/>
      <c r="K361" s="621"/>
      <c r="L361" s="621"/>
      <c r="M361" s="621"/>
      <c r="N361" s="621"/>
      <c r="O361" s="621"/>
      <c r="P361" s="1885"/>
      <c r="Q361" s="1885"/>
    </row>
    <row r="362" spans="1:17" s="1505" customFormat="1" x14ac:dyDescent="0.2">
      <c r="A362" s="1932" t="s">
        <v>988</v>
      </c>
      <c r="D362" s="1767" t="s">
        <v>462</v>
      </c>
      <c r="E362" s="1768">
        <f>SUM(F362:Q362)</f>
        <v>119854.8</v>
      </c>
      <c r="F362" s="1769"/>
      <c r="G362" s="1329"/>
      <c r="H362" s="1250"/>
      <c r="I362" s="1250">
        <v>15254.4</v>
      </c>
      <c r="J362" s="1250">
        <v>26150.400000000001</v>
      </c>
      <c r="K362" s="1250">
        <v>26150</v>
      </c>
      <c r="L362" s="1250">
        <v>26150</v>
      </c>
      <c r="M362" s="1250">
        <v>26150</v>
      </c>
      <c r="N362" s="1250"/>
      <c r="O362" s="1250"/>
      <c r="P362" s="1748"/>
      <c r="Q362" s="1770"/>
    </row>
    <row r="363" spans="1:17" s="1505" customFormat="1" x14ac:dyDescent="0.2">
      <c r="D363" s="1767" t="s">
        <v>463</v>
      </c>
      <c r="E363" s="1768">
        <f>SUM(F363:Q363)</f>
        <v>97954</v>
      </c>
      <c r="F363" s="1769"/>
      <c r="G363" s="1329"/>
      <c r="H363" s="1250"/>
      <c r="I363" s="1250"/>
      <c r="J363" s="1250">
        <v>12467</v>
      </c>
      <c r="K363" s="1250">
        <v>21372</v>
      </c>
      <c r="L363" s="1250">
        <v>21372</v>
      </c>
      <c r="M363" s="1250">
        <v>21371.5</v>
      </c>
      <c r="N363" s="1250">
        <v>21371.5</v>
      </c>
      <c r="O363" s="1250"/>
      <c r="P363" s="1748"/>
      <c r="Q363" s="1770"/>
    </row>
    <row r="364" spans="1:17" s="1505" customFormat="1" x14ac:dyDescent="0.2">
      <c r="D364" s="1767" t="s">
        <v>653</v>
      </c>
      <c r="E364" s="1768">
        <f>SUM(F364:Q364)</f>
        <v>84176.3</v>
      </c>
      <c r="F364" s="1769"/>
      <c r="G364" s="1329"/>
      <c r="H364" s="1250"/>
      <c r="I364" s="1250"/>
      <c r="J364" s="1250"/>
      <c r="K364" s="1250">
        <v>10713</v>
      </c>
      <c r="L364" s="1250">
        <v>18366</v>
      </c>
      <c r="M364" s="1250">
        <v>18365.8</v>
      </c>
      <c r="N364" s="1250">
        <v>18366</v>
      </c>
      <c r="O364" s="1250">
        <v>18365.5</v>
      </c>
      <c r="P364" s="1748"/>
      <c r="Q364" s="1770"/>
    </row>
    <row r="365" spans="1:17" s="1505" customFormat="1" x14ac:dyDescent="0.2">
      <c r="D365" s="1767" t="s">
        <v>656</v>
      </c>
      <c r="E365" s="1768">
        <f>SUM(F365:Q365)</f>
        <v>83609.399999999994</v>
      </c>
      <c r="F365" s="1769"/>
      <c r="G365" s="1329"/>
      <c r="H365" s="1250"/>
      <c r="I365" s="1250"/>
      <c r="J365" s="1250"/>
      <c r="K365" s="1250"/>
      <c r="L365" s="1250">
        <v>10641.4</v>
      </c>
      <c r="M365" s="1250">
        <v>18242</v>
      </c>
      <c r="N365" s="1250">
        <v>18242</v>
      </c>
      <c r="O365" s="1250">
        <v>18242</v>
      </c>
      <c r="P365" s="1748">
        <v>18242</v>
      </c>
      <c r="Q365" s="1770"/>
    </row>
    <row r="366" spans="1:17" s="1505" customFormat="1" x14ac:dyDescent="0.2">
      <c r="D366" s="1767" t="s">
        <v>936</v>
      </c>
      <c r="E366" s="1768">
        <f>SUM(F366:Q366)</f>
        <v>30091.200000000004</v>
      </c>
      <c r="F366" s="1769"/>
      <c r="G366" s="1329"/>
      <c r="H366" s="1250"/>
      <c r="I366" s="1250"/>
      <c r="J366" s="1250"/>
      <c r="K366" s="1250"/>
      <c r="L366" s="1250"/>
      <c r="M366" s="1250">
        <v>3830.4</v>
      </c>
      <c r="N366" s="1250">
        <v>6565</v>
      </c>
      <c r="O366" s="1250">
        <v>6565</v>
      </c>
      <c r="P366" s="1748">
        <v>6565.4</v>
      </c>
      <c r="Q366" s="1770">
        <v>6565.4</v>
      </c>
    </row>
    <row r="367" spans="1:17" s="1505" customFormat="1" x14ac:dyDescent="0.2">
      <c r="D367" s="1771" t="s">
        <v>347</v>
      </c>
      <c r="E367" s="1768">
        <f>SUM(E362:E366)</f>
        <v>415685.7</v>
      </c>
      <c r="F367" s="1769"/>
      <c r="G367" s="1329"/>
      <c r="H367" s="1769">
        <f t="shared" ref="H367:P367" si="53">SUM(H362:H366)</f>
        <v>0</v>
      </c>
      <c r="I367" s="1769">
        <f t="shared" si="53"/>
        <v>15254.4</v>
      </c>
      <c r="J367" s="1769">
        <f t="shared" si="53"/>
        <v>38617.4</v>
      </c>
      <c r="K367" s="1769">
        <f t="shared" si="53"/>
        <v>58235</v>
      </c>
      <c r="L367" s="1769">
        <f t="shared" si="53"/>
        <v>76529.399999999994</v>
      </c>
      <c r="M367" s="1769">
        <f t="shared" si="53"/>
        <v>87959.7</v>
      </c>
      <c r="N367" s="1769">
        <f t="shared" si="53"/>
        <v>64544.5</v>
      </c>
      <c r="O367" s="1769">
        <f t="shared" si="53"/>
        <v>43172.5</v>
      </c>
      <c r="P367" s="1772">
        <f t="shared" si="53"/>
        <v>24807.4</v>
      </c>
      <c r="Q367" s="1772">
        <f>SUM(Q362:Q366)</f>
        <v>6565.4</v>
      </c>
    </row>
    <row r="368" spans="1:17" s="1505" customFormat="1" x14ac:dyDescent="0.2">
      <c r="D368" s="1771"/>
      <c r="E368" s="1768"/>
      <c r="F368" s="1769">
        <f>SUM(G367:Q367)</f>
        <v>415685.70000000007</v>
      </c>
      <c r="G368" s="1329" t="s">
        <v>171</v>
      </c>
      <c r="H368" s="1769"/>
      <c r="I368" s="1769"/>
      <c r="J368" s="1769"/>
      <c r="K368" s="1769"/>
      <c r="L368" s="1769"/>
      <c r="M368" s="1769"/>
      <c r="N368" s="1769"/>
      <c r="O368" s="1769"/>
      <c r="P368" s="1770"/>
      <c r="Q368" s="1770"/>
    </row>
    <row r="369" spans="1:17" s="39" customFormat="1" x14ac:dyDescent="0.2">
      <c r="D369" s="312"/>
      <c r="E369" s="1666"/>
      <c r="F369" s="621"/>
      <c r="G369" s="52"/>
      <c r="H369" s="621"/>
      <c r="I369" s="621"/>
      <c r="J369" s="621"/>
      <c r="K369" s="621"/>
      <c r="L369" s="621"/>
      <c r="M369" s="621"/>
      <c r="N369" s="621"/>
      <c r="O369" s="621"/>
      <c r="P369" s="1885"/>
      <c r="Q369" s="1885"/>
    </row>
    <row r="370" spans="1:17" s="1505" customFormat="1" x14ac:dyDescent="0.2">
      <c r="A370" s="1251" t="s">
        <v>1034</v>
      </c>
      <c r="D370" s="1767" t="s">
        <v>462</v>
      </c>
      <c r="E370" s="1768">
        <f>SUM(F370:Q370)</f>
        <v>308865.88598549005</v>
      </c>
      <c r="F370" s="1769"/>
      <c r="G370" s="1329"/>
      <c r="H370" s="1250"/>
      <c r="I370" s="1250">
        <v>39310</v>
      </c>
      <c r="J370" s="1250">
        <v>67388.971496372513</v>
      </c>
      <c r="K370" s="1250">
        <v>67388.971496372513</v>
      </c>
      <c r="L370" s="1250">
        <v>67388.971496372513</v>
      </c>
      <c r="M370" s="1250">
        <v>67388.971496372513</v>
      </c>
      <c r="N370" s="1250"/>
      <c r="O370" s="1250"/>
      <c r="P370" s="1748"/>
      <c r="Q370" s="1770"/>
    </row>
    <row r="371" spans="1:17" s="1505" customFormat="1" x14ac:dyDescent="0.2">
      <c r="D371" s="1767" t="s">
        <v>463</v>
      </c>
      <c r="E371" s="1768">
        <f>SUM(F371:Q371)</f>
        <v>262797.70168057783</v>
      </c>
      <c r="F371" s="1769"/>
      <c r="G371" s="1329"/>
      <c r="H371" s="1250"/>
      <c r="I371" s="1250"/>
      <c r="J371" s="1250">
        <v>33447</v>
      </c>
      <c r="K371" s="1250">
        <v>57337.675420144456</v>
      </c>
      <c r="L371" s="1250">
        <v>57337.675420144456</v>
      </c>
      <c r="M371" s="1250">
        <v>57337.675420144456</v>
      </c>
      <c r="N371" s="1250">
        <v>57337.675420144456</v>
      </c>
      <c r="O371" s="1250"/>
      <c r="P371" s="1748"/>
      <c r="Q371" s="1770"/>
    </row>
    <row r="372" spans="1:17" s="1505" customFormat="1" x14ac:dyDescent="0.2">
      <c r="D372" s="1767" t="s">
        <v>653</v>
      </c>
      <c r="E372" s="1768">
        <f>SUM(F372:Q372)</f>
        <v>283774.87447361567</v>
      </c>
      <c r="F372" s="1769"/>
      <c r="G372" s="1329"/>
      <c r="H372" s="1250"/>
      <c r="I372" s="1250"/>
      <c r="J372" s="1250"/>
      <c r="K372" s="1250">
        <v>36117</v>
      </c>
      <c r="L372" s="1250">
        <v>61914.468618403909</v>
      </c>
      <c r="M372" s="1250">
        <v>61914.468618403909</v>
      </c>
      <c r="N372" s="1250">
        <v>61914.468618403909</v>
      </c>
      <c r="O372" s="1250">
        <v>61914.468618403909</v>
      </c>
      <c r="P372" s="1748"/>
      <c r="Q372" s="1770"/>
    </row>
    <row r="373" spans="1:17" s="1505" customFormat="1" x14ac:dyDescent="0.2">
      <c r="D373" s="1767" t="s">
        <v>656</v>
      </c>
      <c r="E373" s="1768">
        <f>SUM(F373:Q373)</f>
        <v>0</v>
      </c>
      <c r="F373" s="1769"/>
      <c r="G373" s="1329"/>
      <c r="H373" s="1250"/>
      <c r="I373" s="1250"/>
      <c r="J373" s="1250"/>
      <c r="K373" s="1250"/>
      <c r="L373" s="1250">
        <v>0</v>
      </c>
      <c r="M373" s="1250">
        <v>0</v>
      </c>
      <c r="N373" s="1250">
        <v>0</v>
      </c>
      <c r="O373" s="1250">
        <v>0</v>
      </c>
      <c r="P373" s="1748">
        <v>0</v>
      </c>
      <c r="Q373" s="1770"/>
    </row>
    <row r="374" spans="1:17" s="1505" customFormat="1" x14ac:dyDescent="0.2">
      <c r="D374" s="1767" t="s">
        <v>936</v>
      </c>
      <c r="E374" s="1768">
        <f>SUM(F374:Q374)</f>
        <v>0</v>
      </c>
      <c r="F374" s="1769"/>
      <c r="G374" s="1329"/>
      <c r="H374" s="1250"/>
      <c r="I374" s="1250"/>
      <c r="J374" s="1250"/>
      <c r="K374" s="1250"/>
      <c r="L374" s="1250"/>
      <c r="M374" s="1250">
        <v>0</v>
      </c>
      <c r="N374" s="1250">
        <v>0</v>
      </c>
      <c r="O374" s="1250">
        <v>0</v>
      </c>
      <c r="P374" s="1748">
        <v>0</v>
      </c>
      <c r="Q374" s="1770">
        <v>0</v>
      </c>
    </row>
    <row r="375" spans="1:17" s="1505" customFormat="1" x14ac:dyDescent="0.2">
      <c r="D375" s="1771" t="s">
        <v>347</v>
      </c>
      <c r="E375" s="1768">
        <f>SUM(E370:E374)</f>
        <v>855438.46213968354</v>
      </c>
      <c r="F375" s="1769"/>
      <c r="G375" s="1329"/>
      <c r="H375" s="1769">
        <f t="shared" ref="H375:P375" si="54">SUM(H370:H374)</f>
        <v>0</v>
      </c>
      <c r="I375" s="1769">
        <f t="shared" si="54"/>
        <v>39310</v>
      </c>
      <c r="J375" s="1769">
        <f t="shared" si="54"/>
        <v>100835.97149637251</v>
      </c>
      <c r="K375" s="1769">
        <f t="shared" si="54"/>
        <v>160843.64691651697</v>
      </c>
      <c r="L375" s="1769">
        <f t="shared" si="54"/>
        <v>186641.11553492089</v>
      </c>
      <c r="M375" s="1769">
        <f t="shared" si="54"/>
        <v>186641.11553492089</v>
      </c>
      <c r="N375" s="1769">
        <f t="shared" si="54"/>
        <v>119252.14403854837</v>
      </c>
      <c r="O375" s="1769">
        <f t="shared" si="54"/>
        <v>61914.468618403909</v>
      </c>
      <c r="P375" s="1772">
        <f t="shared" si="54"/>
        <v>0</v>
      </c>
      <c r="Q375" s="1772">
        <f>SUM(Q370:Q374)</f>
        <v>0</v>
      </c>
    </row>
    <row r="376" spans="1:17" s="1505" customFormat="1" x14ac:dyDescent="0.2">
      <c r="D376" s="1771"/>
      <c r="E376" s="1768"/>
      <c r="F376" s="1769">
        <f>SUM(G375:Q375)</f>
        <v>855438.46213968343</v>
      </c>
      <c r="G376" s="1329" t="s">
        <v>171</v>
      </c>
      <c r="H376" s="1769"/>
      <c r="I376" s="1769"/>
      <c r="J376" s="1769"/>
      <c r="K376" s="1769"/>
      <c r="L376" s="1769"/>
      <c r="M376" s="1769"/>
      <c r="N376" s="1769"/>
      <c r="O376" s="1769"/>
      <c r="P376" s="1770"/>
      <c r="Q376" s="1770"/>
    </row>
    <row r="377" spans="1:17" x14ac:dyDescent="0.2">
      <c r="A377" s="39"/>
      <c r="B377" s="39"/>
      <c r="C377" s="39"/>
      <c r="D377" s="312"/>
      <c r="E377" s="1666"/>
      <c r="F377" s="621"/>
      <c r="G377" s="52"/>
      <c r="H377" s="621"/>
      <c r="I377" s="621"/>
      <c r="J377" s="621"/>
      <c r="K377" s="621"/>
      <c r="L377" s="621"/>
      <c r="M377" s="621"/>
      <c r="N377" s="621"/>
      <c r="O377" s="621"/>
      <c r="P377" s="75"/>
    </row>
    <row r="378" spans="1:17" x14ac:dyDescent="0.2">
      <c r="A378" s="430" t="s">
        <v>357</v>
      </c>
      <c r="B378" s="39"/>
      <c r="C378" s="39"/>
      <c r="D378" s="615"/>
      <c r="E378" s="1666">
        <f>SUM(E164,E172,E180,E189,E198,E206,E214,E223,E231,E239,E247,E255,E263,E271,E279,E287,E295,E303,E311,E319,E327,E335,E343,E351,E359,E367,E375)</f>
        <v>14360770.049666261</v>
      </c>
      <c r="F378" s="52"/>
      <c r="G378" s="52"/>
      <c r="H378" s="52"/>
      <c r="I378" s="52"/>
      <c r="J378" s="52"/>
      <c r="K378" s="52"/>
      <c r="L378" s="52"/>
      <c r="M378" s="52"/>
      <c r="N378" s="52"/>
      <c r="O378" s="52"/>
      <c r="P378" s="75"/>
    </row>
    <row r="379" spans="1:17" x14ac:dyDescent="0.2">
      <c r="A379" s="430"/>
      <c r="B379" s="39"/>
      <c r="C379" s="431" t="s">
        <v>866</v>
      </c>
      <c r="D379" s="625" t="s">
        <v>865</v>
      </c>
      <c r="E379" s="1666"/>
      <c r="F379" s="52"/>
      <c r="G379" s="52"/>
      <c r="H379" s="52"/>
      <c r="I379" s="52"/>
      <c r="J379" s="52"/>
      <c r="K379" s="52"/>
      <c r="L379" s="52"/>
      <c r="M379" s="52"/>
      <c r="N379" s="52"/>
      <c r="O379" s="52"/>
      <c r="P379" s="75"/>
    </row>
    <row r="380" spans="1:17" x14ac:dyDescent="0.2">
      <c r="A380" s="431" t="s">
        <v>655</v>
      </c>
      <c r="B380" s="39"/>
      <c r="C380" s="39">
        <v>2007</v>
      </c>
      <c r="D380" s="313" t="s">
        <v>459</v>
      </c>
      <c r="E380" s="397">
        <f>SUM(E159,E167,E175,E184,E193)</f>
        <v>771548.14547109604</v>
      </c>
      <c r="F380" s="52"/>
      <c r="G380" s="52"/>
      <c r="H380" s="52"/>
      <c r="I380" s="52"/>
      <c r="J380" s="52"/>
      <c r="K380" s="52"/>
      <c r="L380" s="52"/>
      <c r="M380" s="52"/>
      <c r="N380" s="52"/>
      <c r="O380" s="52"/>
      <c r="P380" s="75"/>
    </row>
    <row r="381" spans="1:17" x14ac:dyDescent="0.2">
      <c r="A381" s="39"/>
      <c r="B381" s="39"/>
      <c r="C381" s="313" t="s">
        <v>459</v>
      </c>
      <c r="D381" s="313" t="s">
        <v>460</v>
      </c>
      <c r="E381" s="397">
        <f>SUM(E160,E168,E176,E185,E194,E201,E209,E218,E226,E234)</f>
        <v>2025213.8996956102</v>
      </c>
      <c r="F381" s="52"/>
      <c r="G381" s="52"/>
      <c r="H381" s="52"/>
      <c r="I381" s="52"/>
      <c r="J381" s="52"/>
      <c r="K381" s="52"/>
      <c r="L381" s="52"/>
      <c r="M381" s="52"/>
      <c r="N381" s="52"/>
      <c r="O381" s="52"/>
      <c r="P381" s="75"/>
    </row>
    <row r="382" spans="1:17" x14ac:dyDescent="0.2">
      <c r="A382" s="39"/>
      <c r="B382" s="39"/>
      <c r="C382" s="313" t="s">
        <v>460</v>
      </c>
      <c r="D382" s="313" t="s">
        <v>461</v>
      </c>
      <c r="E382" s="397">
        <f>SUM(E161,E169,E177,E186,E195,E202,E210,E219,E227,E235,E242,E250,E258,E266,E274,E282,E290,E298,E306,E314,E322,E330,E338)</f>
        <v>2127851.5025164397</v>
      </c>
      <c r="F382" s="52"/>
      <c r="G382" s="52"/>
      <c r="H382" s="52"/>
      <c r="I382" s="52"/>
      <c r="J382" s="52"/>
      <c r="K382" s="52"/>
      <c r="L382" s="52"/>
      <c r="M382" s="52"/>
      <c r="N382" s="52"/>
      <c r="O382" s="52"/>
      <c r="P382" s="75"/>
    </row>
    <row r="383" spans="1:17" x14ac:dyDescent="0.2">
      <c r="A383" s="39"/>
      <c r="B383" s="39"/>
      <c r="C383" s="313" t="s">
        <v>461</v>
      </c>
      <c r="D383" s="313" t="s">
        <v>462</v>
      </c>
      <c r="E383" s="397">
        <f>SUM(E162,E170,E178,E187,E196,E203,E211,E220,E228,E236,E243,E251,E259,E267,E275,E283,E291,E299,E307,E315,E323,E331,E339,E346,E354,E362,E370)</f>
        <v>3360762.8004096569</v>
      </c>
      <c r="F383" s="52"/>
      <c r="G383" s="52"/>
      <c r="H383" s="52"/>
      <c r="I383" s="52"/>
      <c r="J383" s="52"/>
      <c r="K383" s="52"/>
      <c r="L383" s="52"/>
      <c r="M383" s="52"/>
      <c r="N383" s="52"/>
      <c r="O383" s="52"/>
      <c r="P383" s="75"/>
      <c r="Q383"/>
    </row>
    <row r="384" spans="1:17" x14ac:dyDescent="0.2">
      <c r="A384" s="39"/>
      <c r="B384" s="39"/>
      <c r="C384" s="313" t="s">
        <v>462</v>
      </c>
      <c r="D384" s="849" t="s">
        <v>463</v>
      </c>
      <c r="E384" s="397">
        <f>SUM(E163,E171,E179,E188,E197,E204,E212,E221,E229,E237,E244,E252,E260,E268,E276,E284,E292,E300,E308,E316,E324,E332,E340,E347,E355,E363,E371)</f>
        <v>2407103.6400353722</v>
      </c>
      <c r="F384" s="52"/>
      <c r="G384" s="52"/>
      <c r="H384" s="52"/>
      <c r="I384" s="52"/>
      <c r="J384" s="52"/>
      <c r="K384" s="52"/>
      <c r="L384" s="52"/>
      <c r="M384" s="52"/>
      <c r="N384" s="52"/>
      <c r="O384" s="52"/>
      <c r="P384" s="75"/>
      <c r="Q384"/>
    </row>
    <row r="385" spans="1:17" x14ac:dyDescent="0.2">
      <c r="A385" s="39"/>
      <c r="B385" s="39"/>
      <c r="C385" s="849" t="s">
        <v>463</v>
      </c>
      <c r="D385" s="850" t="s">
        <v>653</v>
      </c>
      <c r="E385" s="397">
        <f>SUM(E205,E213,E222,E230,E238,E245,E253,E261,E269,E277,E285,E293,E301,E309,E317,E325,E333,E341,E348,E356,E364,E372)</f>
        <v>1936570.0372759406</v>
      </c>
      <c r="F385" s="52"/>
      <c r="G385" s="52"/>
      <c r="H385" s="52"/>
      <c r="I385" s="52"/>
      <c r="J385" s="52"/>
      <c r="K385" s="52"/>
      <c r="L385" s="52"/>
      <c r="M385" s="52"/>
      <c r="N385" s="52"/>
      <c r="O385" s="52"/>
      <c r="P385" s="75"/>
      <c r="Q385"/>
    </row>
    <row r="386" spans="1:17" x14ac:dyDescent="0.2">
      <c r="A386" s="39"/>
      <c r="B386" s="39"/>
      <c r="C386" s="850" t="s">
        <v>653</v>
      </c>
      <c r="D386">
        <v>2014</v>
      </c>
      <c r="E386" s="397">
        <f>SUM(E246,E254,E262,E270,E278,E286,E294,E302,E310,E318,E326,E334,E342,E349,E357,E365,E373)</f>
        <v>1030881.2242621479</v>
      </c>
      <c r="F386" s="52"/>
      <c r="G386" s="52"/>
      <c r="H386" s="52"/>
      <c r="I386" s="52"/>
      <c r="J386" s="52"/>
      <c r="K386" s="52"/>
      <c r="L386" s="52"/>
      <c r="M386" s="52"/>
      <c r="N386" s="52"/>
      <c r="O386" s="52"/>
      <c r="P386" s="75"/>
      <c r="Q386"/>
    </row>
    <row r="387" spans="1:17" x14ac:dyDescent="0.2">
      <c r="A387" s="39"/>
      <c r="B387" s="39"/>
      <c r="C387" s="850" t="s">
        <v>656</v>
      </c>
      <c r="D387">
        <v>2015</v>
      </c>
      <c r="E387" s="397">
        <f>SUM(E350,E358,E366,E374)</f>
        <v>700838.79999999993</v>
      </c>
      <c r="F387" s="52"/>
      <c r="G387" s="52"/>
      <c r="H387" s="52"/>
      <c r="I387" s="52"/>
      <c r="J387" s="52"/>
      <c r="K387" s="52"/>
      <c r="L387" s="52"/>
      <c r="M387" s="52"/>
      <c r="N387" s="52"/>
      <c r="O387" s="52"/>
      <c r="P387" s="75"/>
      <c r="Q387"/>
    </row>
    <row r="388" spans="1:17" x14ac:dyDescent="0.2">
      <c r="A388" s="39"/>
      <c r="B388" s="39"/>
      <c r="D388" s="615" t="s">
        <v>347</v>
      </c>
      <c r="E388" s="1666">
        <f>SUM(E380:E387)</f>
        <v>14360770.049666263</v>
      </c>
      <c r="F388" s="52"/>
      <c r="G388" s="52"/>
      <c r="H388" s="52"/>
      <c r="I388" s="52"/>
      <c r="J388" s="52"/>
      <c r="K388" s="52"/>
      <c r="L388" s="52"/>
      <c r="M388" s="52"/>
      <c r="N388" s="52"/>
      <c r="O388" s="52"/>
      <c r="P388" s="75"/>
      <c r="Q388"/>
    </row>
    <row r="389" spans="1:17" x14ac:dyDescent="0.2">
      <c r="A389" s="39"/>
      <c r="B389" s="39"/>
      <c r="C389" s="39"/>
      <c r="D389" s="615"/>
      <c r="E389" s="397"/>
      <c r="F389" s="52"/>
      <c r="G389" s="52"/>
      <c r="H389" s="52"/>
      <c r="I389" s="52"/>
      <c r="J389" s="52"/>
      <c r="K389" s="52"/>
      <c r="L389" s="52"/>
      <c r="M389" s="52"/>
      <c r="N389" s="52"/>
      <c r="O389" s="52"/>
      <c r="P389" s="75"/>
      <c r="Q389"/>
    </row>
    <row r="390" spans="1:17" x14ac:dyDescent="0.2">
      <c r="D390" s="98"/>
      <c r="E390" s="256"/>
      <c r="F390" s="1"/>
      <c r="G390" s="1"/>
      <c r="H390" s="1"/>
      <c r="I390" s="1"/>
      <c r="J390" s="1"/>
      <c r="K390" s="1"/>
      <c r="L390" s="1"/>
      <c r="M390" s="1"/>
      <c r="N390" s="1"/>
      <c r="O390" s="1"/>
      <c r="Q390"/>
    </row>
    <row r="391" spans="1:17" x14ac:dyDescent="0.2">
      <c r="D391" s="98"/>
      <c r="E391" s="256"/>
      <c r="F391" s="1"/>
      <c r="G391" s="1"/>
      <c r="H391" s="1"/>
      <c r="I391" s="1"/>
      <c r="J391" s="1"/>
      <c r="K391" s="1"/>
      <c r="L391" s="1"/>
      <c r="M391" s="1"/>
      <c r="N391" s="1"/>
      <c r="O391" s="1"/>
      <c r="Q391"/>
    </row>
    <row r="392" spans="1:17" x14ac:dyDescent="0.2">
      <c r="D392" s="98"/>
      <c r="E392" s="256"/>
      <c r="F392" s="1"/>
      <c r="G392" s="1"/>
      <c r="H392" s="1"/>
      <c r="I392" s="1"/>
      <c r="J392" s="1"/>
      <c r="K392" s="1"/>
      <c r="L392" s="1"/>
      <c r="M392" s="1"/>
      <c r="N392" s="1"/>
      <c r="O392" s="1"/>
      <c r="Q392"/>
    </row>
    <row r="393" spans="1:17" x14ac:dyDescent="0.2">
      <c r="D393" s="98"/>
      <c r="E393" s="256"/>
      <c r="F393" s="1"/>
      <c r="G393" s="1"/>
      <c r="H393" s="1"/>
      <c r="I393" s="1"/>
      <c r="J393" s="1"/>
      <c r="K393" s="1"/>
      <c r="L393" s="1"/>
      <c r="M393" s="1"/>
      <c r="N393" s="1"/>
      <c r="O393" s="1"/>
      <c r="Q393"/>
    </row>
    <row r="394" spans="1:17" x14ac:dyDescent="0.2">
      <c r="D394" s="98"/>
      <c r="E394" s="256"/>
      <c r="F394" s="1"/>
      <c r="G394" s="1"/>
      <c r="H394" s="1"/>
      <c r="I394" s="1"/>
      <c r="J394" s="1"/>
      <c r="K394" s="1"/>
      <c r="L394" s="1"/>
      <c r="M394" s="1"/>
      <c r="N394" s="1"/>
      <c r="O394" s="1"/>
      <c r="Q394"/>
    </row>
    <row r="395" spans="1:17" x14ac:dyDescent="0.2">
      <c r="D395" s="98"/>
      <c r="E395" s="256"/>
      <c r="F395" s="1"/>
      <c r="G395" s="1"/>
      <c r="H395" s="1"/>
      <c r="I395" s="1"/>
      <c r="J395" s="1"/>
      <c r="K395" s="1"/>
      <c r="L395" s="1"/>
      <c r="M395" s="1"/>
      <c r="N395" s="1"/>
      <c r="O395" s="1"/>
      <c r="Q395"/>
    </row>
    <row r="396" spans="1:17" x14ac:dyDescent="0.2">
      <c r="D396" s="98"/>
      <c r="E396" s="256"/>
      <c r="F396" s="1"/>
      <c r="G396" s="1"/>
      <c r="H396" s="1"/>
      <c r="I396" s="1"/>
      <c r="J396" s="1"/>
      <c r="K396" s="1"/>
      <c r="L396" s="1"/>
      <c r="M396" s="1"/>
      <c r="N396" s="1"/>
      <c r="O396" s="1"/>
      <c r="Q396"/>
    </row>
    <row r="397" spans="1:17" x14ac:dyDescent="0.2">
      <c r="D397" s="98"/>
      <c r="E397" s="256"/>
      <c r="F397" s="1"/>
      <c r="G397" s="1"/>
      <c r="H397" s="1"/>
      <c r="I397" s="1"/>
      <c r="J397" s="1"/>
      <c r="K397" s="1"/>
      <c r="L397" s="1"/>
      <c r="M397" s="1"/>
      <c r="N397" s="1"/>
      <c r="O397" s="1"/>
      <c r="Q397"/>
    </row>
    <row r="398" spans="1:17" x14ac:dyDescent="0.2">
      <c r="D398" s="98"/>
      <c r="E398" s="256"/>
      <c r="F398" s="1"/>
      <c r="G398" s="1"/>
      <c r="H398" s="1"/>
      <c r="I398" s="1"/>
      <c r="J398" s="1"/>
      <c r="K398" s="1"/>
      <c r="L398" s="1"/>
      <c r="M398" s="1"/>
      <c r="N398" s="1"/>
      <c r="O398" s="1"/>
      <c r="Q398"/>
    </row>
    <row r="399" spans="1:17" x14ac:dyDescent="0.2">
      <c r="D399" s="98"/>
      <c r="E399" s="256"/>
      <c r="F399" s="1"/>
      <c r="G399" s="1"/>
      <c r="H399" s="1"/>
      <c r="I399" s="1"/>
      <c r="J399" s="1"/>
      <c r="K399" s="1"/>
      <c r="L399" s="1"/>
      <c r="M399" s="1"/>
      <c r="N399" s="1"/>
      <c r="O399" s="1"/>
      <c r="P399"/>
      <c r="Q399"/>
    </row>
    <row r="400" spans="1:17" x14ac:dyDescent="0.2">
      <c r="D400" s="98"/>
      <c r="E400" s="1671"/>
      <c r="P400"/>
      <c r="Q400"/>
    </row>
    <row r="401" spans="4:17" x14ac:dyDescent="0.2">
      <c r="D401" s="98"/>
      <c r="E401" s="1671"/>
      <c r="P401"/>
      <c r="Q401"/>
    </row>
    <row r="402" spans="4:17" x14ac:dyDescent="0.2">
      <c r="D402" s="98"/>
      <c r="E402" s="1671"/>
      <c r="P402"/>
      <c r="Q402"/>
    </row>
    <row r="403" spans="4:17" x14ac:dyDescent="0.2">
      <c r="D403" s="98"/>
      <c r="E403" s="1671"/>
      <c r="P403"/>
      <c r="Q403"/>
    </row>
    <row r="404" spans="4:17" x14ac:dyDescent="0.2">
      <c r="D404" s="98"/>
      <c r="E404" s="1671"/>
      <c r="P404"/>
      <c r="Q404"/>
    </row>
    <row r="405" spans="4:17" x14ac:dyDescent="0.2">
      <c r="D405" s="98"/>
      <c r="E405" s="1671"/>
      <c r="P405"/>
      <c r="Q405"/>
    </row>
    <row r="406" spans="4:17" x14ac:dyDescent="0.2">
      <c r="D406" s="98"/>
      <c r="E406" s="1671"/>
      <c r="P406"/>
      <c r="Q406"/>
    </row>
    <row r="407" spans="4:17" x14ac:dyDescent="0.2">
      <c r="D407" s="98"/>
      <c r="E407" s="1671"/>
      <c r="P407"/>
      <c r="Q407"/>
    </row>
    <row r="408" spans="4:17" x14ac:dyDescent="0.2">
      <c r="D408" s="98"/>
      <c r="E408" s="1671"/>
      <c r="P408"/>
      <c r="Q408"/>
    </row>
    <row r="409" spans="4:17" x14ac:dyDescent="0.2">
      <c r="D409" s="98"/>
      <c r="E409" s="1671"/>
      <c r="P409"/>
      <c r="Q409"/>
    </row>
    <row r="410" spans="4:17" x14ac:dyDescent="0.2">
      <c r="D410" s="98"/>
      <c r="E410" s="1671"/>
      <c r="P410"/>
      <c r="Q410"/>
    </row>
    <row r="411" spans="4:17" x14ac:dyDescent="0.2">
      <c r="D411" s="98"/>
      <c r="E411" s="1671"/>
      <c r="P411"/>
      <c r="Q411"/>
    </row>
    <row r="412" spans="4:17" x14ac:dyDescent="0.2">
      <c r="D412" s="98"/>
      <c r="E412" s="1671"/>
      <c r="P412"/>
      <c r="Q412"/>
    </row>
    <row r="413" spans="4:17" x14ac:dyDescent="0.2">
      <c r="D413" s="98"/>
      <c r="E413" s="1671"/>
      <c r="P413"/>
      <c r="Q413"/>
    </row>
    <row r="414" spans="4:17" x14ac:dyDescent="0.2">
      <c r="D414" s="98"/>
      <c r="E414" s="1671"/>
      <c r="P414"/>
      <c r="Q414"/>
    </row>
    <row r="415" spans="4:17" x14ac:dyDescent="0.2">
      <c r="D415" s="98"/>
      <c r="E415" s="1671"/>
      <c r="P415"/>
      <c r="Q415"/>
    </row>
    <row r="416" spans="4:17" x14ac:dyDescent="0.2">
      <c r="D416" s="98"/>
      <c r="E416" s="1671"/>
      <c r="P416"/>
      <c r="Q416"/>
    </row>
    <row r="417" spans="4:17" x14ac:dyDescent="0.2">
      <c r="D417" s="98"/>
      <c r="E417" s="1671"/>
      <c r="P417"/>
      <c r="Q417"/>
    </row>
    <row r="418" spans="4:17" x14ac:dyDescent="0.2">
      <c r="D418" s="98"/>
      <c r="E418" s="1671"/>
      <c r="P418"/>
      <c r="Q418"/>
    </row>
    <row r="419" spans="4:17" x14ac:dyDescent="0.2">
      <c r="D419" s="98"/>
      <c r="E419" s="1671"/>
      <c r="P419"/>
      <c r="Q419"/>
    </row>
    <row r="420" spans="4:17" x14ac:dyDescent="0.2">
      <c r="D420" s="98"/>
      <c r="E420" s="1671"/>
      <c r="P420"/>
      <c r="Q420"/>
    </row>
    <row r="421" spans="4:17" x14ac:dyDescent="0.2">
      <c r="D421" s="98"/>
      <c r="E421" s="1671"/>
      <c r="P421"/>
      <c r="Q421"/>
    </row>
    <row r="422" spans="4:17" x14ac:dyDescent="0.2">
      <c r="D422" s="98"/>
      <c r="E422" s="1671"/>
      <c r="P422"/>
      <c r="Q422"/>
    </row>
    <row r="423" spans="4:17" x14ac:dyDescent="0.2">
      <c r="D423" s="98"/>
      <c r="E423" s="1671"/>
      <c r="P423"/>
      <c r="Q423"/>
    </row>
    <row r="424" spans="4:17" x14ac:dyDescent="0.2">
      <c r="D424" s="98"/>
      <c r="E424" s="1671"/>
      <c r="P424"/>
      <c r="Q424"/>
    </row>
    <row r="425" spans="4:17" x14ac:dyDescent="0.2">
      <c r="D425" s="98"/>
      <c r="E425" s="1671"/>
      <c r="P425"/>
      <c r="Q425"/>
    </row>
    <row r="426" spans="4:17" x14ac:dyDescent="0.2">
      <c r="D426" s="98"/>
      <c r="E426" s="1671"/>
      <c r="P426"/>
      <c r="Q426"/>
    </row>
    <row r="427" spans="4:17" x14ac:dyDescent="0.2">
      <c r="D427" s="98"/>
      <c r="E427" s="1671"/>
      <c r="P427"/>
      <c r="Q427"/>
    </row>
    <row r="428" spans="4:17" x14ac:dyDescent="0.2">
      <c r="D428" s="98"/>
      <c r="E428" s="1671"/>
      <c r="P428"/>
      <c r="Q428"/>
    </row>
    <row r="429" spans="4:17" x14ac:dyDescent="0.2">
      <c r="D429" s="98"/>
      <c r="E429" s="1671"/>
      <c r="P429"/>
      <c r="Q429"/>
    </row>
    <row r="430" spans="4:17" x14ac:dyDescent="0.2">
      <c r="D430" s="98"/>
      <c r="E430" s="1671"/>
      <c r="P430"/>
      <c r="Q430"/>
    </row>
    <row r="431" spans="4:17" x14ac:dyDescent="0.2">
      <c r="D431" s="98"/>
      <c r="E431" s="1671"/>
      <c r="P431"/>
      <c r="Q431"/>
    </row>
    <row r="432" spans="4:17" x14ac:dyDescent="0.2">
      <c r="D432" s="98"/>
      <c r="E432" s="1671"/>
      <c r="P432"/>
      <c r="Q432"/>
    </row>
    <row r="433" spans="4:17" x14ac:dyDescent="0.2">
      <c r="D433" s="98"/>
      <c r="E433" s="1671"/>
      <c r="P433"/>
      <c r="Q433"/>
    </row>
    <row r="434" spans="4:17" x14ac:dyDescent="0.2">
      <c r="D434" s="98"/>
      <c r="E434" s="1671"/>
      <c r="P434"/>
      <c r="Q434"/>
    </row>
    <row r="435" spans="4:17" x14ac:dyDescent="0.2">
      <c r="D435" s="98"/>
      <c r="E435" s="1671"/>
      <c r="P435"/>
      <c r="Q435"/>
    </row>
    <row r="436" spans="4:17" x14ac:dyDescent="0.2">
      <c r="D436" s="98"/>
      <c r="E436" s="1671"/>
      <c r="P436"/>
      <c r="Q436"/>
    </row>
    <row r="437" spans="4:17" x14ac:dyDescent="0.2">
      <c r="D437" s="98"/>
      <c r="E437" s="1671"/>
      <c r="P437"/>
      <c r="Q437"/>
    </row>
    <row r="438" spans="4:17" x14ac:dyDescent="0.2">
      <c r="D438" s="98"/>
      <c r="E438" s="1671"/>
      <c r="P438"/>
      <c r="Q438"/>
    </row>
    <row r="439" spans="4:17" x14ac:dyDescent="0.2">
      <c r="D439" s="98"/>
      <c r="E439" s="1671"/>
      <c r="P439"/>
      <c r="Q439"/>
    </row>
    <row r="440" spans="4:17" x14ac:dyDescent="0.2">
      <c r="D440" s="98"/>
      <c r="E440" s="1671"/>
      <c r="P440"/>
      <c r="Q440"/>
    </row>
    <row r="441" spans="4:17" x14ac:dyDescent="0.2">
      <c r="D441" s="98"/>
      <c r="E441" s="1671"/>
      <c r="P441"/>
      <c r="Q441"/>
    </row>
    <row r="442" spans="4:17" x14ac:dyDescent="0.2">
      <c r="D442" s="98"/>
      <c r="E442" s="1671"/>
      <c r="P442"/>
      <c r="Q442"/>
    </row>
    <row r="443" spans="4:17" x14ac:dyDescent="0.2">
      <c r="D443" s="98"/>
      <c r="E443" s="1671"/>
      <c r="P443"/>
      <c r="Q443"/>
    </row>
    <row r="444" spans="4:17" x14ac:dyDescent="0.2">
      <c r="D444" s="98"/>
      <c r="E444" s="1671"/>
      <c r="P444"/>
      <c r="Q444"/>
    </row>
    <row r="445" spans="4:17" x14ac:dyDescent="0.2">
      <c r="D445" s="98"/>
      <c r="E445" s="1671"/>
      <c r="P445"/>
      <c r="Q445"/>
    </row>
    <row r="446" spans="4:17" x14ac:dyDescent="0.2">
      <c r="D446" s="98"/>
      <c r="E446" s="1671"/>
      <c r="P446"/>
      <c r="Q446"/>
    </row>
    <row r="447" spans="4:17" x14ac:dyDescent="0.2">
      <c r="D447" s="98"/>
      <c r="E447" s="1671"/>
      <c r="P447"/>
      <c r="Q447"/>
    </row>
    <row r="448" spans="4:17" x14ac:dyDescent="0.2">
      <c r="D448" s="98"/>
      <c r="E448" s="1671"/>
      <c r="P448"/>
      <c r="Q448"/>
    </row>
    <row r="449" spans="4:17" x14ac:dyDescent="0.2">
      <c r="D449" s="98"/>
      <c r="E449" s="1671"/>
      <c r="P449"/>
      <c r="Q449"/>
    </row>
    <row r="450" spans="4:17" x14ac:dyDescent="0.2">
      <c r="D450" s="98"/>
      <c r="E450" s="1671"/>
      <c r="P450"/>
      <c r="Q450"/>
    </row>
    <row r="451" spans="4:17" x14ac:dyDescent="0.2">
      <c r="D451" s="98"/>
      <c r="E451" s="1671"/>
      <c r="P451"/>
      <c r="Q451"/>
    </row>
    <row r="452" spans="4:17" x14ac:dyDescent="0.2">
      <c r="D452" s="98"/>
      <c r="E452" s="1671"/>
      <c r="P452"/>
      <c r="Q452"/>
    </row>
    <row r="453" spans="4:17" x14ac:dyDescent="0.2">
      <c r="D453" s="98"/>
      <c r="E453" s="1671"/>
      <c r="P453"/>
      <c r="Q453"/>
    </row>
    <row r="454" spans="4:17" x14ac:dyDescent="0.2">
      <c r="D454" s="98"/>
      <c r="E454" s="1671"/>
      <c r="P454"/>
      <c r="Q454"/>
    </row>
    <row r="455" spans="4:17" x14ac:dyDescent="0.2">
      <c r="D455" s="98"/>
      <c r="E455" s="1671"/>
      <c r="P455"/>
      <c r="Q455"/>
    </row>
    <row r="456" spans="4:17" x14ac:dyDescent="0.2">
      <c r="D456" s="98"/>
      <c r="E456" s="1671"/>
      <c r="P456"/>
      <c r="Q456"/>
    </row>
    <row r="457" spans="4:17" x14ac:dyDescent="0.2">
      <c r="D457" s="98"/>
      <c r="E457" s="1671"/>
      <c r="P457"/>
      <c r="Q457"/>
    </row>
    <row r="458" spans="4:17" x14ac:dyDescent="0.2">
      <c r="D458" s="98"/>
      <c r="E458" s="1671"/>
      <c r="P458"/>
      <c r="Q458"/>
    </row>
    <row r="459" spans="4:17" x14ac:dyDescent="0.2">
      <c r="D459" s="98"/>
      <c r="E459" s="1671"/>
      <c r="P459"/>
      <c r="Q459"/>
    </row>
    <row r="460" spans="4:17" x14ac:dyDescent="0.2">
      <c r="D460" s="98"/>
      <c r="E460" s="1671"/>
      <c r="P460"/>
      <c r="Q460"/>
    </row>
    <row r="461" spans="4:17" x14ac:dyDescent="0.2">
      <c r="D461" s="98"/>
      <c r="E461" s="1671"/>
      <c r="P461"/>
      <c r="Q461"/>
    </row>
    <row r="462" spans="4:17" x14ac:dyDescent="0.2">
      <c r="D462" s="98"/>
      <c r="E462" s="1671"/>
      <c r="P462"/>
      <c r="Q462"/>
    </row>
    <row r="463" spans="4:17" x14ac:dyDescent="0.2">
      <c r="D463" s="98"/>
      <c r="E463" s="1671"/>
      <c r="P463"/>
      <c r="Q463"/>
    </row>
    <row r="464" spans="4:17" x14ac:dyDescent="0.2">
      <c r="D464" s="98"/>
      <c r="E464" s="1671"/>
      <c r="P464"/>
      <c r="Q464"/>
    </row>
    <row r="465" spans="4:17" x14ac:dyDescent="0.2">
      <c r="D465" s="98"/>
      <c r="E465" s="1671"/>
      <c r="P465"/>
      <c r="Q465"/>
    </row>
    <row r="466" spans="4:17" x14ac:dyDescent="0.2">
      <c r="D466" s="98"/>
      <c r="E466" s="1671"/>
      <c r="P466"/>
      <c r="Q466"/>
    </row>
    <row r="467" spans="4:17" x14ac:dyDescent="0.2">
      <c r="D467" s="98"/>
      <c r="E467" s="1671"/>
      <c r="P467"/>
      <c r="Q467"/>
    </row>
    <row r="468" spans="4:17" x14ac:dyDescent="0.2">
      <c r="D468" s="98"/>
      <c r="E468" s="1671"/>
      <c r="P468"/>
      <c r="Q468"/>
    </row>
    <row r="469" spans="4:17" x14ac:dyDescent="0.2">
      <c r="D469" s="98"/>
      <c r="E469" s="1671"/>
      <c r="P469"/>
      <c r="Q469"/>
    </row>
    <row r="470" spans="4:17" x14ac:dyDescent="0.2">
      <c r="D470" s="98"/>
      <c r="E470" s="1671"/>
      <c r="P470"/>
      <c r="Q470"/>
    </row>
    <row r="471" spans="4:17" x14ac:dyDescent="0.2">
      <c r="D471" s="98"/>
      <c r="E471" s="1671"/>
      <c r="P471"/>
      <c r="Q471"/>
    </row>
    <row r="472" spans="4:17" x14ac:dyDescent="0.2">
      <c r="D472" s="98"/>
      <c r="E472" s="1671"/>
      <c r="P472"/>
      <c r="Q472"/>
    </row>
    <row r="473" spans="4:17" x14ac:dyDescent="0.2">
      <c r="D473" s="98"/>
      <c r="E473" s="1671"/>
      <c r="P473"/>
      <c r="Q473"/>
    </row>
    <row r="474" spans="4:17" x14ac:dyDescent="0.2">
      <c r="D474" s="98"/>
      <c r="E474" s="1671"/>
      <c r="P474"/>
      <c r="Q474"/>
    </row>
    <row r="475" spans="4:17" x14ac:dyDescent="0.2">
      <c r="D475" s="98"/>
      <c r="E475" s="1671"/>
      <c r="P475"/>
      <c r="Q475"/>
    </row>
    <row r="476" spans="4:17" x14ac:dyDescent="0.2">
      <c r="D476" s="98"/>
      <c r="E476" s="1671"/>
      <c r="P476"/>
      <c r="Q476"/>
    </row>
    <row r="477" spans="4:17" x14ac:dyDescent="0.2">
      <c r="D477" s="98"/>
      <c r="E477" s="1671"/>
      <c r="P477"/>
      <c r="Q477"/>
    </row>
    <row r="478" spans="4:17" x14ac:dyDescent="0.2">
      <c r="D478" s="98"/>
      <c r="E478" s="1671"/>
      <c r="P478"/>
      <c r="Q478"/>
    </row>
    <row r="479" spans="4:17" x14ac:dyDescent="0.2">
      <c r="D479" s="98"/>
      <c r="E479" s="1671"/>
      <c r="P479"/>
      <c r="Q479"/>
    </row>
    <row r="480" spans="4:17" x14ac:dyDescent="0.2">
      <c r="D480" s="98"/>
      <c r="E480" s="1671"/>
      <c r="P480"/>
      <c r="Q480"/>
    </row>
    <row r="481" spans="4:17" x14ac:dyDescent="0.2">
      <c r="D481" s="98"/>
      <c r="E481" s="1671"/>
      <c r="P481"/>
      <c r="Q481"/>
    </row>
    <row r="482" spans="4:17" x14ac:dyDescent="0.2">
      <c r="D482" s="98"/>
      <c r="E482" s="1671"/>
      <c r="P482"/>
      <c r="Q482"/>
    </row>
    <row r="483" spans="4:17" x14ac:dyDescent="0.2">
      <c r="D483" s="98"/>
      <c r="E483" s="1671"/>
      <c r="P483"/>
      <c r="Q483"/>
    </row>
    <row r="484" spans="4:17" x14ac:dyDescent="0.2">
      <c r="D484" s="98"/>
      <c r="E484" s="1671"/>
      <c r="P484"/>
      <c r="Q484"/>
    </row>
    <row r="485" spans="4:17" x14ac:dyDescent="0.2">
      <c r="D485" s="98"/>
      <c r="E485" s="1671"/>
      <c r="P485"/>
      <c r="Q485"/>
    </row>
    <row r="486" spans="4:17" x14ac:dyDescent="0.2">
      <c r="D486" s="98"/>
      <c r="E486" s="1671"/>
      <c r="P486"/>
      <c r="Q486"/>
    </row>
    <row r="487" spans="4:17" x14ac:dyDescent="0.2">
      <c r="D487" s="98"/>
      <c r="E487" s="1671"/>
      <c r="P487"/>
      <c r="Q487"/>
    </row>
    <row r="488" spans="4:17" x14ac:dyDescent="0.2">
      <c r="D488" s="98"/>
      <c r="E488" s="1671"/>
      <c r="P488"/>
      <c r="Q488"/>
    </row>
    <row r="489" spans="4:17" x14ac:dyDescent="0.2">
      <c r="D489" s="98"/>
      <c r="E489" s="1671"/>
      <c r="P489"/>
      <c r="Q489"/>
    </row>
    <row r="490" spans="4:17" x14ac:dyDescent="0.2">
      <c r="D490" s="98"/>
      <c r="E490" s="1671"/>
      <c r="P490"/>
      <c r="Q490"/>
    </row>
    <row r="491" spans="4:17" x14ac:dyDescent="0.2">
      <c r="D491" s="98"/>
      <c r="E491" s="1671"/>
      <c r="P491"/>
      <c r="Q491"/>
    </row>
    <row r="492" spans="4:17" x14ac:dyDescent="0.2">
      <c r="D492" s="98"/>
      <c r="E492" s="1671"/>
      <c r="P492"/>
      <c r="Q492"/>
    </row>
    <row r="493" spans="4:17" x14ac:dyDescent="0.2">
      <c r="D493" s="98"/>
      <c r="E493" s="1671"/>
      <c r="P493"/>
      <c r="Q493"/>
    </row>
    <row r="494" spans="4:17" x14ac:dyDescent="0.2">
      <c r="D494" s="98"/>
      <c r="E494" s="1671"/>
      <c r="P494"/>
      <c r="Q494"/>
    </row>
    <row r="495" spans="4:17" x14ac:dyDescent="0.2">
      <c r="D495" s="98"/>
      <c r="E495" s="1671"/>
      <c r="P495"/>
      <c r="Q495"/>
    </row>
    <row r="496" spans="4:17" x14ac:dyDescent="0.2">
      <c r="D496" s="98"/>
      <c r="E496" s="1671"/>
      <c r="P496"/>
      <c r="Q496"/>
    </row>
    <row r="497" spans="4:17" x14ac:dyDescent="0.2">
      <c r="D497" s="98"/>
      <c r="E497" s="1671"/>
      <c r="P497"/>
      <c r="Q497"/>
    </row>
    <row r="498" spans="4:17" x14ac:dyDescent="0.2">
      <c r="D498" s="98"/>
      <c r="E498" s="1671"/>
      <c r="P498"/>
      <c r="Q498"/>
    </row>
    <row r="499" spans="4:17" x14ac:dyDescent="0.2">
      <c r="D499" s="98"/>
      <c r="E499" s="1671"/>
      <c r="P499"/>
      <c r="Q499"/>
    </row>
    <row r="500" spans="4:17" x14ac:dyDescent="0.2">
      <c r="D500" s="98"/>
      <c r="E500" s="1671"/>
      <c r="P500"/>
      <c r="Q500"/>
    </row>
    <row r="501" spans="4:17" x14ac:dyDescent="0.2">
      <c r="D501" s="98"/>
      <c r="E501" s="1671"/>
      <c r="P501"/>
      <c r="Q501"/>
    </row>
    <row r="502" spans="4:17" x14ac:dyDescent="0.2">
      <c r="D502" s="98"/>
      <c r="E502" s="1671"/>
      <c r="P502"/>
      <c r="Q502"/>
    </row>
    <row r="503" spans="4:17" x14ac:dyDescent="0.2">
      <c r="D503" s="98"/>
      <c r="E503" s="1671"/>
      <c r="P503"/>
      <c r="Q503"/>
    </row>
    <row r="504" spans="4:17" x14ac:dyDescent="0.2">
      <c r="D504" s="98"/>
      <c r="E504" s="1671"/>
      <c r="P504"/>
      <c r="Q504"/>
    </row>
    <row r="505" spans="4:17" x14ac:dyDescent="0.2">
      <c r="D505" s="98"/>
      <c r="E505" s="1671"/>
      <c r="P505"/>
      <c r="Q505"/>
    </row>
    <row r="506" spans="4:17" x14ac:dyDescent="0.2">
      <c r="D506" s="98"/>
      <c r="E506" s="1671"/>
      <c r="P506"/>
      <c r="Q506"/>
    </row>
    <row r="507" spans="4:17" x14ac:dyDescent="0.2">
      <c r="D507" s="98"/>
      <c r="E507" s="1671"/>
      <c r="P507"/>
      <c r="Q507"/>
    </row>
    <row r="508" spans="4:17" x14ac:dyDescent="0.2">
      <c r="D508" s="98"/>
      <c r="E508" s="1671"/>
      <c r="P508"/>
      <c r="Q508"/>
    </row>
    <row r="509" spans="4:17" x14ac:dyDescent="0.2">
      <c r="D509" s="98"/>
      <c r="E509" s="1671"/>
      <c r="P509"/>
      <c r="Q509"/>
    </row>
    <row r="510" spans="4:17" x14ac:dyDescent="0.2">
      <c r="D510" s="98"/>
      <c r="E510" s="1671"/>
      <c r="P510"/>
      <c r="Q510"/>
    </row>
    <row r="511" spans="4:17" x14ac:dyDescent="0.2">
      <c r="D511" s="98"/>
      <c r="E511" s="1671"/>
      <c r="P511"/>
      <c r="Q511"/>
    </row>
    <row r="512" spans="4:17" x14ac:dyDescent="0.2">
      <c r="D512" s="98"/>
      <c r="E512" s="1671"/>
      <c r="P512"/>
      <c r="Q512"/>
    </row>
    <row r="513" spans="4:17" x14ac:dyDescent="0.2">
      <c r="D513" s="98"/>
      <c r="E513" s="1671"/>
      <c r="P513"/>
      <c r="Q513"/>
    </row>
    <row r="514" spans="4:17" x14ac:dyDescent="0.2">
      <c r="D514" s="98"/>
      <c r="E514" s="1671"/>
      <c r="P514"/>
      <c r="Q514"/>
    </row>
    <row r="515" spans="4:17" x14ac:dyDescent="0.2">
      <c r="D515" s="98"/>
      <c r="E515" s="1671"/>
      <c r="P515"/>
      <c r="Q515"/>
    </row>
    <row r="516" spans="4:17" x14ac:dyDescent="0.2">
      <c r="D516" s="98"/>
      <c r="E516" s="1671"/>
      <c r="P516"/>
      <c r="Q516"/>
    </row>
    <row r="517" spans="4:17" x14ac:dyDescent="0.2">
      <c r="D517" s="98"/>
      <c r="E517" s="1671"/>
      <c r="P517"/>
      <c r="Q517"/>
    </row>
    <row r="518" spans="4:17" x14ac:dyDescent="0.2">
      <c r="E518" s="1671"/>
      <c r="P518"/>
      <c r="Q518"/>
    </row>
    <row r="519" spans="4:17" x14ac:dyDescent="0.2">
      <c r="E519" s="1671"/>
      <c r="P519"/>
      <c r="Q519"/>
    </row>
    <row r="520" spans="4:17" x14ac:dyDescent="0.2">
      <c r="E520" s="1671"/>
      <c r="P520"/>
      <c r="Q520"/>
    </row>
    <row r="521" spans="4:17" x14ac:dyDescent="0.2">
      <c r="E521" s="1671"/>
      <c r="P521"/>
      <c r="Q521"/>
    </row>
    <row r="522" spans="4:17" x14ac:dyDescent="0.2">
      <c r="E522" s="1671"/>
      <c r="P522"/>
      <c r="Q522"/>
    </row>
    <row r="523" spans="4:17" x14ac:dyDescent="0.2">
      <c r="E523" s="1671"/>
      <c r="P523"/>
      <c r="Q523"/>
    </row>
    <row r="524" spans="4:17" x14ac:dyDescent="0.2">
      <c r="E524" s="1671"/>
      <c r="P524"/>
      <c r="Q524"/>
    </row>
    <row r="525" spans="4:17" x14ac:dyDescent="0.2">
      <c r="E525" s="1671"/>
      <c r="P525"/>
      <c r="Q525"/>
    </row>
    <row r="526" spans="4:17" x14ac:dyDescent="0.2">
      <c r="E526" s="1671"/>
      <c r="P526"/>
      <c r="Q526"/>
    </row>
    <row r="527" spans="4:17" x14ac:dyDescent="0.2">
      <c r="E527" s="1671"/>
      <c r="P527"/>
      <c r="Q527"/>
    </row>
    <row r="528" spans="4:17" x14ac:dyDescent="0.2">
      <c r="E528" s="1671"/>
      <c r="P528"/>
      <c r="Q528"/>
    </row>
    <row r="529" spans="5:17" x14ac:dyDescent="0.2">
      <c r="E529" s="1671"/>
      <c r="P529"/>
      <c r="Q529"/>
    </row>
    <row r="530" spans="5:17" x14ac:dyDescent="0.2">
      <c r="E530" s="1671"/>
      <c r="P530"/>
      <c r="Q530"/>
    </row>
    <row r="531" spans="5:17" x14ac:dyDescent="0.2">
      <c r="E531" s="1671"/>
      <c r="P531"/>
      <c r="Q531"/>
    </row>
    <row r="532" spans="5:17" x14ac:dyDescent="0.2">
      <c r="E532" s="1671"/>
      <c r="P532"/>
      <c r="Q532"/>
    </row>
    <row r="533" spans="5:17" x14ac:dyDescent="0.2">
      <c r="E533" s="1671"/>
      <c r="P533"/>
      <c r="Q533"/>
    </row>
    <row r="534" spans="5:17" x14ac:dyDescent="0.2">
      <c r="E534" s="1671"/>
      <c r="P534"/>
      <c r="Q534"/>
    </row>
    <row r="535" spans="5:17" x14ac:dyDescent="0.2">
      <c r="E535" s="1671"/>
      <c r="P535"/>
      <c r="Q535"/>
    </row>
    <row r="536" spans="5:17" x14ac:dyDescent="0.2">
      <c r="E536" s="1671"/>
      <c r="P536"/>
      <c r="Q536"/>
    </row>
    <row r="537" spans="5:17" x14ac:dyDescent="0.2">
      <c r="E537" s="1671"/>
      <c r="P537"/>
      <c r="Q537"/>
    </row>
    <row r="538" spans="5:17" x14ac:dyDescent="0.2">
      <c r="E538" s="1671"/>
      <c r="P538"/>
      <c r="Q538"/>
    </row>
    <row r="539" spans="5:17" x14ac:dyDescent="0.2">
      <c r="E539" s="1671"/>
      <c r="P539"/>
      <c r="Q539"/>
    </row>
    <row r="540" spans="5:17" x14ac:dyDescent="0.2">
      <c r="E540" s="1671"/>
      <c r="P540"/>
      <c r="Q540"/>
    </row>
    <row r="541" spans="5:17" x14ac:dyDescent="0.2">
      <c r="E541" s="1671"/>
      <c r="P541"/>
      <c r="Q541"/>
    </row>
    <row r="542" spans="5:17" x14ac:dyDescent="0.2">
      <c r="E542" s="1671"/>
      <c r="P542"/>
      <c r="Q542"/>
    </row>
    <row r="543" spans="5:17" x14ac:dyDescent="0.2">
      <c r="E543" s="1671"/>
      <c r="P543"/>
      <c r="Q543"/>
    </row>
    <row r="544" spans="5:17" x14ac:dyDescent="0.2">
      <c r="E544" s="1671"/>
      <c r="P544"/>
      <c r="Q544"/>
    </row>
    <row r="545" spans="5:17" x14ac:dyDescent="0.2">
      <c r="E545" s="1671"/>
      <c r="P545"/>
      <c r="Q545"/>
    </row>
    <row r="546" spans="5:17" x14ac:dyDescent="0.2">
      <c r="E546" s="1671"/>
      <c r="P546"/>
      <c r="Q546"/>
    </row>
    <row r="547" spans="5:17" x14ac:dyDescent="0.2">
      <c r="E547" s="1671"/>
      <c r="P547"/>
      <c r="Q547"/>
    </row>
    <row r="548" spans="5:17" x14ac:dyDescent="0.2">
      <c r="E548" s="1671"/>
      <c r="P548"/>
      <c r="Q548"/>
    </row>
    <row r="549" spans="5:17" x14ac:dyDescent="0.2">
      <c r="E549" s="1671"/>
      <c r="P549"/>
      <c r="Q549"/>
    </row>
    <row r="550" spans="5:17" x14ac:dyDescent="0.2">
      <c r="E550" s="1671"/>
      <c r="P550"/>
      <c r="Q550"/>
    </row>
    <row r="551" spans="5:17" x14ac:dyDescent="0.2">
      <c r="E551" s="1671"/>
      <c r="P551"/>
      <c r="Q551"/>
    </row>
    <row r="552" spans="5:17" x14ac:dyDescent="0.2">
      <c r="E552" s="1671"/>
      <c r="P552"/>
      <c r="Q552"/>
    </row>
    <row r="553" spans="5:17" x14ac:dyDescent="0.2">
      <c r="E553" s="1671"/>
      <c r="P553"/>
      <c r="Q553"/>
    </row>
    <row r="554" spans="5:17" x14ac:dyDescent="0.2">
      <c r="E554" s="1671"/>
      <c r="P554"/>
      <c r="Q554"/>
    </row>
    <row r="555" spans="5:17" x14ac:dyDescent="0.2">
      <c r="E555" s="1671"/>
      <c r="P555"/>
      <c r="Q555"/>
    </row>
    <row r="556" spans="5:17" x14ac:dyDescent="0.2">
      <c r="E556" s="1671"/>
      <c r="P556"/>
      <c r="Q556"/>
    </row>
    <row r="557" spans="5:17" x14ac:dyDescent="0.2">
      <c r="E557" s="1671"/>
      <c r="P557"/>
      <c r="Q557"/>
    </row>
    <row r="558" spans="5:17" x14ac:dyDescent="0.2">
      <c r="E558" s="1671"/>
      <c r="P558"/>
      <c r="Q558"/>
    </row>
    <row r="559" spans="5:17" x14ac:dyDescent="0.2">
      <c r="E559" s="1671"/>
      <c r="P559"/>
      <c r="Q559"/>
    </row>
    <row r="560" spans="5:17" x14ac:dyDescent="0.2">
      <c r="E560" s="1671"/>
      <c r="P560"/>
      <c r="Q560"/>
    </row>
    <row r="561" spans="5:17" x14ac:dyDescent="0.2">
      <c r="E561" s="1671"/>
      <c r="P561"/>
      <c r="Q561"/>
    </row>
    <row r="562" spans="5:17" x14ac:dyDescent="0.2">
      <c r="E562" s="1671"/>
      <c r="P562"/>
      <c r="Q562"/>
    </row>
    <row r="563" spans="5:17" x14ac:dyDescent="0.2">
      <c r="E563" s="1671"/>
      <c r="P563"/>
      <c r="Q563"/>
    </row>
    <row r="564" spans="5:17" x14ac:dyDescent="0.2">
      <c r="E564" s="1671"/>
      <c r="P564"/>
      <c r="Q564"/>
    </row>
    <row r="565" spans="5:17" x14ac:dyDescent="0.2">
      <c r="E565" s="1671"/>
      <c r="P565"/>
      <c r="Q565"/>
    </row>
    <row r="566" spans="5:17" x14ac:dyDescent="0.2">
      <c r="E566" s="1671"/>
      <c r="P566"/>
      <c r="Q566"/>
    </row>
    <row r="567" spans="5:17" x14ac:dyDescent="0.2">
      <c r="E567" s="1671"/>
      <c r="P567"/>
      <c r="Q567"/>
    </row>
    <row r="568" spans="5:17" x14ac:dyDescent="0.2">
      <c r="E568" s="1671"/>
      <c r="P568"/>
      <c r="Q568"/>
    </row>
    <row r="569" spans="5:17" x14ac:dyDescent="0.2">
      <c r="E569" s="1671"/>
      <c r="P569"/>
      <c r="Q569"/>
    </row>
    <row r="570" spans="5:17" x14ac:dyDescent="0.2">
      <c r="E570" s="1671"/>
      <c r="P570"/>
      <c r="Q570"/>
    </row>
    <row r="571" spans="5:17" x14ac:dyDescent="0.2">
      <c r="E571" s="1671"/>
      <c r="P571"/>
      <c r="Q571"/>
    </row>
    <row r="572" spans="5:17" x14ac:dyDescent="0.2">
      <c r="E572" s="1671"/>
      <c r="P572"/>
      <c r="Q572"/>
    </row>
    <row r="573" spans="5:17" x14ac:dyDescent="0.2">
      <c r="E573" s="1671"/>
      <c r="P573"/>
      <c r="Q573"/>
    </row>
    <row r="574" spans="5:17" x14ac:dyDescent="0.2">
      <c r="E574" s="1671"/>
      <c r="P574"/>
      <c r="Q574"/>
    </row>
    <row r="575" spans="5:17" x14ac:dyDescent="0.2">
      <c r="E575" s="1671"/>
      <c r="P575"/>
      <c r="Q575"/>
    </row>
    <row r="576" spans="5:17" x14ac:dyDescent="0.2">
      <c r="E576" s="1671"/>
      <c r="P576"/>
      <c r="Q576"/>
    </row>
    <row r="577" spans="5:17" x14ac:dyDescent="0.2">
      <c r="E577" s="1671"/>
      <c r="P577"/>
      <c r="Q577"/>
    </row>
    <row r="578" spans="5:17" x14ac:dyDescent="0.2">
      <c r="E578" s="1671"/>
      <c r="P578"/>
      <c r="Q578"/>
    </row>
    <row r="579" spans="5:17" x14ac:dyDescent="0.2">
      <c r="E579" s="1671"/>
      <c r="P579"/>
      <c r="Q579"/>
    </row>
    <row r="580" spans="5:17" x14ac:dyDescent="0.2">
      <c r="E580" s="1671"/>
      <c r="P580"/>
      <c r="Q580"/>
    </row>
    <row r="581" spans="5:17" x14ac:dyDescent="0.2">
      <c r="E581" s="1671"/>
      <c r="P581"/>
      <c r="Q581"/>
    </row>
    <row r="582" spans="5:17" x14ac:dyDescent="0.2">
      <c r="E582" s="1671"/>
      <c r="P582"/>
      <c r="Q582"/>
    </row>
    <row r="583" spans="5:17" x14ac:dyDescent="0.2">
      <c r="E583" s="1671"/>
      <c r="P583"/>
      <c r="Q583"/>
    </row>
    <row r="584" spans="5:17" x14ac:dyDescent="0.2">
      <c r="E584" s="1671"/>
      <c r="P584"/>
      <c r="Q584"/>
    </row>
    <row r="585" spans="5:17" x14ac:dyDescent="0.2">
      <c r="E585" s="1671"/>
      <c r="P585"/>
      <c r="Q585"/>
    </row>
    <row r="586" spans="5:17" x14ac:dyDescent="0.2">
      <c r="E586" s="1671"/>
      <c r="P586"/>
      <c r="Q586"/>
    </row>
    <row r="587" spans="5:17" x14ac:dyDescent="0.2">
      <c r="E587" s="1671"/>
      <c r="P587"/>
      <c r="Q587"/>
    </row>
    <row r="588" spans="5:17" x14ac:dyDescent="0.2">
      <c r="E588" s="1671"/>
      <c r="P588"/>
      <c r="Q588"/>
    </row>
    <row r="589" spans="5:17" x14ac:dyDescent="0.2">
      <c r="E589" s="1671"/>
      <c r="P589"/>
      <c r="Q589"/>
    </row>
    <row r="590" spans="5:17" x14ac:dyDescent="0.2">
      <c r="E590" s="1671"/>
      <c r="P590"/>
      <c r="Q590"/>
    </row>
    <row r="591" spans="5:17" x14ac:dyDescent="0.2">
      <c r="E591" s="1671"/>
      <c r="P591"/>
      <c r="Q591"/>
    </row>
    <row r="592" spans="5:17" x14ac:dyDescent="0.2">
      <c r="E592" s="1671"/>
      <c r="P592"/>
      <c r="Q592"/>
    </row>
    <row r="593" spans="5:17" x14ac:dyDescent="0.2">
      <c r="E593" s="1671"/>
      <c r="P593"/>
      <c r="Q593"/>
    </row>
    <row r="594" spans="5:17" x14ac:dyDescent="0.2">
      <c r="E594" s="1671"/>
      <c r="P594"/>
      <c r="Q594"/>
    </row>
    <row r="595" spans="5:17" x14ac:dyDescent="0.2">
      <c r="E595" s="1671"/>
      <c r="P595"/>
      <c r="Q595"/>
    </row>
    <row r="596" spans="5:17" x14ac:dyDescent="0.2">
      <c r="E596" s="1671"/>
      <c r="P596"/>
      <c r="Q596"/>
    </row>
    <row r="597" spans="5:17" x14ac:dyDescent="0.2">
      <c r="E597" s="1671"/>
      <c r="P597"/>
      <c r="Q597"/>
    </row>
    <row r="598" spans="5:17" x14ac:dyDescent="0.2">
      <c r="E598" s="1671"/>
      <c r="P598"/>
      <c r="Q598"/>
    </row>
    <row r="599" spans="5:17" x14ac:dyDescent="0.2">
      <c r="E599" s="1671"/>
      <c r="P599"/>
      <c r="Q599"/>
    </row>
    <row r="600" spans="5:17" x14ac:dyDescent="0.2">
      <c r="E600" s="1671"/>
      <c r="P600"/>
      <c r="Q600"/>
    </row>
    <row r="601" spans="5:17" x14ac:dyDescent="0.2">
      <c r="E601" s="1671"/>
      <c r="P601"/>
      <c r="Q601"/>
    </row>
    <row r="602" spans="5:17" x14ac:dyDescent="0.2">
      <c r="E602" s="1671"/>
      <c r="P602"/>
      <c r="Q602"/>
    </row>
    <row r="603" spans="5:17" x14ac:dyDescent="0.2">
      <c r="E603" s="1671"/>
      <c r="P603"/>
      <c r="Q603"/>
    </row>
    <row r="604" spans="5:17" x14ac:dyDescent="0.2">
      <c r="E604" s="1671"/>
      <c r="P604"/>
      <c r="Q604"/>
    </row>
    <row r="605" spans="5:17" x14ac:dyDescent="0.2">
      <c r="E605" s="1671"/>
      <c r="P605"/>
      <c r="Q605"/>
    </row>
    <row r="606" spans="5:17" x14ac:dyDescent="0.2">
      <c r="E606" s="1671"/>
      <c r="P606"/>
      <c r="Q606"/>
    </row>
    <row r="607" spans="5:17" x14ac:dyDescent="0.2">
      <c r="E607" s="1671"/>
      <c r="P607"/>
      <c r="Q607"/>
    </row>
    <row r="608" spans="5:17" x14ac:dyDescent="0.2">
      <c r="E608" s="1671"/>
      <c r="P608"/>
      <c r="Q608"/>
    </row>
    <row r="609" spans="5:17" x14ac:dyDescent="0.2">
      <c r="E609" s="1671"/>
      <c r="P609"/>
      <c r="Q609"/>
    </row>
    <row r="610" spans="5:17" x14ac:dyDescent="0.2">
      <c r="E610" s="1671"/>
      <c r="P610"/>
      <c r="Q610"/>
    </row>
    <row r="611" spans="5:17" x14ac:dyDescent="0.2">
      <c r="E611" s="1671"/>
      <c r="P611"/>
      <c r="Q611"/>
    </row>
    <row r="612" spans="5:17" x14ac:dyDescent="0.2">
      <c r="E612" s="1671"/>
      <c r="P612"/>
      <c r="Q612"/>
    </row>
    <row r="613" spans="5:17" x14ac:dyDescent="0.2">
      <c r="E613" s="1671"/>
      <c r="P613"/>
      <c r="Q613"/>
    </row>
    <row r="614" spans="5:17" x14ac:dyDescent="0.2">
      <c r="E614" s="1671"/>
      <c r="P614"/>
      <c r="Q614"/>
    </row>
    <row r="615" spans="5:17" x14ac:dyDescent="0.2">
      <c r="E615" s="1671"/>
      <c r="P615"/>
      <c r="Q615"/>
    </row>
    <row r="616" spans="5:17" x14ac:dyDescent="0.2">
      <c r="E616" s="1671"/>
      <c r="P616"/>
      <c r="Q616"/>
    </row>
    <row r="617" spans="5:17" x14ac:dyDescent="0.2">
      <c r="E617" s="1671"/>
      <c r="P617"/>
      <c r="Q617"/>
    </row>
    <row r="618" spans="5:17" x14ac:dyDescent="0.2">
      <c r="E618" s="1671"/>
      <c r="P618"/>
      <c r="Q618"/>
    </row>
    <row r="619" spans="5:17" x14ac:dyDescent="0.2">
      <c r="E619" s="1671"/>
      <c r="P619"/>
      <c r="Q619"/>
    </row>
    <row r="620" spans="5:17" x14ac:dyDescent="0.2">
      <c r="E620" s="1671"/>
      <c r="P620"/>
      <c r="Q620"/>
    </row>
    <row r="621" spans="5:17" x14ac:dyDescent="0.2">
      <c r="E621" s="1671"/>
      <c r="P621"/>
      <c r="Q621"/>
    </row>
    <row r="622" spans="5:17" x14ac:dyDescent="0.2">
      <c r="E622" s="1671"/>
      <c r="P622"/>
      <c r="Q622"/>
    </row>
    <row r="623" spans="5:17" x14ac:dyDescent="0.2">
      <c r="E623" s="1671"/>
      <c r="P623"/>
      <c r="Q623"/>
    </row>
    <row r="624" spans="5:17" x14ac:dyDescent="0.2">
      <c r="E624" s="1671"/>
      <c r="P624"/>
      <c r="Q624"/>
    </row>
    <row r="625" spans="5:17" x14ac:dyDescent="0.2">
      <c r="E625" s="1671"/>
      <c r="P625"/>
      <c r="Q625"/>
    </row>
    <row r="626" spans="5:17" x14ac:dyDescent="0.2">
      <c r="E626" s="1671"/>
      <c r="P626"/>
      <c r="Q626"/>
    </row>
    <row r="627" spans="5:17" x14ac:dyDescent="0.2">
      <c r="E627" s="1671"/>
      <c r="P627"/>
      <c r="Q627"/>
    </row>
  </sheetData>
  <mergeCells count="2">
    <mergeCell ref="A1:O2"/>
    <mergeCell ref="E3:N3"/>
  </mergeCells>
  <phoneticPr fontId="9" type="noConversion"/>
  <printOptions gridLines="1"/>
  <pageMargins left="0.75" right="0.75" top="1" bottom="1" header="0.5" footer="0.5"/>
  <pageSetup paperSize="17" scale="38" orientation="landscape" r:id="rId1"/>
  <headerFooter alignWithMargins="0"/>
  <rowBreaks count="5" manualBreakCount="5">
    <brk id="125" max="16" man="1"/>
    <brk id="152" max="16" man="1"/>
    <brk id="199" max="16" man="1"/>
    <brk id="241" max="16" man="1"/>
    <brk id="344" max="16"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dimension ref="A1:AO146"/>
  <sheetViews>
    <sheetView workbookViewId="0">
      <selection sqref="A1:V2"/>
    </sheetView>
  </sheetViews>
  <sheetFormatPr defaultRowHeight="12.75" x14ac:dyDescent="0.2"/>
  <cols>
    <col min="1" max="1" width="36.140625" bestFit="1" customWidth="1"/>
    <col min="2" max="2" width="6" bestFit="1" customWidth="1"/>
    <col min="3" max="3" width="8" bestFit="1" customWidth="1"/>
    <col min="4" max="4" width="13" style="196" customWidth="1"/>
    <col min="5" max="5" width="9.140625" style="976"/>
    <col min="6" max="6" width="42" style="216" customWidth="1"/>
    <col min="7" max="7" width="9.140625" style="222"/>
    <col min="8" max="8" width="9.140625" style="223"/>
    <col min="9" max="9" width="15.42578125" style="224" customWidth="1"/>
    <col min="10" max="10" width="15.28515625" style="222" customWidth="1"/>
    <col min="11" max="11" width="9.140625" style="216"/>
    <col min="12" max="12" width="13.5703125" style="196" customWidth="1"/>
    <col min="13" max="13" width="9.140625" style="196"/>
    <col min="14" max="14" width="12.5703125" style="399" customWidth="1"/>
    <col min="15" max="15" width="18.28515625" style="196" customWidth="1"/>
    <col min="16" max="17" width="21.28515625" style="309" customWidth="1"/>
    <col min="18" max="18" width="14.42578125" style="196" customWidth="1"/>
    <col min="19" max="19" width="41.85546875" style="231" customWidth="1"/>
    <col min="20" max="20" width="36.140625" style="230" customWidth="1"/>
    <col min="21" max="21" width="17.7109375" style="196" customWidth="1"/>
    <col min="22" max="22" width="12.7109375" style="256" customWidth="1"/>
    <col min="23" max="23" width="15" style="222" customWidth="1"/>
    <col min="24" max="24" width="10.5703125" customWidth="1"/>
    <col min="27" max="27" width="9.140625" style="31"/>
    <col min="28" max="28" width="17" style="403" customWidth="1"/>
    <col min="29" max="29" width="16.5703125" style="31" customWidth="1"/>
    <col min="30" max="30" width="17.42578125" style="31" customWidth="1"/>
    <col min="31" max="31" width="37.42578125" style="463" customWidth="1"/>
  </cols>
  <sheetData>
    <row r="1" spans="1:33" x14ac:dyDescent="0.2">
      <c r="A1" s="4352" t="s">
        <v>378</v>
      </c>
      <c r="B1" s="4352"/>
      <c r="C1" s="4352"/>
      <c r="D1" s="4352"/>
      <c r="E1" s="4352"/>
      <c r="F1" s="4352"/>
      <c r="G1" s="4352"/>
      <c r="H1" s="4352"/>
      <c r="I1" s="4352"/>
      <c r="J1" s="4352"/>
      <c r="K1" s="4352"/>
      <c r="L1" s="4352"/>
      <c r="M1" s="4352"/>
      <c r="N1" s="4352"/>
      <c r="O1" s="4352"/>
      <c r="P1" s="4352"/>
      <c r="Q1" s="4352"/>
      <c r="R1" s="4352"/>
      <c r="S1" s="4352"/>
      <c r="T1" s="4352"/>
      <c r="U1" s="4352"/>
      <c r="V1" s="4353"/>
      <c r="W1" s="386"/>
      <c r="X1" s="384" t="s">
        <v>444</v>
      </c>
      <c r="Y1" s="384"/>
      <c r="Z1" s="384"/>
      <c r="AA1" s="385"/>
      <c r="AB1" s="402"/>
      <c r="AC1" s="385"/>
      <c r="AD1" s="385"/>
      <c r="AE1" s="462"/>
      <c r="AF1" s="384"/>
      <c r="AG1" s="384"/>
    </row>
    <row r="2" spans="1:33" x14ac:dyDescent="0.2">
      <c r="A2" s="4352"/>
      <c r="B2" s="4352"/>
      <c r="C2" s="4352"/>
      <c r="D2" s="4352"/>
      <c r="E2" s="4352"/>
      <c r="F2" s="4352"/>
      <c r="G2" s="4352"/>
      <c r="H2" s="4352"/>
      <c r="I2" s="4352"/>
      <c r="J2" s="4352"/>
      <c r="K2" s="4352"/>
      <c r="L2" s="4352"/>
      <c r="M2" s="4352"/>
      <c r="N2" s="4352"/>
      <c r="O2" s="4352"/>
      <c r="P2" s="4352"/>
      <c r="Q2" s="4352"/>
      <c r="R2" s="4352"/>
      <c r="S2" s="4352"/>
      <c r="T2" s="4352"/>
      <c r="U2" s="4352"/>
      <c r="V2" s="4353"/>
      <c r="W2" s="386" t="s">
        <v>441</v>
      </c>
      <c r="X2" s="385" t="s">
        <v>445</v>
      </c>
      <c r="Y2" s="385" t="s">
        <v>449</v>
      </c>
      <c r="Z2" s="385">
        <v>2007</v>
      </c>
      <c r="AA2" s="385" t="s">
        <v>455</v>
      </c>
      <c r="AB2" s="402"/>
      <c r="AC2" s="385"/>
      <c r="AD2" s="385"/>
      <c r="AE2" s="462"/>
      <c r="AF2" s="384"/>
      <c r="AG2" s="384"/>
    </row>
    <row r="3" spans="1:33" x14ac:dyDescent="0.2">
      <c r="D3" s="215" t="s">
        <v>207</v>
      </c>
      <c r="E3" s="4346" t="s">
        <v>249</v>
      </c>
      <c r="F3" s="4347"/>
      <c r="G3" s="4348" t="s">
        <v>256</v>
      </c>
      <c r="H3" s="4349"/>
      <c r="I3" s="4347"/>
      <c r="J3" s="4350" t="s">
        <v>264</v>
      </c>
      <c r="K3" s="4351"/>
      <c r="L3" s="196" t="s">
        <v>267</v>
      </c>
      <c r="M3" s="196" t="s">
        <v>268</v>
      </c>
      <c r="N3" s="398" t="s">
        <v>487</v>
      </c>
      <c r="O3" s="196" t="s">
        <v>361</v>
      </c>
      <c r="P3" s="309" t="s">
        <v>365</v>
      </c>
      <c r="Q3" s="309" t="s">
        <v>364</v>
      </c>
      <c r="R3" s="196" t="s">
        <v>269</v>
      </c>
      <c r="S3" s="232" t="s">
        <v>270</v>
      </c>
      <c r="T3" s="196" t="s">
        <v>271</v>
      </c>
      <c r="U3" s="195" t="s">
        <v>303</v>
      </c>
      <c r="V3" s="254" t="s">
        <v>306</v>
      </c>
      <c r="W3" s="386" t="s">
        <v>442</v>
      </c>
      <c r="X3" s="385" t="s">
        <v>446</v>
      </c>
      <c r="Y3" s="385" t="s">
        <v>446</v>
      </c>
      <c r="Z3" s="385" t="s">
        <v>451</v>
      </c>
      <c r="AA3" s="385" t="s">
        <v>456</v>
      </c>
      <c r="AB3" s="402" t="s">
        <v>493</v>
      </c>
      <c r="AC3" s="385" t="s">
        <v>495</v>
      </c>
      <c r="AD3" s="385" t="s">
        <v>7</v>
      </c>
      <c r="AE3" s="462"/>
      <c r="AF3" s="384"/>
      <c r="AG3" s="384"/>
    </row>
    <row r="4" spans="1:33" x14ac:dyDescent="0.2">
      <c r="D4" s="215" t="s">
        <v>208</v>
      </c>
      <c r="G4" s="222" t="s">
        <v>258</v>
      </c>
      <c r="H4" s="223" t="s">
        <v>260</v>
      </c>
      <c r="K4" s="224" t="s">
        <v>265</v>
      </c>
      <c r="O4" s="196" t="s">
        <v>362</v>
      </c>
      <c r="P4" s="309" t="s">
        <v>361</v>
      </c>
      <c r="Q4" s="309" t="s">
        <v>361</v>
      </c>
      <c r="S4" s="232" t="s">
        <v>140</v>
      </c>
      <c r="T4" s="196" t="s">
        <v>56</v>
      </c>
      <c r="U4" s="196" t="s">
        <v>304</v>
      </c>
      <c r="V4" s="254" t="s">
        <v>42</v>
      </c>
      <c r="W4" s="386" t="s">
        <v>443</v>
      </c>
      <c r="X4" s="385" t="s">
        <v>447</v>
      </c>
      <c r="Y4" s="385" t="s">
        <v>450</v>
      </c>
      <c r="Z4" s="385" t="s">
        <v>447</v>
      </c>
      <c r="AA4" s="385" t="s">
        <v>457</v>
      </c>
      <c r="AB4" s="402" t="s">
        <v>494</v>
      </c>
      <c r="AC4" s="385" t="s">
        <v>496</v>
      </c>
      <c r="AD4" s="385" t="s">
        <v>496</v>
      </c>
      <c r="AE4" s="462" t="s">
        <v>194</v>
      </c>
      <c r="AF4" s="384"/>
      <c r="AG4" s="384"/>
    </row>
    <row r="5" spans="1:33" ht="13.5" thickBot="1" x14ac:dyDescent="0.25">
      <c r="D5" s="217" t="s">
        <v>209</v>
      </c>
      <c r="E5" s="218" t="s">
        <v>250</v>
      </c>
      <c r="F5" s="219" t="s">
        <v>251</v>
      </c>
      <c r="G5" s="225" t="s">
        <v>259</v>
      </c>
      <c r="H5" s="226" t="s">
        <v>261</v>
      </c>
      <c r="I5" s="227" t="s">
        <v>262</v>
      </c>
      <c r="J5" s="228" t="s">
        <v>262</v>
      </c>
      <c r="K5" s="229" t="s">
        <v>266</v>
      </c>
      <c r="L5" s="234"/>
      <c r="M5" s="234"/>
      <c r="N5" s="400"/>
      <c r="O5" s="234" t="s">
        <v>262</v>
      </c>
      <c r="P5" s="310" t="s">
        <v>363</v>
      </c>
      <c r="Q5" s="310" t="s">
        <v>363</v>
      </c>
      <c r="R5" s="234"/>
      <c r="S5" s="233"/>
      <c r="T5" s="234" t="s">
        <v>261</v>
      </c>
      <c r="U5" s="234" t="s">
        <v>305</v>
      </c>
      <c r="V5" s="255" t="s">
        <v>307</v>
      </c>
      <c r="W5" s="387" t="s">
        <v>305</v>
      </c>
      <c r="X5" s="385" t="s">
        <v>448</v>
      </c>
      <c r="Y5" s="385" t="s">
        <v>443</v>
      </c>
      <c r="Z5" s="385" t="s">
        <v>443</v>
      </c>
      <c r="AA5" s="385" t="s">
        <v>458</v>
      </c>
      <c r="AB5" s="402" t="s">
        <v>240</v>
      </c>
      <c r="AC5" s="385" t="s">
        <v>240</v>
      </c>
      <c r="AD5" s="385" t="s">
        <v>240</v>
      </c>
      <c r="AE5" s="462" t="s">
        <v>195</v>
      </c>
      <c r="AF5" s="384"/>
      <c r="AG5" s="384"/>
    </row>
    <row r="6" spans="1:33" ht="14.25" thickTop="1" thickBot="1" x14ac:dyDescent="0.25">
      <c r="A6" s="143" t="s">
        <v>49</v>
      </c>
      <c r="B6" s="144"/>
      <c r="C6" s="144"/>
    </row>
    <row r="7" spans="1:33" s="39" customFormat="1" x14ac:dyDescent="0.2">
      <c r="A7" s="977" t="s">
        <v>39</v>
      </c>
      <c r="B7" s="100" t="s">
        <v>7</v>
      </c>
      <c r="C7" s="211" t="s">
        <v>132</v>
      </c>
      <c r="D7" s="195"/>
      <c r="E7" s="456"/>
      <c r="F7" s="391"/>
      <c r="G7" s="392"/>
      <c r="H7" s="393"/>
      <c r="I7" s="394"/>
      <c r="J7" s="392"/>
      <c r="K7" s="391"/>
      <c r="L7" s="195"/>
      <c r="M7" s="195"/>
      <c r="N7" s="401"/>
      <c r="O7" s="195"/>
      <c r="P7" s="395"/>
      <c r="Q7" s="395"/>
      <c r="R7" s="195"/>
      <c r="S7" s="396"/>
      <c r="T7" s="194"/>
      <c r="U7" s="195"/>
      <c r="V7" s="397"/>
      <c r="W7" s="392"/>
      <c r="AA7" s="41"/>
      <c r="AB7" s="404">
        <v>39114</v>
      </c>
      <c r="AC7" s="41" t="s">
        <v>454</v>
      </c>
      <c r="AD7" s="405">
        <v>39107</v>
      </c>
      <c r="AE7" s="464" t="s">
        <v>497</v>
      </c>
    </row>
    <row r="8" spans="1:33" x14ac:dyDescent="0.2">
      <c r="A8" s="1033" t="s">
        <v>13</v>
      </c>
      <c r="B8" s="100" t="s">
        <v>14</v>
      </c>
      <c r="C8" s="211" t="s">
        <v>132</v>
      </c>
      <c r="X8" s="39" t="s">
        <v>45</v>
      </c>
    </row>
    <row r="9" spans="1:33" x14ac:dyDescent="0.2">
      <c r="A9" s="1033" t="s">
        <v>15</v>
      </c>
      <c r="B9" s="100" t="s">
        <v>7</v>
      </c>
      <c r="C9" s="211" t="s">
        <v>132</v>
      </c>
      <c r="X9" s="39" t="s">
        <v>45</v>
      </c>
    </row>
    <row r="10" spans="1:33" x14ac:dyDescent="0.2">
      <c r="A10" s="1033" t="s">
        <v>202</v>
      </c>
      <c r="B10" s="100" t="s">
        <v>7</v>
      </c>
      <c r="C10" s="211" t="s">
        <v>132</v>
      </c>
      <c r="X10" s="39" t="s">
        <v>45</v>
      </c>
    </row>
    <row r="11" spans="1:33" ht="13.5" thickBot="1" x14ac:dyDescent="0.25">
      <c r="A11" s="102"/>
      <c r="B11" s="103"/>
      <c r="C11" s="212"/>
      <c r="X11" s="39"/>
    </row>
    <row r="12" spans="1:33" ht="14.25" thickTop="1" thickBot="1" x14ac:dyDescent="0.25">
      <c r="A12" s="143" t="s">
        <v>48</v>
      </c>
      <c r="B12" s="145"/>
      <c r="C12" s="145"/>
      <c r="X12" s="39"/>
    </row>
    <row r="13" spans="1:33" s="409" customFormat="1" x14ac:dyDescent="0.2">
      <c r="A13" s="1033" t="s">
        <v>13</v>
      </c>
      <c r="B13" s="100" t="s">
        <v>7</v>
      </c>
      <c r="C13" s="211" t="s">
        <v>132</v>
      </c>
      <c r="D13" s="569"/>
      <c r="E13" s="591"/>
      <c r="F13" s="594"/>
      <c r="G13" s="591"/>
      <c r="H13" s="592"/>
      <c r="I13" s="593"/>
      <c r="J13" s="591"/>
      <c r="K13" s="594"/>
      <c r="L13" s="569"/>
      <c r="M13" s="569"/>
      <c r="N13" s="595"/>
      <c r="O13" s="569"/>
      <c r="P13" s="596"/>
      <c r="Q13" s="596"/>
      <c r="R13" s="569"/>
      <c r="S13" s="597"/>
      <c r="T13" s="598"/>
      <c r="U13" s="569"/>
      <c r="V13" s="356"/>
      <c r="W13" s="591"/>
      <c r="AA13" s="570"/>
      <c r="AB13" s="599"/>
      <c r="AC13" s="600"/>
      <c r="AD13" s="600"/>
      <c r="AE13" s="601"/>
    </row>
    <row r="14" spans="1:33" x14ac:dyDescent="0.2">
      <c r="A14" s="1033" t="s">
        <v>50</v>
      </c>
      <c r="B14" s="100" t="s">
        <v>14</v>
      </c>
      <c r="C14" s="211" t="s">
        <v>132</v>
      </c>
      <c r="X14" s="39" t="s">
        <v>452</v>
      </c>
    </row>
    <row r="15" spans="1:33" x14ac:dyDescent="0.2">
      <c r="A15" s="1033" t="s">
        <v>51</v>
      </c>
      <c r="B15" s="100" t="s">
        <v>14</v>
      </c>
      <c r="C15" s="211" t="s">
        <v>132</v>
      </c>
      <c r="X15" s="39" t="s">
        <v>453</v>
      </c>
    </row>
    <row r="16" spans="1:33" s="39" customFormat="1" x14ac:dyDescent="0.2">
      <c r="A16" s="1033" t="s">
        <v>52</v>
      </c>
      <c r="B16" s="100" t="s">
        <v>7</v>
      </c>
      <c r="C16" s="211" t="s">
        <v>132</v>
      </c>
      <c r="D16" s="195"/>
      <c r="E16" s="456"/>
      <c r="F16" s="391"/>
      <c r="G16" s="392"/>
      <c r="H16" s="393"/>
      <c r="I16" s="394"/>
      <c r="J16" s="392"/>
      <c r="K16" s="391"/>
      <c r="L16" s="195"/>
      <c r="M16" s="195"/>
      <c r="N16" s="401"/>
      <c r="O16" s="195"/>
      <c r="P16" s="395"/>
      <c r="Q16" s="395"/>
      <c r="R16" s="195"/>
      <c r="S16" s="396"/>
      <c r="T16" s="194"/>
      <c r="U16" s="195"/>
      <c r="V16" s="397"/>
      <c r="W16" s="392"/>
      <c r="AA16" s="41"/>
      <c r="AB16" s="406"/>
      <c r="AC16" s="41"/>
      <c r="AD16" s="41"/>
      <c r="AE16" s="465"/>
    </row>
    <row r="17" spans="1:32" ht="13.5" thickBot="1" x14ac:dyDescent="0.25">
      <c r="A17" s="102"/>
      <c r="B17" s="103"/>
      <c r="C17" s="212"/>
      <c r="X17" s="39"/>
    </row>
    <row r="18" spans="1:32" ht="14.25" thickTop="1" thickBot="1" x14ac:dyDescent="0.25">
      <c r="A18" s="143" t="s">
        <v>47</v>
      </c>
      <c r="B18" s="145"/>
      <c r="C18" s="145"/>
      <c r="X18" s="39"/>
    </row>
    <row r="19" spans="1:32" ht="13.5" thickBot="1" x14ac:dyDescent="0.25">
      <c r="A19" s="1133" t="s">
        <v>40</v>
      </c>
      <c r="B19" s="1131" t="s">
        <v>7</v>
      </c>
      <c r="C19" s="1132" t="s">
        <v>46</v>
      </c>
      <c r="X19" s="39" t="s">
        <v>45</v>
      </c>
    </row>
    <row r="20" spans="1:32" ht="14.25" thickTop="1" thickBot="1" x14ac:dyDescent="0.25">
      <c r="A20" s="25"/>
      <c r="B20" s="26"/>
      <c r="C20" s="26"/>
      <c r="X20" s="39"/>
    </row>
    <row r="21" spans="1:32" ht="14.25" thickTop="1" thickBot="1" x14ac:dyDescent="0.25">
      <c r="A21" s="143" t="s">
        <v>90</v>
      </c>
      <c r="B21" s="144"/>
      <c r="C21" s="144"/>
      <c r="X21" s="39"/>
    </row>
    <row r="22" spans="1:32" x14ac:dyDescent="0.2">
      <c r="A22" s="1134" t="s">
        <v>61</v>
      </c>
      <c r="B22" s="1135" t="s">
        <v>7</v>
      </c>
      <c r="C22" s="1136" t="s">
        <v>132</v>
      </c>
      <c r="X22" s="39" t="s">
        <v>45</v>
      </c>
    </row>
    <row r="23" spans="1:32" s="1046" customFormat="1" ht="17.25" customHeight="1" x14ac:dyDescent="0.2">
      <c r="A23" s="507" t="s">
        <v>62</v>
      </c>
      <c r="B23" s="508" t="s">
        <v>7</v>
      </c>
      <c r="C23" s="674" t="s">
        <v>44</v>
      </c>
      <c r="D23" s="669">
        <v>0</v>
      </c>
      <c r="E23" s="1119">
        <v>339</v>
      </c>
      <c r="F23" s="770" t="s">
        <v>252</v>
      </c>
      <c r="G23" s="1119" t="s">
        <v>263</v>
      </c>
      <c r="H23" s="1120" t="s">
        <v>263</v>
      </c>
      <c r="I23" s="1121">
        <v>1</v>
      </c>
      <c r="J23" s="1119">
        <v>0</v>
      </c>
      <c r="K23" s="770"/>
      <c r="L23" s="669" t="s">
        <v>285</v>
      </c>
      <c r="M23" s="669" t="s">
        <v>280</v>
      </c>
      <c r="N23" s="1122" t="s">
        <v>490</v>
      </c>
      <c r="O23" s="669">
        <v>0</v>
      </c>
      <c r="P23" s="1123"/>
      <c r="Q23" s="1123"/>
      <c r="R23" s="669">
        <v>4</v>
      </c>
      <c r="S23" s="1124" t="s">
        <v>288</v>
      </c>
      <c r="T23" s="1125" t="s">
        <v>289</v>
      </c>
      <c r="U23" s="669"/>
      <c r="V23" s="1126"/>
      <c r="W23" s="1119">
        <v>1</v>
      </c>
      <c r="X23" s="1046" t="s">
        <v>453</v>
      </c>
      <c r="Y23" s="1046" t="s">
        <v>452</v>
      </c>
      <c r="Z23" s="1046" t="s">
        <v>452</v>
      </c>
      <c r="AA23" s="693" t="s">
        <v>452</v>
      </c>
      <c r="AB23" s="1127">
        <v>39203</v>
      </c>
      <c r="AC23" s="693" t="s">
        <v>45</v>
      </c>
      <c r="AD23" s="1128">
        <v>39205</v>
      </c>
      <c r="AE23" s="1129" t="s">
        <v>498</v>
      </c>
    </row>
    <row r="24" spans="1:32" s="1046" customFormat="1" ht="51" x14ac:dyDescent="0.2">
      <c r="A24" s="507" t="s">
        <v>63</v>
      </c>
      <c r="B24" s="508" t="s">
        <v>7</v>
      </c>
      <c r="C24" s="674" t="s">
        <v>44</v>
      </c>
      <c r="D24" s="669">
        <v>0</v>
      </c>
      <c r="E24" s="1119">
        <v>321</v>
      </c>
      <c r="F24" s="770" t="s">
        <v>253</v>
      </c>
      <c r="G24" s="1119" t="s">
        <v>290</v>
      </c>
      <c r="H24" s="1120" t="s">
        <v>290</v>
      </c>
      <c r="I24" s="1121">
        <v>0</v>
      </c>
      <c r="J24" s="1119">
        <v>1</v>
      </c>
      <c r="K24" s="770" t="s">
        <v>290</v>
      </c>
      <c r="L24" s="669" t="s">
        <v>282</v>
      </c>
      <c r="M24" s="669" t="s">
        <v>280</v>
      </c>
      <c r="N24" s="1122" t="s">
        <v>491</v>
      </c>
      <c r="O24" s="669">
        <v>1</v>
      </c>
      <c r="P24" s="1123" t="s">
        <v>366</v>
      </c>
      <c r="Q24" s="1123" t="s">
        <v>367</v>
      </c>
      <c r="R24" s="669">
        <v>4</v>
      </c>
      <c r="S24" s="1124" t="s">
        <v>291</v>
      </c>
      <c r="T24" s="1125" t="s">
        <v>292</v>
      </c>
      <c r="U24" s="669"/>
      <c r="V24" s="1126"/>
      <c r="W24" s="1119">
        <v>1</v>
      </c>
      <c r="X24" s="1046" t="s">
        <v>452</v>
      </c>
      <c r="Y24" s="1046" t="s">
        <v>452</v>
      </c>
      <c r="Z24" s="1046" t="s">
        <v>452</v>
      </c>
      <c r="AA24" s="693" t="s">
        <v>452</v>
      </c>
      <c r="AB24" s="1127">
        <v>39234</v>
      </c>
      <c r="AC24" s="693" t="s">
        <v>45</v>
      </c>
      <c r="AD24" s="1128">
        <v>39205</v>
      </c>
      <c r="AE24" s="1129" t="s">
        <v>498</v>
      </c>
    </row>
    <row r="25" spans="1:32" ht="13.5" thickBot="1" x14ac:dyDescent="0.25">
      <c r="A25" s="107"/>
      <c r="B25" s="108"/>
      <c r="C25" s="213"/>
    </row>
    <row r="26" spans="1:32" ht="14.25" thickTop="1" thickBot="1" x14ac:dyDescent="0.25">
      <c r="A26" s="143" t="s">
        <v>120</v>
      </c>
      <c r="B26" s="145"/>
      <c r="C26" s="145"/>
    </row>
    <row r="27" spans="1:32" ht="13.5" thickBot="1" x14ac:dyDescent="0.25">
      <c r="A27" s="1133" t="s">
        <v>187</v>
      </c>
      <c r="B27" s="1131" t="s">
        <v>14</v>
      </c>
      <c r="C27" s="1132" t="s">
        <v>132</v>
      </c>
    </row>
    <row r="28" spans="1:32" ht="27" thickTop="1" thickBot="1" x14ac:dyDescent="0.25">
      <c r="A28" s="25"/>
      <c r="B28" s="26"/>
      <c r="C28" s="26"/>
      <c r="R28" s="196">
        <v>1</v>
      </c>
      <c r="S28" s="231" t="s">
        <v>295</v>
      </c>
      <c r="T28" s="230" t="s">
        <v>296</v>
      </c>
    </row>
    <row r="29" spans="1:32" ht="14.25" thickTop="1" thickBot="1" x14ac:dyDescent="0.25">
      <c r="A29" s="146" t="s">
        <v>133</v>
      </c>
      <c r="B29" s="147"/>
      <c r="C29" s="147"/>
    </row>
    <row r="30" spans="1:32" s="39" customFormat="1" ht="13.5" thickTop="1" x14ac:dyDescent="0.2">
      <c r="A30" s="1033" t="s">
        <v>134</v>
      </c>
      <c r="B30" s="100" t="s">
        <v>7</v>
      </c>
      <c r="C30" s="211" t="s">
        <v>132</v>
      </c>
      <c r="D30" s="195"/>
      <c r="E30" s="456"/>
      <c r="F30" s="391"/>
      <c r="G30" s="392"/>
      <c r="H30" s="393"/>
      <c r="I30" s="394"/>
      <c r="J30" s="392"/>
      <c r="K30" s="391"/>
      <c r="L30" s="195"/>
      <c r="M30" s="195"/>
      <c r="N30" s="870"/>
      <c r="O30" s="195"/>
      <c r="P30" s="395"/>
      <c r="Q30" s="395"/>
      <c r="R30" s="195"/>
      <c r="S30" s="396"/>
      <c r="T30" s="194"/>
      <c r="U30" s="195"/>
      <c r="V30" s="397"/>
      <c r="W30" s="392"/>
      <c r="AA30" s="41"/>
      <c r="AB30" s="404"/>
      <c r="AC30" s="41"/>
      <c r="AD30" s="405"/>
      <c r="AE30" s="465"/>
    </row>
    <row r="31" spans="1:32" s="1046" customFormat="1" x14ac:dyDescent="0.2">
      <c r="A31" s="507" t="s">
        <v>50</v>
      </c>
      <c r="B31" s="508" t="s">
        <v>7</v>
      </c>
      <c r="C31" s="674" t="s">
        <v>44</v>
      </c>
      <c r="D31" s="669">
        <v>1</v>
      </c>
      <c r="E31" s="1119">
        <v>423</v>
      </c>
      <c r="F31" s="770" t="s">
        <v>257</v>
      </c>
      <c r="G31" s="1119" t="s">
        <v>263</v>
      </c>
      <c r="H31" s="1120" t="s">
        <v>263</v>
      </c>
      <c r="I31" s="1121">
        <v>1</v>
      </c>
      <c r="J31" s="1119">
        <v>0</v>
      </c>
      <c r="K31" s="770"/>
      <c r="L31" s="669" t="s">
        <v>285</v>
      </c>
      <c r="M31" s="669" t="s">
        <v>297</v>
      </c>
      <c r="N31" s="1122" t="s">
        <v>489</v>
      </c>
      <c r="O31" s="669">
        <v>0</v>
      </c>
      <c r="P31" s="1123"/>
      <c r="Q31" s="1123"/>
      <c r="R31" s="669">
        <v>4</v>
      </c>
      <c r="S31" s="1124" t="s">
        <v>298</v>
      </c>
      <c r="T31" s="1125" t="s">
        <v>299</v>
      </c>
      <c r="U31" s="669">
        <v>1</v>
      </c>
      <c r="V31" s="1126">
        <v>599550</v>
      </c>
      <c r="W31" s="1119">
        <v>1</v>
      </c>
      <c r="X31" s="1046" t="s">
        <v>452</v>
      </c>
      <c r="Y31" s="1046" t="s">
        <v>452</v>
      </c>
      <c r="Z31" s="1046" t="s">
        <v>452</v>
      </c>
      <c r="AA31" s="693" t="s">
        <v>452</v>
      </c>
      <c r="AB31" s="1127">
        <v>39173</v>
      </c>
      <c r="AC31" s="1128">
        <v>39128</v>
      </c>
      <c r="AD31" s="1128">
        <v>39261</v>
      </c>
      <c r="AE31" s="1129" t="s">
        <v>501</v>
      </c>
      <c r="AF31" s="1046" t="s">
        <v>502</v>
      </c>
    </row>
    <row r="32" spans="1:32" ht="13.5" thickBot="1" x14ac:dyDescent="0.25">
      <c r="A32" s="25"/>
      <c r="B32" s="26"/>
      <c r="C32" s="26"/>
    </row>
    <row r="33" spans="1:41" ht="14.25" thickTop="1" thickBot="1" x14ac:dyDescent="0.25">
      <c r="A33" s="148" t="s">
        <v>186</v>
      </c>
      <c r="B33" s="149"/>
      <c r="C33" s="214"/>
    </row>
    <row r="34" spans="1:41" s="473" customFormat="1" ht="14.25" thickTop="1" thickBot="1" x14ac:dyDescent="0.25">
      <c r="A34" s="1133" t="s">
        <v>188</v>
      </c>
      <c r="B34" s="1131" t="s">
        <v>7</v>
      </c>
      <c r="C34" s="1132" t="s">
        <v>132</v>
      </c>
      <c r="D34" s="195"/>
      <c r="E34" s="456"/>
      <c r="F34" s="391"/>
      <c r="G34" s="392"/>
      <c r="H34" s="393"/>
      <c r="I34" s="394"/>
      <c r="J34" s="392"/>
      <c r="K34" s="391"/>
      <c r="L34" s="195"/>
      <c r="M34" s="195"/>
      <c r="N34" s="870"/>
      <c r="O34" s="195"/>
      <c r="P34" s="395"/>
      <c r="Q34" s="395"/>
      <c r="R34" s="195"/>
      <c r="S34" s="396"/>
      <c r="T34" s="194"/>
      <c r="U34" s="195"/>
      <c r="V34" s="397"/>
      <c r="W34" s="392"/>
      <c r="X34" s="39"/>
      <c r="Y34" s="1115"/>
      <c r="Z34" s="39"/>
      <c r="AA34" s="41"/>
      <c r="AB34" s="404"/>
      <c r="AC34" s="41"/>
      <c r="AD34" s="405"/>
      <c r="AE34" s="465"/>
      <c r="AF34" s="39"/>
      <c r="AG34" s="39"/>
      <c r="AH34" s="39"/>
      <c r="AI34" s="39"/>
      <c r="AJ34" s="39"/>
      <c r="AK34" s="39"/>
      <c r="AL34" s="39"/>
      <c r="AM34" s="39"/>
      <c r="AN34" s="39"/>
      <c r="AO34" s="39"/>
    </row>
    <row r="35" spans="1:41" ht="14.25" thickTop="1" thickBot="1" x14ac:dyDescent="0.25"/>
    <row r="36" spans="1:41" ht="14.25" thickTop="1" thickBot="1" x14ac:dyDescent="0.25">
      <c r="A36" s="148" t="s">
        <v>316</v>
      </c>
      <c r="B36" s="149"/>
      <c r="C36" s="149"/>
    </row>
    <row r="37" spans="1:41" s="1046" customFormat="1" ht="13.5" thickTop="1" x14ac:dyDescent="0.2">
      <c r="A37" s="864" t="s">
        <v>125</v>
      </c>
      <c r="B37" s="468" t="s">
        <v>7</v>
      </c>
      <c r="C37" s="468" t="s">
        <v>44</v>
      </c>
      <c r="D37" s="669">
        <v>0</v>
      </c>
      <c r="E37" s="1119">
        <v>334</v>
      </c>
      <c r="F37" s="770" t="s">
        <v>255</v>
      </c>
      <c r="G37" s="1119" t="s">
        <v>318</v>
      </c>
      <c r="H37" s="1120" t="s">
        <v>263</v>
      </c>
      <c r="I37" s="1121">
        <v>1</v>
      </c>
      <c r="J37" s="1119">
        <v>0</v>
      </c>
      <c r="K37" s="770"/>
      <c r="L37" s="669" t="s">
        <v>285</v>
      </c>
      <c r="M37" s="669" t="s">
        <v>280</v>
      </c>
      <c r="N37" s="1122" t="s">
        <v>488</v>
      </c>
      <c r="O37" s="669">
        <v>0</v>
      </c>
      <c r="P37" s="1123"/>
      <c r="Q37" s="1123"/>
      <c r="R37" s="669">
        <v>3</v>
      </c>
      <c r="S37" s="1124" t="s">
        <v>286</v>
      </c>
      <c r="T37" s="1125" t="s">
        <v>287</v>
      </c>
      <c r="U37" s="669">
        <v>1</v>
      </c>
      <c r="V37" s="1126">
        <v>102248</v>
      </c>
      <c r="W37" s="1119">
        <v>1</v>
      </c>
      <c r="X37" s="1046" t="s">
        <v>453</v>
      </c>
      <c r="Y37" s="1046" t="s">
        <v>452</v>
      </c>
      <c r="Z37" s="1046" t="s">
        <v>452</v>
      </c>
      <c r="AA37" s="693" t="s">
        <v>453</v>
      </c>
      <c r="AB37" s="1127">
        <v>39142</v>
      </c>
      <c r="AC37" s="1128">
        <v>39128</v>
      </c>
      <c r="AD37" s="1128">
        <v>39380</v>
      </c>
      <c r="AE37" s="1129" t="s">
        <v>499</v>
      </c>
    </row>
    <row r="38" spans="1:41" s="1046" customFormat="1" x14ac:dyDescent="0.2">
      <c r="A38" s="864" t="s">
        <v>121</v>
      </c>
      <c r="B38" s="468" t="s">
        <v>7</v>
      </c>
      <c r="C38" s="468" t="s">
        <v>44</v>
      </c>
      <c r="D38" s="669">
        <v>1</v>
      </c>
      <c r="E38" s="1119">
        <v>311</v>
      </c>
      <c r="F38" s="770" t="s">
        <v>254</v>
      </c>
      <c r="G38" s="1119" t="s">
        <v>281</v>
      </c>
      <c r="H38" s="1120" t="s">
        <v>263</v>
      </c>
      <c r="I38" s="1121">
        <v>1</v>
      </c>
      <c r="J38" s="1119">
        <v>0</v>
      </c>
      <c r="K38" s="770"/>
      <c r="L38" s="669" t="s">
        <v>282</v>
      </c>
      <c r="M38" s="669" t="s">
        <v>283</v>
      </c>
      <c r="N38" s="1122" t="s">
        <v>492</v>
      </c>
      <c r="O38" s="669">
        <v>0</v>
      </c>
      <c r="P38" s="1123"/>
      <c r="Q38" s="1123"/>
      <c r="R38" s="669">
        <v>4</v>
      </c>
      <c r="S38" s="1124" t="s">
        <v>293</v>
      </c>
      <c r="T38" s="1125" t="s">
        <v>294</v>
      </c>
      <c r="U38" s="669"/>
      <c r="V38" s="1126"/>
      <c r="W38" s="1119">
        <v>1</v>
      </c>
      <c r="X38" s="1046" t="s">
        <v>453</v>
      </c>
      <c r="AA38" s="693"/>
      <c r="AB38" s="1127">
        <v>39226</v>
      </c>
      <c r="AC38" s="1128">
        <v>39226</v>
      </c>
      <c r="AD38" s="1128">
        <v>39380</v>
      </c>
      <c r="AE38" s="1129" t="s">
        <v>500</v>
      </c>
    </row>
    <row r="39" spans="1:41" s="39" customFormat="1" x14ac:dyDescent="0.2">
      <c r="A39" s="409" t="s">
        <v>300</v>
      </c>
      <c r="B39" s="73" t="s">
        <v>14</v>
      </c>
      <c r="C39" s="73" t="s">
        <v>132</v>
      </c>
      <c r="D39" s="195"/>
      <c r="E39" s="456"/>
      <c r="F39" s="391"/>
      <c r="G39" s="392"/>
      <c r="H39" s="393"/>
      <c r="I39" s="394"/>
      <c r="J39" s="392"/>
      <c r="K39" s="391"/>
      <c r="L39" s="195"/>
      <c r="M39" s="195"/>
      <c r="N39" s="401"/>
      <c r="O39" s="195"/>
      <c r="P39" s="395"/>
      <c r="Q39" s="395"/>
      <c r="R39" s="195"/>
      <c r="S39" s="396"/>
      <c r="T39" s="194"/>
      <c r="U39" s="195"/>
      <c r="V39" s="397"/>
      <c r="W39" s="392"/>
      <c r="AA39" s="41"/>
      <c r="AB39" s="404"/>
      <c r="AC39" s="405"/>
      <c r="AD39" s="41"/>
      <c r="AE39" s="465"/>
    </row>
    <row r="40" spans="1:41" ht="13.5" thickBot="1" x14ac:dyDescent="0.25">
      <c r="A40" s="39"/>
      <c r="B40" s="39"/>
      <c r="C40" s="39"/>
    </row>
    <row r="41" spans="1:41" ht="14.25" thickTop="1" thickBot="1" x14ac:dyDescent="0.25">
      <c r="A41" s="425" t="s">
        <v>389</v>
      </c>
      <c r="B41" s="426"/>
      <c r="C41" s="427"/>
      <c r="D41" s="58"/>
    </row>
    <row r="42" spans="1:41" s="777" customFormat="1" ht="13.5" thickTop="1" x14ac:dyDescent="0.2">
      <c r="A42" s="1137" t="s">
        <v>383</v>
      </c>
      <c r="B42" s="1137" t="s">
        <v>14</v>
      </c>
      <c r="C42" s="828" t="s">
        <v>132</v>
      </c>
      <c r="D42" s="965"/>
      <c r="E42" s="456"/>
      <c r="F42" s="391"/>
      <c r="G42" s="392"/>
      <c r="H42" s="393"/>
      <c r="I42" s="394"/>
      <c r="J42" s="392"/>
      <c r="K42" s="391"/>
      <c r="L42" s="195"/>
      <c r="M42" s="195"/>
      <c r="N42" s="401"/>
      <c r="O42" s="195"/>
      <c r="P42" s="395"/>
      <c r="Q42" s="395"/>
      <c r="R42" s="195"/>
      <c r="S42" s="396"/>
      <c r="T42" s="396"/>
      <c r="U42" s="195"/>
      <c r="V42" s="397"/>
      <c r="W42" s="392"/>
      <c r="X42" s="39"/>
      <c r="Y42" s="39"/>
      <c r="Z42" s="39"/>
      <c r="AA42" s="41"/>
      <c r="AB42" s="404"/>
      <c r="AC42" s="405"/>
      <c r="AD42" s="41"/>
      <c r="AE42" s="465"/>
      <c r="AF42" s="39"/>
      <c r="AG42" s="39"/>
      <c r="AH42" s="39"/>
      <c r="AI42" s="39"/>
      <c r="AJ42" s="39"/>
      <c r="AK42" s="39"/>
      <c r="AL42" s="39"/>
      <c r="AM42" s="39"/>
      <c r="AN42" s="39"/>
      <c r="AO42" s="39"/>
    </row>
    <row r="43" spans="1:41" s="39" customFormat="1" ht="13.5" thickBot="1" x14ac:dyDescent="0.25">
      <c r="A43" s="680" t="s">
        <v>385</v>
      </c>
      <c r="B43" s="680" t="s">
        <v>14</v>
      </c>
      <c r="C43" s="820" t="s">
        <v>132</v>
      </c>
      <c r="E43" s="977"/>
      <c r="F43" s="391"/>
      <c r="G43" s="102"/>
      <c r="H43" s="103"/>
      <c r="I43" s="391"/>
      <c r="W43" s="102"/>
      <c r="AB43" s="71"/>
    </row>
    <row r="44" spans="1:41" ht="14.25" thickTop="1" thickBot="1" x14ac:dyDescent="0.25">
      <c r="A44" s="39"/>
      <c r="B44" s="39"/>
      <c r="C44" s="39"/>
      <c r="D44" s="406"/>
      <c r="J44" s="963"/>
      <c r="V44" s="287"/>
    </row>
    <row r="45" spans="1:41" s="39" customFormat="1" ht="14.25" thickTop="1" thickBot="1" x14ac:dyDescent="0.25">
      <c r="A45" s="428" t="s">
        <v>476</v>
      </c>
      <c r="B45" s="428"/>
      <c r="C45" s="429"/>
      <c r="D45" s="406"/>
      <c r="E45" s="456"/>
      <c r="F45" s="391"/>
      <c r="G45" s="392"/>
      <c r="H45" s="393"/>
      <c r="I45" s="394"/>
      <c r="J45" s="964"/>
      <c r="K45" s="391"/>
      <c r="L45" s="195"/>
      <c r="M45" s="195"/>
      <c r="N45" s="401"/>
      <c r="O45" s="195"/>
      <c r="P45" s="395"/>
      <c r="Q45" s="395"/>
      <c r="R45" s="195"/>
      <c r="S45" s="396"/>
      <c r="T45" s="194"/>
      <c r="U45" s="195"/>
      <c r="V45" s="311"/>
      <c r="W45" s="392"/>
      <c r="AA45" s="41"/>
      <c r="AB45" s="406"/>
      <c r="AC45" s="41"/>
      <c r="AD45" s="41"/>
      <c r="AE45" s="465"/>
    </row>
    <row r="46" spans="1:41" s="39" customFormat="1" ht="13.5" thickTop="1" x14ac:dyDescent="0.2">
      <c r="A46" s="409" t="s">
        <v>466</v>
      </c>
      <c r="B46" s="409" t="s">
        <v>14</v>
      </c>
      <c r="C46" s="409" t="s">
        <v>132</v>
      </c>
      <c r="D46" s="406"/>
      <c r="E46" s="456"/>
      <c r="F46" s="866"/>
      <c r="G46" s="867"/>
      <c r="H46" s="868"/>
      <c r="I46" s="394"/>
      <c r="J46" s="964"/>
      <c r="K46" s="391"/>
      <c r="L46" s="869"/>
      <c r="M46" s="869"/>
      <c r="N46" s="870"/>
      <c r="O46" s="195"/>
      <c r="P46" s="395"/>
      <c r="Q46" s="395"/>
      <c r="R46" s="195"/>
      <c r="S46" s="871"/>
      <c r="T46" s="872"/>
      <c r="U46" s="195"/>
      <c r="V46" s="311"/>
      <c r="W46" s="392"/>
      <c r="AA46" s="41"/>
      <c r="AB46" s="404"/>
      <c r="AC46" s="405"/>
      <c r="AD46" s="405"/>
      <c r="AE46" s="465"/>
    </row>
    <row r="47" spans="1:41" ht="13.5" thickBot="1" x14ac:dyDescent="0.25">
      <c r="D47" s="403"/>
      <c r="J47" s="963"/>
      <c r="V47" s="287"/>
    </row>
    <row r="48" spans="1:41" ht="14.25" thickTop="1" thickBot="1" x14ac:dyDescent="0.25">
      <c r="A48" s="428" t="s">
        <v>539</v>
      </c>
      <c r="B48" s="428"/>
      <c r="C48" s="429"/>
      <c r="D48" s="403"/>
      <c r="J48" s="963"/>
      <c r="V48" s="287"/>
    </row>
    <row r="49" spans="1:41" s="1234" customFormat="1" ht="13.5" thickTop="1" x14ac:dyDescent="0.2">
      <c r="A49" s="1234" t="s">
        <v>478</v>
      </c>
      <c r="B49" s="1234" t="s">
        <v>7</v>
      </c>
      <c r="C49" s="1234" t="s">
        <v>44</v>
      </c>
      <c r="D49" s="1786">
        <v>0</v>
      </c>
      <c r="E49" s="1787">
        <v>333</v>
      </c>
      <c r="F49" s="1413" t="s">
        <v>541</v>
      </c>
      <c r="G49" s="1787" t="s">
        <v>263</v>
      </c>
      <c r="H49" s="1788" t="s">
        <v>263</v>
      </c>
      <c r="I49" s="1789">
        <v>1</v>
      </c>
      <c r="J49" s="1790">
        <v>0</v>
      </c>
      <c r="K49" s="1413"/>
      <c r="L49" s="1400" t="s">
        <v>285</v>
      </c>
      <c r="M49" s="1400" t="s">
        <v>280</v>
      </c>
      <c r="N49" s="1791" t="s">
        <v>542</v>
      </c>
      <c r="O49" s="1400">
        <v>0</v>
      </c>
      <c r="P49" s="1792"/>
      <c r="Q49" s="1792"/>
      <c r="R49" s="1400">
        <v>5</v>
      </c>
      <c r="S49" s="1793" t="s">
        <v>543</v>
      </c>
      <c r="T49" s="1794" t="s">
        <v>544</v>
      </c>
      <c r="U49" s="1400">
        <v>1</v>
      </c>
      <c r="V49" s="1634">
        <v>106978</v>
      </c>
      <c r="W49" s="1787"/>
      <c r="AA49" s="1401"/>
      <c r="AB49" s="1795">
        <v>39479</v>
      </c>
      <c r="AC49" s="1796">
        <v>39471</v>
      </c>
      <c r="AD49" s="1796">
        <v>39513</v>
      </c>
      <c r="AE49" s="1797" t="s">
        <v>503</v>
      </c>
    </row>
    <row r="50" spans="1:41" s="39" customFormat="1" x14ac:dyDescent="0.2">
      <c r="A50" s="409" t="s">
        <v>540</v>
      </c>
      <c r="B50" s="409" t="s">
        <v>14</v>
      </c>
      <c r="C50" s="409" t="s">
        <v>132</v>
      </c>
      <c r="D50" s="406"/>
      <c r="E50" s="456"/>
      <c r="F50" s="455"/>
      <c r="G50" s="456"/>
      <c r="H50" s="457"/>
      <c r="I50" s="394"/>
      <c r="J50" s="964"/>
      <c r="K50" s="455"/>
      <c r="L50" s="454"/>
      <c r="M50" s="873"/>
      <c r="N50" s="458"/>
      <c r="O50" s="195"/>
      <c r="P50" s="395"/>
      <c r="Q50" s="395"/>
      <c r="R50" s="195"/>
      <c r="S50" s="459"/>
      <c r="T50" s="460"/>
      <c r="U50" s="195"/>
      <c r="V50" s="311"/>
      <c r="W50" s="392"/>
      <c r="AA50" s="41"/>
      <c r="AB50" s="404"/>
      <c r="AC50" s="405"/>
      <c r="AD50" s="41"/>
      <c r="AE50" s="466"/>
    </row>
    <row r="51" spans="1:41" ht="13.5" thickBot="1" x14ac:dyDescent="0.25">
      <c r="D51" s="403"/>
      <c r="J51" s="963"/>
      <c r="V51" s="287"/>
    </row>
    <row r="52" spans="1:41" ht="14.25" thickTop="1" thickBot="1" x14ac:dyDescent="0.25">
      <c r="A52" s="428" t="s">
        <v>524</v>
      </c>
      <c r="B52" s="428"/>
      <c r="C52" s="429"/>
      <c r="D52" s="403"/>
      <c r="J52" s="963"/>
      <c r="V52" s="287"/>
    </row>
    <row r="53" spans="1:41" s="39" customFormat="1" ht="13.5" thickTop="1" x14ac:dyDescent="0.2">
      <c r="A53" s="409" t="s">
        <v>538</v>
      </c>
      <c r="B53" s="409" t="s">
        <v>14</v>
      </c>
      <c r="C53" s="828" t="s">
        <v>132</v>
      </c>
      <c r="E53" s="977"/>
      <c r="F53" s="391"/>
      <c r="G53" s="102"/>
      <c r="H53" s="103"/>
      <c r="I53" s="391"/>
      <c r="K53" s="391"/>
      <c r="M53" s="194"/>
      <c r="N53" s="194"/>
      <c r="O53" s="194"/>
      <c r="P53" s="194"/>
      <c r="Q53" s="194"/>
      <c r="R53" s="194"/>
      <c r="S53" s="194"/>
      <c r="T53" s="194"/>
      <c r="U53" s="194"/>
      <c r="V53" s="71"/>
      <c r="W53" s="102"/>
      <c r="AB53" s="71"/>
      <c r="AE53" s="465"/>
    </row>
    <row r="54" spans="1:41" s="1234" customFormat="1" x14ac:dyDescent="0.2">
      <c r="A54" s="1234" t="s">
        <v>526</v>
      </c>
      <c r="B54" s="1234" t="s">
        <v>7</v>
      </c>
      <c r="C54" s="1681" t="s">
        <v>44</v>
      </c>
      <c r="D54" s="1399">
        <v>1</v>
      </c>
      <c r="E54" s="1787">
        <v>611</v>
      </c>
      <c r="F54" s="1413" t="s">
        <v>546</v>
      </c>
      <c r="G54" s="1787" t="s">
        <v>263</v>
      </c>
      <c r="H54" s="1788" t="s">
        <v>263</v>
      </c>
      <c r="I54" s="1789">
        <v>1</v>
      </c>
      <c r="J54" s="1399">
        <v>0</v>
      </c>
      <c r="K54" s="1413"/>
      <c r="L54" s="1399" t="s">
        <v>547</v>
      </c>
      <c r="M54" s="1798">
        <v>39629</v>
      </c>
      <c r="N54" s="1791" t="s">
        <v>548</v>
      </c>
      <c r="O54" s="1400">
        <v>0</v>
      </c>
      <c r="P54" s="1792"/>
      <c r="Q54" s="1792"/>
      <c r="R54" s="1400">
        <v>3</v>
      </c>
      <c r="S54" s="1793" t="s">
        <v>549</v>
      </c>
      <c r="T54" s="1794" t="s">
        <v>550</v>
      </c>
      <c r="U54" s="1400">
        <v>1</v>
      </c>
      <c r="V54" s="1634">
        <v>200000</v>
      </c>
      <c r="W54" s="1787"/>
      <c r="AA54" s="1401"/>
      <c r="AB54" s="1795">
        <v>39569</v>
      </c>
      <c r="AC54" s="1401" t="s">
        <v>45</v>
      </c>
      <c r="AD54" s="1796">
        <v>39534</v>
      </c>
      <c r="AE54" s="1797" t="s">
        <v>551</v>
      </c>
    </row>
    <row r="55" spans="1:41" ht="13.5" thickBot="1" x14ac:dyDescent="0.25">
      <c r="C55" s="3"/>
      <c r="D55" s="206"/>
      <c r="J55" s="206"/>
      <c r="L55" s="206"/>
      <c r="V55" s="287"/>
    </row>
    <row r="56" spans="1:41" ht="14.25" thickTop="1" thickBot="1" x14ac:dyDescent="0.25">
      <c r="A56" s="436" t="s">
        <v>559</v>
      </c>
      <c r="B56" s="428"/>
      <c r="C56" s="429"/>
      <c r="D56" s="206"/>
      <c r="J56" s="206"/>
      <c r="L56" s="206"/>
      <c r="V56" s="287"/>
    </row>
    <row r="57" spans="1:41" s="564" customFormat="1" ht="16.5" customHeight="1" thickTop="1" x14ac:dyDescent="0.2">
      <c r="A57" s="409" t="s">
        <v>538</v>
      </c>
      <c r="B57" s="409" t="s">
        <v>7</v>
      </c>
      <c r="C57" s="1138" t="s">
        <v>132</v>
      </c>
      <c r="D57" s="201"/>
      <c r="E57" s="456"/>
      <c r="F57" s="455"/>
      <c r="G57" s="456"/>
      <c r="H57" s="457"/>
      <c r="I57" s="394"/>
      <c r="J57" s="201"/>
      <c r="K57" s="391"/>
      <c r="L57" s="690"/>
      <c r="M57" s="454"/>
      <c r="N57" s="458"/>
      <c r="O57" s="195"/>
      <c r="P57" s="395"/>
      <c r="Q57" s="395"/>
      <c r="R57" s="195"/>
      <c r="S57" s="459"/>
      <c r="T57" s="460"/>
      <c r="U57" s="195"/>
      <c r="V57" s="311"/>
      <c r="W57" s="392"/>
      <c r="X57" s="39"/>
      <c r="Y57" s="39"/>
      <c r="Z57" s="39"/>
      <c r="AA57" s="41"/>
      <c r="AB57" s="404"/>
      <c r="AC57" s="405"/>
      <c r="AD57" s="405"/>
      <c r="AE57" s="466"/>
      <c r="AF57" s="39"/>
      <c r="AG57" s="39"/>
      <c r="AH57" s="39"/>
      <c r="AI57" s="39"/>
      <c r="AJ57" s="39"/>
      <c r="AK57" s="39"/>
      <c r="AL57" s="39"/>
      <c r="AM57" s="39"/>
      <c r="AN57" s="39"/>
      <c r="AO57" s="39"/>
    </row>
    <row r="58" spans="1:41" s="39" customFormat="1" x14ac:dyDescent="0.2">
      <c r="A58" s="409" t="s">
        <v>563</v>
      </c>
      <c r="B58" s="409" t="s">
        <v>14</v>
      </c>
      <c r="C58" s="1138" t="s">
        <v>132</v>
      </c>
    </row>
    <row r="59" spans="1:41" s="409" customFormat="1" x14ac:dyDescent="0.2">
      <c r="A59" s="409" t="s">
        <v>566</v>
      </c>
      <c r="B59" s="409" t="s">
        <v>14</v>
      </c>
      <c r="C59" s="1138" t="s">
        <v>132</v>
      </c>
      <c r="D59" s="691"/>
      <c r="E59" s="591"/>
      <c r="F59" s="594"/>
      <c r="G59" s="591"/>
      <c r="H59" s="592"/>
      <c r="I59" s="593"/>
      <c r="J59" s="691"/>
      <c r="K59" s="594"/>
      <c r="L59" s="691"/>
      <c r="M59" s="569"/>
      <c r="N59" s="595"/>
      <c r="O59" s="569"/>
      <c r="P59" s="596"/>
      <c r="Q59" s="596"/>
      <c r="R59" s="569"/>
      <c r="S59" s="597"/>
      <c r="T59" s="598"/>
      <c r="U59" s="569"/>
      <c r="V59" s="418"/>
      <c r="W59" s="591"/>
      <c r="AA59" s="570"/>
      <c r="AB59" s="599"/>
      <c r="AC59" s="600"/>
      <c r="AD59" s="570"/>
      <c r="AE59" s="601"/>
    </row>
    <row r="60" spans="1:41" s="39" customFormat="1" ht="13.5" thickBot="1" x14ac:dyDescent="0.25">
      <c r="C60" s="120"/>
      <c r="D60" s="201"/>
      <c r="E60" s="456"/>
      <c r="F60" s="391"/>
      <c r="G60" s="392"/>
      <c r="H60" s="393"/>
      <c r="I60" s="394"/>
      <c r="J60" s="201"/>
      <c r="K60" s="391"/>
      <c r="L60" s="201"/>
      <c r="M60" s="195"/>
      <c r="N60" s="401"/>
      <c r="O60" s="195"/>
      <c r="P60" s="395"/>
      <c r="Q60" s="395"/>
      <c r="R60" s="195"/>
      <c r="S60" s="396"/>
      <c r="T60" s="194"/>
      <c r="U60" s="195"/>
      <c r="V60" s="311"/>
      <c r="W60" s="392"/>
      <c r="AA60" s="41"/>
      <c r="AB60" s="406"/>
      <c r="AC60" s="41"/>
      <c r="AD60" s="41"/>
      <c r="AE60" s="465"/>
    </row>
    <row r="61" spans="1:41" ht="14.25" thickTop="1" thickBot="1" x14ac:dyDescent="0.25">
      <c r="A61" s="436" t="s">
        <v>595</v>
      </c>
      <c r="B61" s="428"/>
      <c r="C61" s="429"/>
      <c r="D61" s="206"/>
      <c r="J61" s="206"/>
      <c r="L61" s="206"/>
      <c r="V61" s="287"/>
    </row>
    <row r="62" spans="1:41" s="39" customFormat="1" ht="13.5" thickTop="1" x14ac:dyDescent="0.2">
      <c r="A62" s="1139" t="s">
        <v>599</v>
      </c>
      <c r="B62" s="1139" t="s">
        <v>14</v>
      </c>
      <c r="C62" s="1140" t="s">
        <v>132</v>
      </c>
      <c r="D62" s="201"/>
      <c r="E62" s="456"/>
      <c r="F62" s="455"/>
      <c r="G62" s="456"/>
      <c r="H62" s="457"/>
      <c r="I62" s="394"/>
      <c r="J62" s="201"/>
      <c r="K62" s="391"/>
      <c r="L62" s="690"/>
      <c r="M62" s="454"/>
      <c r="N62" s="458"/>
      <c r="O62" s="195"/>
      <c r="P62" s="395"/>
      <c r="Q62" s="395"/>
      <c r="R62" s="195"/>
      <c r="S62" s="459"/>
      <c r="T62" s="460"/>
      <c r="U62" s="195"/>
      <c r="V62" s="311"/>
      <c r="W62" s="392"/>
      <c r="AA62" s="41"/>
      <c r="AB62" s="404"/>
      <c r="AC62" s="405"/>
      <c r="AD62" s="405"/>
      <c r="AE62" s="466"/>
    </row>
    <row r="63" spans="1:41" s="39" customFormat="1" ht="13.5" thickBot="1" x14ac:dyDescent="0.25">
      <c r="A63" s="430"/>
      <c r="B63" s="430"/>
      <c r="C63" s="58"/>
      <c r="D63" s="201"/>
      <c r="E63" s="456"/>
      <c r="F63" s="455"/>
      <c r="G63" s="456"/>
      <c r="H63" s="457"/>
      <c r="I63" s="394"/>
      <c r="J63" s="201"/>
      <c r="K63" s="391"/>
      <c r="L63" s="690"/>
      <c r="M63" s="454"/>
      <c r="N63" s="458"/>
      <c r="O63" s="195"/>
      <c r="P63" s="395"/>
      <c r="Q63" s="395"/>
      <c r="R63" s="195"/>
      <c r="S63" s="459"/>
      <c r="T63" s="460"/>
      <c r="U63" s="195"/>
      <c r="V63" s="311"/>
      <c r="W63" s="392"/>
      <c r="AA63" s="41"/>
      <c r="AB63" s="404"/>
      <c r="AC63" s="405"/>
      <c r="AD63" s="405"/>
      <c r="AE63" s="466"/>
    </row>
    <row r="64" spans="1:41" ht="14.25" thickTop="1" thickBot="1" x14ac:dyDescent="0.25">
      <c r="A64" s="461">
        <v>39709</v>
      </c>
      <c r="B64" s="428"/>
      <c r="C64" s="429"/>
      <c r="D64" s="206"/>
      <c r="J64" s="206"/>
      <c r="L64" s="206"/>
      <c r="V64" s="287"/>
    </row>
    <row r="65" spans="1:41" s="564" customFormat="1" ht="13.5" thickTop="1" x14ac:dyDescent="0.2">
      <c r="A65" s="409" t="s">
        <v>612</v>
      </c>
      <c r="B65" s="409" t="s">
        <v>7</v>
      </c>
      <c r="C65" s="1138" t="s">
        <v>132</v>
      </c>
      <c r="D65" s="41"/>
      <c r="E65" s="456"/>
      <c r="F65" s="455"/>
      <c r="G65" s="456"/>
      <c r="H65" s="457"/>
      <c r="I65" s="394"/>
      <c r="J65" s="41"/>
      <c r="K65" s="391"/>
      <c r="L65" s="447"/>
      <c r="M65" s="454"/>
      <c r="N65" s="1116"/>
      <c r="O65" s="195"/>
      <c r="P65" s="194"/>
      <c r="Q65" s="194"/>
      <c r="R65" s="195"/>
      <c r="S65" s="460"/>
      <c r="T65" s="460"/>
      <c r="U65" s="195"/>
      <c r="V65" s="71"/>
      <c r="W65" s="102"/>
      <c r="X65" s="39"/>
      <c r="Y65" s="39"/>
      <c r="Z65" s="39"/>
      <c r="AA65" s="39"/>
      <c r="AB65" s="404"/>
      <c r="AC65" s="447"/>
      <c r="AD65" s="405"/>
      <c r="AE65" s="466"/>
      <c r="AF65" s="39"/>
      <c r="AG65" s="39"/>
      <c r="AH65" s="39"/>
      <c r="AI65" s="39"/>
      <c r="AJ65" s="39"/>
      <c r="AK65" s="39"/>
      <c r="AL65" s="39"/>
      <c r="AM65" s="39"/>
      <c r="AN65" s="39"/>
      <c r="AO65" s="39"/>
    </row>
    <row r="66" spans="1:41" s="1234" customFormat="1" x14ac:dyDescent="0.2">
      <c r="A66" s="1234" t="s">
        <v>607</v>
      </c>
      <c r="B66" s="1234" t="s">
        <v>7</v>
      </c>
      <c r="C66" s="1681" t="s">
        <v>44</v>
      </c>
      <c r="D66" s="1399">
        <v>1</v>
      </c>
      <c r="E66" s="1787">
        <v>332</v>
      </c>
      <c r="F66" s="1413" t="s">
        <v>618</v>
      </c>
      <c r="G66" s="1787" t="s">
        <v>263</v>
      </c>
      <c r="H66" s="1788" t="s">
        <v>263</v>
      </c>
      <c r="I66" s="1789">
        <v>1</v>
      </c>
      <c r="J66" s="1399">
        <v>0</v>
      </c>
      <c r="K66" s="1413"/>
      <c r="L66" s="1399" t="s">
        <v>285</v>
      </c>
      <c r="M66" s="1798" t="s">
        <v>280</v>
      </c>
      <c r="N66" s="1791" t="s">
        <v>619</v>
      </c>
      <c r="O66" s="1400">
        <v>1</v>
      </c>
      <c r="P66" s="1792" t="s">
        <v>621</v>
      </c>
      <c r="Q66" s="1792" t="s">
        <v>622</v>
      </c>
      <c r="R66" s="1400">
        <v>3</v>
      </c>
      <c r="S66" s="1793" t="s">
        <v>623</v>
      </c>
      <c r="T66" s="1794" t="s">
        <v>624</v>
      </c>
      <c r="U66" s="1400">
        <v>1</v>
      </c>
      <c r="V66" s="1634">
        <v>211397</v>
      </c>
      <c r="W66" s="1787"/>
      <c r="AA66" s="1401"/>
      <c r="AB66" s="1795">
        <v>39753</v>
      </c>
      <c r="AC66" s="1401" t="s">
        <v>45</v>
      </c>
      <c r="AD66" s="1796">
        <v>39709</v>
      </c>
      <c r="AE66" s="1797" t="s">
        <v>625</v>
      </c>
    </row>
    <row r="67" spans="1:41" s="39" customFormat="1" ht="13.5" thickBot="1" x14ac:dyDescent="0.25">
      <c r="A67" s="430"/>
      <c r="B67" s="430"/>
      <c r="C67" s="58"/>
      <c r="D67" s="201"/>
      <c r="E67" s="456"/>
      <c r="F67" s="455"/>
      <c r="G67" s="456"/>
      <c r="H67" s="457"/>
      <c r="I67" s="394"/>
      <c r="J67" s="201"/>
      <c r="K67" s="391"/>
      <c r="L67" s="690"/>
      <c r="M67" s="454"/>
      <c r="N67" s="458"/>
      <c r="O67" s="195"/>
      <c r="P67" s="395"/>
      <c r="Q67" s="395"/>
      <c r="R67" s="195"/>
      <c r="S67" s="459"/>
      <c r="T67" s="460"/>
      <c r="U67" s="195"/>
      <c r="V67" s="311"/>
      <c r="W67" s="392"/>
      <c r="AA67" s="41"/>
      <c r="AB67" s="404"/>
      <c r="AC67" s="405"/>
      <c r="AD67" s="405"/>
      <c r="AE67" s="466"/>
    </row>
    <row r="68" spans="1:41" ht="14.25" thickTop="1" thickBot="1" x14ac:dyDescent="0.25">
      <c r="A68" s="461">
        <v>39744</v>
      </c>
      <c r="B68" s="428"/>
      <c r="C68" s="429"/>
      <c r="D68" s="206"/>
      <c r="J68" s="206"/>
      <c r="L68" s="206"/>
      <c r="V68" s="287"/>
    </row>
    <row r="69" spans="1:41" s="1234" customFormat="1" ht="13.5" thickTop="1" x14ac:dyDescent="0.2">
      <c r="A69" s="1234" t="s">
        <v>566</v>
      </c>
      <c r="B69" s="1234" t="s">
        <v>7</v>
      </c>
      <c r="C69" s="1681" t="s">
        <v>44</v>
      </c>
      <c r="D69" s="1401">
        <v>0</v>
      </c>
      <c r="E69" s="1787">
        <v>541</v>
      </c>
      <c r="F69" s="1413" t="s">
        <v>658</v>
      </c>
      <c r="G69" s="1787" t="s">
        <v>585</v>
      </c>
      <c r="H69" s="1788" t="s">
        <v>263</v>
      </c>
      <c r="I69" s="1789">
        <v>1</v>
      </c>
      <c r="J69" s="1401">
        <v>1</v>
      </c>
      <c r="K69" s="1413" t="s">
        <v>585</v>
      </c>
      <c r="L69" s="1401" t="s">
        <v>272</v>
      </c>
      <c r="M69" s="1400" t="s">
        <v>280</v>
      </c>
      <c r="N69" s="1799">
        <v>260813432</v>
      </c>
      <c r="O69" s="1400">
        <v>0</v>
      </c>
      <c r="P69" s="1794"/>
      <c r="Q69" s="1794"/>
      <c r="R69" s="1400">
        <v>5</v>
      </c>
      <c r="S69" s="1794" t="s">
        <v>659</v>
      </c>
      <c r="T69" s="1794" t="s">
        <v>660</v>
      </c>
      <c r="U69" s="1400">
        <v>1</v>
      </c>
      <c r="V69" s="1800">
        <v>279693</v>
      </c>
      <c r="W69" s="1801"/>
      <c r="AB69" s="1795">
        <v>39630</v>
      </c>
      <c r="AC69" s="1796">
        <v>39625</v>
      </c>
      <c r="AD69" s="1796">
        <v>39744</v>
      </c>
      <c r="AE69" s="1797" t="s">
        <v>661</v>
      </c>
    </row>
    <row r="70" spans="1:41" s="566" customFormat="1" x14ac:dyDescent="0.2">
      <c r="A70" s="409" t="s">
        <v>635</v>
      </c>
      <c r="B70" s="409" t="s">
        <v>495</v>
      </c>
      <c r="C70" s="1138" t="s">
        <v>132</v>
      </c>
      <c r="D70" s="690"/>
      <c r="E70" s="456"/>
      <c r="F70" s="455"/>
      <c r="G70" s="456"/>
      <c r="H70" s="457"/>
      <c r="I70" s="966"/>
      <c r="J70" s="690"/>
      <c r="K70" s="455"/>
      <c r="L70" s="690"/>
      <c r="M70" s="967"/>
      <c r="N70" s="458"/>
      <c r="O70" s="454"/>
      <c r="P70" s="968"/>
      <c r="Q70" s="968"/>
      <c r="R70" s="454"/>
      <c r="S70" s="459"/>
      <c r="T70" s="460"/>
      <c r="U70" s="454"/>
      <c r="V70" s="763"/>
      <c r="W70" s="456"/>
      <c r="X70" s="431"/>
      <c r="Y70" s="431"/>
      <c r="Z70" s="431"/>
      <c r="AA70" s="447"/>
      <c r="AB70" s="969"/>
      <c r="AC70" s="970"/>
      <c r="AD70" s="970"/>
      <c r="AE70" s="466"/>
      <c r="AF70" s="431"/>
      <c r="AG70" s="431"/>
      <c r="AH70" s="431"/>
    </row>
    <row r="71" spans="1:41" ht="13.5" thickBot="1" x14ac:dyDescent="0.25">
      <c r="C71" s="3"/>
      <c r="D71" s="206"/>
      <c r="J71" s="206"/>
      <c r="L71" s="206"/>
      <c r="V71" s="287"/>
    </row>
    <row r="72" spans="1:41" ht="14.25" thickTop="1" thickBot="1" x14ac:dyDescent="0.25">
      <c r="A72" s="874" t="s">
        <v>677</v>
      </c>
      <c r="B72" s="426"/>
      <c r="C72" s="427"/>
      <c r="D72" s="206"/>
      <c r="J72" s="206"/>
      <c r="L72" s="206"/>
      <c r="V72" s="287"/>
    </row>
    <row r="73" spans="1:41" ht="13.5" thickTop="1" x14ac:dyDescent="0.2">
      <c r="A73" s="778" t="s">
        <v>683</v>
      </c>
      <c r="B73" s="779" t="s">
        <v>7</v>
      </c>
      <c r="C73" s="1141" t="s">
        <v>46</v>
      </c>
      <c r="D73" s="206"/>
      <c r="J73" s="206"/>
      <c r="L73" s="206"/>
      <c r="V73" s="287"/>
    </row>
    <row r="74" spans="1:41" s="1234" customFormat="1" x14ac:dyDescent="0.2">
      <c r="A74" s="1412" t="s">
        <v>412</v>
      </c>
      <c r="B74" s="1201" t="s">
        <v>7</v>
      </c>
      <c r="C74" s="1413" t="s">
        <v>44</v>
      </c>
      <c r="D74" s="1399">
        <v>0</v>
      </c>
      <c r="E74" s="1787">
        <v>325</v>
      </c>
      <c r="F74" s="1413" t="s">
        <v>430</v>
      </c>
      <c r="G74" s="1787" t="s">
        <v>281</v>
      </c>
      <c r="H74" s="1788" t="s">
        <v>263</v>
      </c>
      <c r="I74" s="1789">
        <v>1</v>
      </c>
      <c r="J74" s="1399">
        <v>0</v>
      </c>
      <c r="K74" s="1413"/>
      <c r="L74" s="1399" t="s">
        <v>272</v>
      </c>
      <c r="M74" s="1400" t="s">
        <v>280</v>
      </c>
      <c r="N74" s="1791" t="s">
        <v>620</v>
      </c>
      <c r="O74" s="1400">
        <v>0</v>
      </c>
      <c r="P74" s="1792"/>
      <c r="Q74" s="1792"/>
      <c r="R74" s="1400">
        <v>3</v>
      </c>
      <c r="S74" s="1793" t="s">
        <v>432</v>
      </c>
      <c r="T74" s="1794" t="s">
        <v>434</v>
      </c>
      <c r="U74" s="1400">
        <v>1</v>
      </c>
      <c r="V74" s="1634">
        <v>195102</v>
      </c>
      <c r="W74" s="1787"/>
      <c r="X74" s="1234" t="s">
        <v>45</v>
      </c>
      <c r="AA74" s="1401"/>
      <c r="AB74" s="1795">
        <v>39448</v>
      </c>
      <c r="AC74" s="1796">
        <v>39422</v>
      </c>
      <c r="AD74" s="1796">
        <v>39786</v>
      </c>
      <c r="AE74" s="1797" t="s">
        <v>725</v>
      </c>
    </row>
    <row r="75" spans="1:41" s="409" customFormat="1" x14ac:dyDescent="0.2">
      <c r="A75" s="1033" t="s">
        <v>679</v>
      </c>
      <c r="B75" s="100" t="s">
        <v>14</v>
      </c>
      <c r="C75" s="594" t="s">
        <v>132</v>
      </c>
      <c r="E75" s="653"/>
    </row>
    <row r="76" spans="1:41" s="409" customFormat="1" x14ac:dyDescent="0.2">
      <c r="A76" s="1033" t="s">
        <v>685</v>
      </c>
      <c r="B76" s="100" t="s">
        <v>14</v>
      </c>
      <c r="C76" s="594" t="s">
        <v>44</v>
      </c>
      <c r="E76" s="653"/>
    </row>
    <row r="77" spans="1:41" s="1271" customFormat="1" ht="26.25" thickBot="1" x14ac:dyDescent="0.25">
      <c r="A77" s="1364" t="s">
        <v>671</v>
      </c>
      <c r="B77" s="1417" t="s">
        <v>7</v>
      </c>
      <c r="C77" s="1419" t="s">
        <v>44</v>
      </c>
      <c r="D77" s="1420">
        <v>1</v>
      </c>
      <c r="E77" s="1775">
        <v>339</v>
      </c>
      <c r="F77" s="1426" t="s">
        <v>735</v>
      </c>
      <c r="G77" s="1775" t="s">
        <v>263</v>
      </c>
      <c r="H77" s="1776" t="s">
        <v>263</v>
      </c>
      <c r="I77" s="1777">
        <v>1</v>
      </c>
      <c r="J77" s="1420">
        <v>0</v>
      </c>
      <c r="K77" s="1426"/>
      <c r="L77" s="1420" t="s">
        <v>285</v>
      </c>
      <c r="M77" s="1421" t="s">
        <v>280</v>
      </c>
      <c r="N77" s="1779" t="s">
        <v>736</v>
      </c>
      <c r="O77" s="1421">
        <v>1</v>
      </c>
      <c r="P77" s="1780" t="s">
        <v>737</v>
      </c>
      <c r="Q77" s="1780" t="s">
        <v>738</v>
      </c>
      <c r="R77" s="1421">
        <v>1</v>
      </c>
      <c r="S77" s="1782" t="s">
        <v>739</v>
      </c>
      <c r="T77" s="1782" t="s">
        <v>740</v>
      </c>
      <c r="U77" s="1421">
        <v>0</v>
      </c>
      <c r="V77" s="1635"/>
      <c r="W77" s="1775"/>
      <c r="AA77" s="1422"/>
      <c r="AB77" s="1783">
        <v>39814</v>
      </c>
      <c r="AC77" s="1422" t="s">
        <v>45</v>
      </c>
      <c r="AD77" s="1784">
        <v>40151</v>
      </c>
      <c r="AE77" s="1785" t="s">
        <v>730</v>
      </c>
    </row>
    <row r="78" spans="1:41" ht="14.25" thickTop="1" thickBot="1" x14ac:dyDescent="0.25">
      <c r="C78" s="3"/>
      <c r="D78" s="403"/>
      <c r="J78" s="206"/>
      <c r="L78" s="206"/>
      <c r="V78" s="287"/>
    </row>
    <row r="79" spans="1:41" ht="14.25" thickTop="1" thickBot="1" x14ac:dyDescent="0.25">
      <c r="A79" s="971" t="s">
        <v>744</v>
      </c>
      <c r="B79" s="972"/>
      <c r="C79" s="973"/>
      <c r="D79" s="25"/>
      <c r="J79" s="206"/>
      <c r="L79" s="206"/>
      <c r="V79" s="287"/>
    </row>
    <row r="80" spans="1:41" s="1271" customFormat="1" ht="25.5" x14ac:dyDescent="0.2">
      <c r="A80" s="1263" t="s">
        <v>383</v>
      </c>
      <c r="B80" s="1264" t="s">
        <v>7</v>
      </c>
      <c r="C80" s="1426" t="s">
        <v>44</v>
      </c>
      <c r="D80" s="1774">
        <v>0</v>
      </c>
      <c r="E80" s="1775">
        <v>611</v>
      </c>
      <c r="F80" s="1426" t="s">
        <v>429</v>
      </c>
      <c r="G80" s="1775" t="s">
        <v>290</v>
      </c>
      <c r="H80" s="1776" t="s">
        <v>290</v>
      </c>
      <c r="I80" s="1777">
        <v>0</v>
      </c>
      <c r="J80" s="1775">
        <v>1</v>
      </c>
      <c r="K80" s="1426" t="s">
        <v>290</v>
      </c>
      <c r="L80" s="1421" t="s">
        <v>431</v>
      </c>
      <c r="M80" s="1421" t="s">
        <v>273</v>
      </c>
      <c r="N80" s="1779" t="s">
        <v>774</v>
      </c>
      <c r="O80" s="1421">
        <v>0</v>
      </c>
      <c r="P80" s="1780"/>
      <c r="Q80" s="1780"/>
      <c r="R80" s="1421">
        <v>4</v>
      </c>
      <c r="S80" s="1781" t="s">
        <v>433</v>
      </c>
      <c r="T80" s="1781" t="s">
        <v>435</v>
      </c>
      <c r="U80" s="1421">
        <v>1</v>
      </c>
      <c r="V80" s="1737">
        <v>1021163</v>
      </c>
      <c r="W80" s="1775"/>
      <c r="X80" s="1271" t="s">
        <v>45</v>
      </c>
      <c r="AA80" s="1422"/>
      <c r="AB80" s="1783">
        <v>39814</v>
      </c>
      <c r="AC80" s="1784">
        <v>39422</v>
      </c>
      <c r="AD80" s="1802">
        <v>39835</v>
      </c>
      <c r="AE80" s="1785" t="s">
        <v>775</v>
      </c>
    </row>
    <row r="81" spans="1:41" s="1271" customFormat="1" x14ac:dyDescent="0.2">
      <c r="A81" s="1263" t="s">
        <v>748</v>
      </c>
      <c r="B81" s="1264" t="s">
        <v>7</v>
      </c>
      <c r="C81" s="1426" t="s">
        <v>44</v>
      </c>
      <c r="D81" s="1774">
        <v>0</v>
      </c>
      <c r="E81" s="1775">
        <v>621</v>
      </c>
      <c r="F81" s="1426" t="s">
        <v>662</v>
      </c>
      <c r="G81" s="1775" t="s">
        <v>663</v>
      </c>
      <c r="H81" s="1776" t="s">
        <v>663</v>
      </c>
      <c r="I81" s="1777">
        <v>0</v>
      </c>
      <c r="J81" s="1420">
        <v>1</v>
      </c>
      <c r="K81" s="1426" t="s">
        <v>663</v>
      </c>
      <c r="L81" s="1420" t="s">
        <v>272</v>
      </c>
      <c r="M81" s="1803" t="s">
        <v>280</v>
      </c>
      <c r="N81" s="1779" t="s">
        <v>664</v>
      </c>
      <c r="O81" s="1421">
        <v>0</v>
      </c>
      <c r="P81" s="1780"/>
      <c r="Q81" s="1780"/>
      <c r="R81" s="1421">
        <v>5</v>
      </c>
      <c r="S81" s="1781" t="s">
        <v>781</v>
      </c>
      <c r="T81" s="1782" t="s">
        <v>780</v>
      </c>
      <c r="U81" s="1421">
        <v>1</v>
      </c>
      <c r="V81" s="1635">
        <v>111487</v>
      </c>
      <c r="W81" s="1775"/>
      <c r="AA81" s="1422"/>
      <c r="AB81" s="1783">
        <v>39814</v>
      </c>
      <c r="AC81" s="1784">
        <v>39744</v>
      </c>
      <c r="AD81" s="1784">
        <v>39835</v>
      </c>
      <c r="AE81" s="1785" t="s">
        <v>665</v>
      </c>
    </row>
    <row r="82" spans="1:41" s="39" customFormat="1" ht="13.5" thickBot="1" x14ac:dyDescent="0.25">
      <c r="A82" s="1033" t="s">
        <v>751</v>
      </c>
      <c r="B82" s="100" t="s">
        <v>14</v>
      </c>
      <c r="C82" s="594" t="s">
        <v>132</v>
      </c>
      <c r="E82" s="71"/>
    </row>
    <row r="83" spans="1:41" ht="14.25" thickTop="1" thickBot="1" x14ac:dyDescent="0.25">
      <c r="A83" s="419"/>
      <c r="B83" s="419"/>
      <c r="C83" s="695"/>
      <c r="D83" s="1117"/>
      <c r="J83" s="206"/>
      <c r="L83" s="206"/>
      <c r="V83" s="287"/>
    </row>
    <row r="84" spans="1:41" ht="14.25" thickTop="1" thickBot="1" x14ac:dyDescent="0.25">
      <c r="A84" s="971" t="s">
        <v>754</v>
      </c>
      <c r="B84" s="972"/>
      <c r="C84" s="973"/>
      <c r="D84" s="975"/>
      <c r="J84" s="206"/>
      <c r="L84" s="206"/>
      <c r="V84" s="287"/>
    </row>
    <row r="85" spans="1:41" s="1245" customFormat="1" ht="13.5" thickBot="1" x14ac:dyDescent="0.25">
      <c r="A85" s="2076" t="s">
        <v>756</v>
      </c>
      <c r="B85" s="2077" t="s">
        <v>14</v>
      </c>
      <c r="C85" s="2078" t="s">
        <v>132</v>
      </c>
      <c r="D85" s="2005"/>
      <c r="E85" s="591"/>
      <c r="F85" s="594"/>
      <c r="G85" s="591"/>
      <c r="H85" s="592"/>
      <c r="I85" s="593"/>
      <c r="J85" s="691"/>
      <c r="K85" s="594"/>
      <c r="L85" s="691"/>
      <c r="M85" s="569"/>
      <c r="N85" s="595"/>
      <c r="O85" s="569"/>
      <c r="P85" s="596"/>
      <c r="Q85" s="596"/>
      <c r="R85" s="2083"/>
      <c r="S85" s="409"/>
      <c r="T85" s="598"/>
      <c r="U85" s="569"/>
      <c r="V85" s="418"/>
      <c r="W85" s="591"/>
      <c r="X85" s="409"/>
      <c r="Y85" s="409"/>
      <c r="Z85" s="409"/>
      <c r="AA85" s="570"/>
      <c r="AB85" s="945"/>
      <c r="AC85" s="570"/>
      <c r="AD85" s="570"/>
      <c r="AE85" s="601"/>
      <c r="AF85" s="409"/>
      <c r="AG85" s="409"/>
      <c r="AH85" s="409"/>
      <c r="AI85" s="409"/>
      <c r="AJ85" s="409"/>
      <c r="AK85" s="409"/>
      <c r="AL85" s="409"/>
      <c r="AM85" s="409"/>
      <c r="AN85" s="409"/>
      <c r="AO85" s="409"/>
    </row>
    <row r="86" spans="1:41" ht="14.25" thickTop="1" thickBot="1" x14ac:dyDescent="0.25">
      <c r="C86" s="5"/>
      <c r="J86" s="206"/>
      <c r="L86" s="206"/>
      <c r="V86" s="287"/>
    </row>
    <row r="87" spans="1:41" ht="14.25" thickTop="1" thickBot="1" x14ac:dyDescent="0.25">
      <c r="A87" s="971" t="s">
        <v>814</v>
      </c>
      <c r="B87" s="972"/>
      <c r="C87" s="1118"/>
      <c r="D87" s="974"/>
      <c r="J87" s="206"/>
      <c r="L87" s="206"/>
      <c r="V87" s="287"/>
    </row>
    <row r="88" spans="1:41" s="1271" customFormat="1" x14ac:dyDescent="0.2">
      <c r="A88" s="1263" t="s">
        <v>808</v>
      </c>
      <c r="B88" s="1264" t="s">
        <v>7</v>
      </c>
      <c r="C88" s="1479" t="s">
        <v>44</v>
      </c>
      <c r="D88" s="1810">
        <v>0</v>
      </c>
      <c r="E88" s="1811">
        <v>326</v>
      </c>
      <c r="F88" s="1812" t="s">
        <v>726</v>
      </c>
      <c r="G88" s="1811" t="s">
        <v>727</v>
      </c>
      <c r="H88" s="1813" t="s">
        <v>727</v>
      </c>
      <c r="I88" s="1814">
        <v>0</v>
      </c>
      <c r="J88" s="1815">
        <v>1</v>
      </c>
      <c r="K88" s="1812" t="s">
        <v>59</v>
      </c>
      <c r="L88" s="1815" t="s">
        <v>272</v>
      </c>
      <c r="M88" s="1810" t="s">
        <v>280</v>
      </c>
      <c r="N88" s="1816" t="s">
        <v>479</v>
      </c>
      <c r="O88" s="1810">
        <v>0</v>
      </c>
      <c r="P88" s="1817"/>
      <c r="Q88" s="1817"/>
      <c r="R88" s="1810">
        <v>4</v>
      </c>
      <c r="S88" s="1818" t="s">
        <v>728</v>
      </c>
      <c r="T88" s="1818" t="s">
        <v>729</v>
      </c>
      <c r="U88" s="1810">
        <v>1</v>
      </c>
      <c r="V88" s="1819">
        <v>1040463</v>
      </c>
      <c r="W88" s="1811"/>
      <c r="X88" s="1820"/>
      <c r="Y88" s="1820"/>
      <c r="Z88" s="1820"/>
      <c r="AA88" s="1821"/>
      <c r="AB88" s="1822">
        <v>39814</v>
      </c>
      <c r="AC88" s="1823">
        <v>39786</v>
      </c>
      <c r="AD88" s="1823">
        <v>39898</v>
      </c>
      <c r="AE88" s="1824" t="s">
        <v>730</v>
      </c>
    </row>
    <row r="89" spans="1:41" s="1271" customFormat="1" x14ac:dyDescent="0.2">
      <c r="A89" s="1263" t="s">
        <v>810</v>
      </c>
      <c r="B89" s="1264" t="s">
        <v>7</v>
      </c>
      <c r="C89" s="1479" t="s">
        <v>44</v>
      </c>
      <c r="D89" s="1421">
        <v>1</v>
      </c>
      <c r="E89" s="1775">
        <v>335</v>
      </c>
      <c r="F89" s="1426" t="s">
        <v>731</v>
      </c>
      <c r="G89" s="1775" t="s">
        <v>263</v>
      </c>
      <c r="H89" s="1776" t="s">
        <v>545</v>
      </c>
      <c r="I89" s="1777">
        <v>0</v>
      </c>
      <c r="J89" s="1420">
        <v>1</v>
      </c>
      <c r="K89" s="1426" t="s">
        <v>545</v>
      </c>
      <c r="L89" s="1420" t="s">
        <v>732</v>
      </c>
      <c r="M89" s="1803">
        <v>39629</v>
      </c>
      <c r="N89" s="1779" t="s">
        <v>479</v>
      </c>
      <c r="O89" s="1421">
        <v>0</v>
      </c>
      <c r="P89" s="1780"/>
      <c r="Q89" s="1780"/>
      <c r="R89" s="1421">
        <v>4</v>
      </c>
      <c r="S89" s="1782" t="s">
        <v>734</v>
      </c>
      <c r="T89" s="1782" t="s">
        <v>733</v>
      </c>
      <c r="U89" s="1421">
        <v>1</v>
      </c>
      <c r="V89" s="1635">
        <v>278621</v>
      </c>
      <c r="W89" s="1775"/>
      <c r="AA89" s="1422"/>
      <c r="AB89" s="1783">
        <v>39814</v>
      </c>
      <c r="AC89" s="1784">
        <v>39786</v>
      </c>
      <c r="AD89" s="1784">
        <v>39898</v>
      </c>
      <c r="AE89" s="1785" t="s">
        <v>730</v>
      </c>
    </row>
    <row r="90" spans="1:41" s="430" customFormat="1" ht="13.5" thickBot="1" x14ac:dyDescent="0.25">
      <c r="A90" s="1130" t="s">
        <v>811</v>
      </c>
      <c r="B90" s="1131" t="s">
        <v>14</v>
      </c>
      <c r="C90" s="1132" t="s">
        <v>132</v>
      </c>
      <c r="D90" s="974"/>
    </row>
    <row r="91" spans="1:41" ht="14.25" thickTop="1" thickBot="1" x14ac:dyDescent="0.25">
      <c r="C91" s="5"/>
      <c r="E91" s="1832"/>
      <c r="J91" s="206"/>
      <c r="L91" s="206"/>
      <c r="V91" s="287"/>
    </row>
    <row r="92" spans="1:41" ht="14.25" thickTop="1" thickBot="1" x14ac:dyDescent="0.25">
      <c r="A92" s="933" t="s">
        <v>850</v>
      </c>
      <c r="B92" s="934"/>
      <c r="C92" s="941"/>
      <c r="D92" s="460"/>
      <c r="E92" s="1832"/>
      <c r="J92" s="206"/>
      <c r="L92" s="206"/>
      <c r="V92" s="287"/>
    </row>
    <row r="93" spans="1:41" s="1271" customFormat="1" ht="13.5" thickBot="1" x14ac:dyDescent="0.25">
      <c r="A93" s="1285" t="s">
        <v>751</v>
      </c>
      <c r="B93" s="1286" t="s">
        <v>7</v>
      </c>
      <c r="C93" s="1481" t="s">
        <v>44</v>
      </c>
      <c r="D93" s="1825">
        <v>0</v>
      </c>
      <c r="E93" s="1778">
        <v>314</v>
      </c>
      <c r="F93" s="1426" t="s">
        <v>776</v>
      </c>
      <c r="G93" s="1775" t="s">
        <v>777</v>
      </c>
      <c r="H93" s="1776" t="s">
        <v>263</v>
      </c>
      <c r="I93" s="1777">
        <v>1</v>
      </c>
      <c r="J93" s="1420">
        <v>1</v>
      </c>
      <c r="K93" s="1426" t="s">
        <v>777</v>
      </c>
      <c r="L93" s="1420" t="s">
        <v>285</v>
      </c>
      <c r="M93" s="1421" t="s">
        <v>778</v>
      </c>
      <c r="N93" s="1779" t="s">
        <v>779</v>
      </c>
      <c r="O93" s="1421">
        <v>0</v>
      </c>
      <c r="P93" s="1780"/>
      <c r="Q93" s="1780"/>
      <c r="R93" s="1421">
        <v>4</v>
      </c>
      <c r="S93" s="1781" t="s">
        <v>782</v>
      </c>
      <c r="T93" s="1782" t="s">
        <v>783</v>
      </c>
      <c r="U93" s="1421">
        <v>1</v>
      </c>
      <c r="V93" s="1635">
        <v>152064</v>
      </c>
      <c r="W93" s="1775"/>
      <c r="AA93" s="1422"/>
      <c r="AB93" s="1783">
        <v>39845</v>
      </c>
      <c r="AC93" s="1784">
        <v>39839</v>
      </c>
      <c r="AD93" s="1784">
        <v>39933</v>
      </c>
      <c r="AE93" s="1785" t="s">
        <v>784</v>
      </c>
    </row>
    <row r="94" spans="1:41" ht="14.25" thickTop="1" thickBot="1" x14ac:dyDescent="0.25">
      <c r="A94" s="611"/>
      <c r="B94" s="408"/>
      <c r="C94" s="408"/>
      <c r="D94" s="460"/>
      <c r="E94" s="1832"/>
      <c r="J94" s="206"/>
      <c r="L94" s="206"/>
      <c r="V94" s="287"/>
    </row>
    <row r="95" spans="1:41" ht="14.25" thickTop="1" thickBot="1" x14ac:dyDescent="0.25">
      <c r="A95" s="407" t="s">
        <v>854</v>
      </c>
      <c r="B95" s="109"/>
      <c r="C95" s="677"/>
      <c r="D95" s="460"/>
      <c r="E95" s="1832"/>
      <c r="J95" s="206"/>
      <c r="L95" s="206"/>
      <c r="V95" s="287"/>
    </row>
    <row r="96" spans="1:41" s="1276" customFormat="1" ht="13.5" thickTop="1" x14ac:dyDescent="0.2">
      <c r="A96" s="1292" t="s">
        <v>811</v>
      </c>
      <c r="B96" s="1293" t="s">
        <v>7</v>
      </c>
      <c r="C96" s="1826" t="s">
        <v>44</v>
      </c>
      <c r="D96" s="1421">
        <v>1</v>
      </c>
      <c r="E96" s="1778">
        <v>314</v>
      </c>
      <c r="F96" s="1426" t="s">
        <v>824</v>
      </c>
      <c r="G96" s="1775" t="s">
        <v>263</v>
      </c>
      <c r="H96" s="1776" t="s">
        <v>825</v>
      </c>
      <c r="I96" s="1777">
        <v>0</v>
      </c>
      <c r="J96" s="1420">
        <v>0</v>
      </c>
      <c r="K96" s="1426"/>
      <c r="L96" s="1420" t="s">
        <v>282</v>
      </c>
      <c r="M96" s="1421"/>
      <c r="N96" s="1779"/>
      <c r="O96" s="1421">
        <v>0</v>
      </c>
      <c r="P96" s="1780"/>
      <c r="Q96" s="1780"/>
      <c r="R96" s="1421">
        <v>4</v>
      </c>
      <c r="S96" s="1781" t="s">
        <v>826</v>
      </c>
      <c r="T96" s="1782" t="s">
        <v>827</v>
      </c>
      <c r="U96" s="1421">
        <v>0</v>
      </c>
      <c r="V96" s="1635"/>
      <c r="W96" s="1775"/>
      <c r="X96" s="1271"/>
      <c r="Y96" s="1271"/>
      <c r="Z96" s="1271"/>
      <c r="AA96" s="1422"/>
      <c r="AB96" s="1783">
        <v>39904</v>
      </c>
      <c r="AC96" s="1784">
        <v>39898</v>
      </c>
      <c r="AD96" s="1784">
        <v>39961</v>
      </c>
      <c r="AE96" s="1785" t="s">
        <v>828</v>
      </c>
      <c r="AF96" s="1271"/>
      <c r="AG96" s="1271"/>
      <c r="AH96" s="1271"/>
      <c r="AI96" s="1271"/>
      <c r="AJ96" s="1271"/>
      <c r="AK96" s="1271"/>
      <c r="AL96" s="1271"/>
      <c r="AM96" s="1271"/>
      <c r="AN96" s="1271"/>
      <c r="AO96" s="1271"/>
    </row>
    <row r="97" spans="1:41" s="1245" customFormat="1" ht="13.5" thickBot="1" x14ac:dyDescent="0.25">
      <c r="A97" s="1260" t="s">
        <v>859</v>
      </c>
      <c r="B97" s="1254" t="s">
        <v>14</v>
      </c>
      <c r="C97" s="1455" t="s">
        <v>132</v>
      </c>
      <c r="D97" s="569"/>
      <c r="E97" s="1920"/>
      <c r="F97" s="594"/>
      <c r="G97" s="591"/>
      <c r="H97" s="592"/>
      <c r="I97" s="593"/>
      <c r="J97" s="691"/>
      <c r="K97" s="594"/>
      <c r="L97" s="691"/>
      <c r="M97" s="1921"/>
      <c r="N97" s="595"/>
      <c r="O97" s="569"/>
      <c r="P97" s="596"/>
      <c r="Q97" s="596"/>
      <c r="R97" s="569"/>
      <c r="S97" s="597"/>
      <c r="T97" s="598"/>
      <c r="U97" s="569"/>
      <c r="V97" s="418"/>
      <c r="W97" s="591"/>
      <c r="X97" s="409"/>
      <c r="Y97" s="409"/>
      <c r="Z97" s="409"/>
      <c r="AA97" s="570"/>
      <c r="AB97" s="599"/>
      <c r="AC97" s="600"/>
      <c r="AD97" s="570"/>
      <c r="AE97" s="601"/>
      <c r="AF97" s="409"/>
      <c r="AG97" s="409"/>
      <c r="AH97" s="409"/>
      <c r="AI97" s="409"/>
      <c r="AJ97" s="409"/>
      <c r="AK97" s="409"/>
      <c r="AL97" s="409"/>
      <c r="AM97" s="409"/>
      <c r="AN97" s="409"/>
      <c r="AO97" s="409"/>
    </row>
    <row r="98" spans="1:41" ht="14.25" thickTop="1" thickBot="1" x14ac:dyDescent="0.25">
      <c r="A98" s="15"/>
      <c r="B98" s="15"/>
      <c r="C98" s="15"/>
      <c r="E98" s="1832"/>
      <c r="J98" s="206"/>
      <c r="L98" s="206"/>
      <c r="V98" s="287"/>
    </row>
    <row r="99" spans="1:41" ht="14.25" thickTop="1" thickBot="1" x14ac:dyDescent="0.25">
      <c r="A99" s="407" t="s">
        <v>886</v>
      </c>
      <c r="B99" s="109"/>
      <c r="C99" s="677"/>
      <c r="D99" s="460"/>
      <c r="E99" s="1832"/>
      <c r="J99" s="206"/>
      <c r="L99" s="206"/>
      <c r="V99" s="287"/>
    </row>
    <row r="100" spans="1:41" s="1276" customFormat="1" ht="26.25" thickTop="1" x14ac:dyDescent="0.2">
      <c r="A100" s="1292" t="s">
        <v>563</v>
      </c>
      <c r="B100" s="1293" t="s">
        <v>7</v>
      </c>
      <c r="C100" s="1826" t="s">
        <v>44</v>
      </c>
      <c r="D100" s="1806">
        <v>0</v>
      </c>
      <c r="E100" s="1804">
        <v>311</v>
      </c>
      <c r="F100" s="1425" t="s">
        <v>584</v>
      </c>
      <c r="G100" s="1804" t="s">
        <v>937</v>
      </c>
      <c r="H100" s="1805" t="s">
        <v>938</v>
      </c>
      <c r="I100" s="1834">
        <v>0</v>
      </c>
      <c r="J100" s="1806">
        <v>1</v>
      </c>
      <c r="K100" s="1425" t="s">
        <v>59</v>
      </c>
      <c r="L100" s="1429" t="s">
        <v>272</v>
      </c>
      <c r="M100" s="1430" t="s">
        <v>280</v>
      </c>
      <c r="N100" s="1827" t="s">
        <v>479</v>
      </c>
      <c r="O100" s="1807">
        <v>1</v>
      </c>
      <c r="P100" s="1835" t="s">
        <v>586</v>
      </c>
      <c r="Q100" s="1835" t="s">
        <v>587</v>
      </c>
      <c r="R100" s="1430">
        <v>6</v>
      </c>
      <c r="S100" s="1833" t="s">
        <v>939</v>
      </c>
      <c r="T100" s="1828" t="s">
        <v>940</v>
      </c>
      <c r="U100" s="1807">
        <v>1</v>
      </c>
      <c r="V100" s="1607">
        <v>553532.48565416539</v>
      </c>
      <c r="W100" s="1808"/>
      <c r="AA100" s="1809"/>
      <c r="AB100" s="1829">
        <v>39753</v>
      </c>
      <c r="AC100" s="1830">
        <v>39625</v>
      </c>
      <c r="AD100" s="1809"/>
      <c r="AE100" s="1831" t="s">
        <v>589</v>
      </c>
    </row>
    <row r="101" spans="1:41" s="2034" customFormat="1" x14ac:dyDescent="0.2">
      <c r="A101" s="2054" t="s">
        <v>910</v>
      </c>
      <c r="B101" s="2018" t="s">
        <v>14</v>
      </c>
      <c r="C101" s="2062" t="s">
        <v>132</v>
      </c>
      <c r="D101" s="2005"/>
      <c r="E101" s="1920"/>
      <c r="F101" s="594"/>
      <c r="G101" s="591"/>
      <c r="H101" s="592"/>
      <c r="I101" s="593"/>
      <c r="J101" s="691"/>
      <c r="K101" s="594"/>
      <c r="L101" s="691"/>
      <c r="M101" s="569"/>
      <c r="N101" s="595"/>
      <c r="O101" s="569"/>
      <c r="P101" s="596"/>
      <c r="Q101" s="596"/>
      <c r="R101" s="569"/>
      <c r="S101" s="597"/>
      <c r="T101" s="598"/>
      <c r="U101" s="569"/>
      <c r="V101" s="418"/>
      <c r="W101" s="591"/>
      <c r="X101" s="409"/>
      <c r="Y101" s="409"/>
      <c r="Z101" s="409"/>
      <c r="AA101" s="570"/>
      <c r="AB101" s="945"/>
      <c r="AC101" s="570"/>
      <c r="AD101" s="570"/>
      <c r="AE101" s="601"/>
      <c r="AF101" s="409"/>
      <c r="AG101" s="409"/>
      <c r="AH101" s="409"/>
      <c r="AI101" s="409"/>
      <c r="AJ101" s="409"/>
      <c r="AK101" s="409"/>
      <c r="AL101" s="409"/>
      <c r="AM101" s="409"/>
      <c r="AN101" s="409"/>
      <c r="AO101" s="409"/>
    </row>
    <row r="102" spans="1:41" s="1245" customFormat="1" ht="13.5" thickBot="1" x14ac:dyDescent="0.25">
      <c r="A102" s="1427" t="s">
        <v>911</v>
      </c>
      <c r="B102" s="1391" t="s">
        <v>14</v>
      </c>
      <c r="C102" s="1392" t="s">
        <v>132</v>
      </c>
      <c r="D102" s="2005"/>
      <c r="E102" s="1920"/>
      <c r="F102" s="594"/>
      <c r="G102" s="591"/>
      <c r="H102" s="592"/>
      <c r="I102" s="593"/>
      <c r="J102" s="691"/>
      <c r="K102" s="594"/>
      <c r="L102" s="691"/>
      <c r="M102" s="569"/>
      <c r="N102" s="595"/>
      <c r="O102" s="569"/>
      <c r="P102" s="596"/>
      <c r="Q102" s="596"/>
      <c r="R102" s="569"/>
      <c r="S102" s="597"/>
      <c r="T102" s="598"/>
      <c r="U102" s="569"/>
      <c r="V102" s="418"/>
      <c r="W102" s="591"/>
      <c r="X102" s="409"/>
      <c r="Y102" s="409"/>
      <c r="Z102" s="409"/>
      <c r="AA102" s="570"/>
      <c r="AB102" s="945"/>
      <c r="AC102" s="570"/>
      <c r="AD102" s="570"/>
      <c r="AE102" s="601"/>
      <c r="AF102" s="409"/>
      <c r="AG102" s="409"/>
      <c r="AH102" s="409"/>
      <c r="AI102" s="409"/>
      <c r="AJ102" s="409"/>
      <c r="AK102" s="409"/>
      <c r="AL102" s="409"/>
      <c r="AM102" s="409"/>
      <c r="AN102" s="409"/>
      <c r="AO102" s="409"/>
    </row>
    <row r="103" spans="1:41" ht="14.25" thickTop="1" thickBot="1" x14ac:dyDescent="0.25">
      <c r="A103" s="1032"/>
      <c r="B103" s="408"/>
      <c r="C103" s="408"/>
      <c r="D103" s="1836"/>
      <c r="E103" s="1919"/>
      <c r="F103" s="391"/>
      <c r="G103" s="392"/>
      <c r="H103" s="393"/>
      <c r="I103" s="394"/>
      <c r="J103" s="201"/>
      <c r="K103" s="391"/>
      <c r="L103" s="201"/>
      <c r="M103" s="195"/>
      <c r="N103" s="401"/>
      <c r="O103" s="195"/>
      <c r="P103" s="395"/>
      <c r="Q103" s="395"/>
      <c r="R103" s="195"/>
      <c r="S103" s="396"/>
      <c r="T103" s="194"/>
      <c r="U103" s="195"/>
      <c r="V103" s="311"/>
      <c r="W103" s="392"/>
      <c r="X103" s="39"/>
      <c r="Y103" s="39"/>
      <c r="Z103" s="39"/>
      <c r="AA103" s="41"/>
      <c r="AB103" s="406"/>
      <c r="AC103" s="41"/>
      <c r="AD103" s="41"/>
      <c r="AE103" s="465"/>
      <c r="AF103" s="39"/>
      <c r="AG103" s="39"/>
      <c r="AH103" s="39"/>
      <c r="AI103" s="39"/>
      <c r="AJ103" s="39"/>
      <c r="AK103" s="39"/>
      <c r="AL103" s="39"/>
      <c r="AM103" s="39"/>
      <c r="AN103" s="39"/>
      <c r="AO103" s="39"/>
    </row>
    <row r="104" spans="1:41" ht="14.25" thickTop="1" thickBot="1" x14ac:dyDescent="0.25">
      <c r="A104" s="933" t="s">
        <v>895</v>
      </c>
      <c r="B104" s="934"/>
      <c r="C104" s="941"/>
      <c r="D104" s="975"/>
      <c r="E104" s="1919"/>
      <c r="F104" s="391"/>
      <c r="G104" s="392"/>
      <c r="H104" s="393"/>
      <c r="I104" s="394"/>
      <c r="J104" s="201"/>
      <c r="K104" s="391"/>
      <c r="L104" s="201"/>
      <c r="M104" s="195"/>
      <c r="N104" s="401"/>
      <c r="O104" s="195"/>
      <c r="P104" s="395"/>
      <c r="Q104" s="395"/>
      <c r="R104" s="195"/>
      <c r="S104" s="396"/>
      <c r="T104" s="194"/>
      <c r="U104" s="195"/>
      <c r="V104" s="311"/>
      <c r="W104" s="392"/>
      <c r="X104" s="39"/>
      <c r="Y104" s="39"/>
      <c r="Z104" s="39"/>
      <c r="AA104" s="41"/>
      <c r="AB104" s="406"/>
      <c r="AC104" s="41"/>
      <c r="AD104" s="41"/>
      <c r="AE104" s="465"/>
      <c r="AF104" s="39"/>
      <c r="AG104" s="39"/>
      <c r="AH104" s="39"/>
      <c r="AI104" s="39"/>
      <c r="AJ104" s="39"/>
      <c r="AK104" s="39"/>
      <c r="AL104" s="39"/>
      <c r="AM104" s="39"/>
      <c r="AN104" s="39"/>
      <c r="AO104" s="39"/>
    </row>
    <row r="105" spans="1:41" s="1245" customFormat="1" x14ac:dyDescent="0.2">
      <c r="A105" s="1260" t="s">
        <v>912</v>
      </c>
      <c r="B105" s="1254" t="s">
        <v>14</v>
      </c>
      <c r="C105" s="1455" t="s">
        <v>132</v>
      </c>
      <c r="D105" s="2005"/>
      <c r="E105" s="1920"/>
      <c r="F105" s="594"/>
      <c r="G105" s="591"/>
      <c r="H105" s="592"/>
      <c r="I105" s="593"/>
      <c r="J105" s="591"/>
      <c r="K105" s="594"/>
      <c r="L105" s="569"/>
      <c r="M105" s="569"/>
      <c r="N105" s="595"/>
      <c r="O105" s="569"/>
      <c r="P105" s="596"/>
      <c r="Q105" s="596"/>
      <c r="R105" s="569"/>
      <c r="S105" s="597"/>
      <c r="T105" s="598"/>
      <c r="U105" s="569"/>
      <c r="V105" s="356"/>
      <c r="W105" s="591"/>
      <c r="X105" s="409"/>
      <c r="Y105" s="409"/>
      <c r="Z105" s="409"/>
      <c r="AA105" s="570"/>
      <c r="AB105" s="945"/>
      <c r="AC105" s="570"/>
      <c r="AD105" s="570"/>
      <c r="AE105" s="601"/>
      <c r="AF105" s="409"/>
      <c r="AG105" s="409"/>
      <c r="AH105" s="409"/>
      <c r="AI105" s="409"/>
      <c r="AJ105" s="409"/>
      <c r="AK105" s="409"/>
      <c r="AL105" s="409"/>
      <c r="AM105" s="409"/>
      <c r="AN105" s="409"/>
      <c r="AO105" s="409"/>
    </row>
    <row r="106" spans="1:41" s="1245" customFormat="1" ht="13.5" thickBot="1" x14ac:dyDescent="0.25">
      <c r="A106" s="1427" t="s">
        <v>129</v>
      </c>
      <c r="B106" s="1391" t="s">
        <v>14</v>
      </c>
      <c r="C106" s="1392" t="s">
        <v>132</v>
      </c>
      <c r="D106" s="2005"/>
      <c r="E106" s="1920"/>
      <c r="F106" s="594"/>
      <c r="G106" s="591"/>
      <c r="H106" s="592"/>
      <c r="I106" s="593"/>
      <c r="J106" s="591"/>
      <c r="K106" s="594"/>
      <c r="L106" s="569"/>
      <c r="M106" s="1921"/>
      <c r="N106" s="595"/>
      <c r="O106" s="569"/>
      <c r="P106" s="596"/>
      <c r="Q106" s="596"/>
      <c r="R106" s="569"/>
      <c r="S106" s="597"/>
      <c r="T106" s="598"/>
      <c r="U106" s="569"/>
      <c r="V106" s="356"/>
      <c r="W106" s="591"/>
      <c r="X106" s="409"/>
      <c r="Y106" s="409"/>
      <c r="Z106" s="409"/>
      <c r="AA106" s="570"/>
      <c r="AB106" s="945"/>
      <c r="AC106" s="570"/>
      <c r="AD106" s="570"/>
      <c r="AE106" s="601"/>
      <c r="AF106" s="409"/>
      <c r="AG106" s="409"/>
      <c r="AH106" s="409"/>
      <c r="AI106" s="409"/>
      <c r="AJ106" s="409"/>
      <c r="AK106" s="409"/>
      <c r="AL106" s="409"/>
      <c r="AM106" s="409"/>
      <c r="AN106" s="409"/>
      <c r="AO106" s="409"/>
    </row>
    <row r="107" spans="1:41" ht="14.25" thickTop="1" thickBot="1" x14ac:dyDescent="0.25">
      <c r="D107" s="195"/>
      <c r="E107" s="456"/>
      <c r="F107" s="391"/>
      <c r="G107" s="392"/>
      <c r="H107" s="393"/>
      <c r="I107" s="394"/>
      <c r="J107" s="392"/>
      <c r="K107" s="391"/>
      <c r="L107" s="195"/>
      <c r="M107" s="195"/>
      <c r="N107" s="401"/>
      <c r="O107" s="195"/>
      <c r="P107" s="395"/>
      <c r="Q107" s="395"/>
      <c r="R107" s="195"/>
      <c r="S107" s="396"/>
      <c r="T107" s="194"/>
      <c r="U107" s="195"/>
      <c r="V107" s="397"/>
      <c r="W107" s="392"/>
      <c r="X107" s="39"/>
      <c r="Y107" s="39"/>
      <c r="Z107" s="39"/>
      <c r="AA107" s="41"/>
      <c r="AB107" s="406"/>
      <c r="AC107" s="41"/>
      <c r="AD107" s="41"/>
      <c r="AE107" s="465"/>
      <c r="AF107" s="39"/>
      <c r="AG107" s="39"/>
      <c r="AH107" s="39"/>
      <c r="AI107" s="39"/>
      <c r="AJ107" s="39"/>
      <c r="AK107" s="39"/>
      <c r="AL107" s="39"/>
      <c r="AM107" s="39"/>
      <c r="AN107" s="39"/>
      <c r="AO107" s="39"/>
    </row>
    <row r="108" spans="1:41" ht="14.25" thickTop="1" thickBot="1" x14ac:dyDescent="0.25">
      <c r="A108" s="933" t="s">
        <v>955</v>
      </c>
      <c r="B108" s="934"/>
      <c r="C108" s="941"/>
      <c r="D108" s="460"/>
      <c r="E108" s="1919"/>
      <c r="F108" s="391"/>
      <c r="G108" s="392"/>
      <c r="H108" s="393"/>
      <c r="I108" s="394"/>
      <c r="J108" s="201"/>
      <c r="K108" s="391"/>
      <c r="L108" s="201"/>
      <c r="M108" s="195"/>
      <c r="N108" s="401"/>
      <c r="O108" s="195"/>
      <c r="P108" s="395"/>
      <c r="Q108" s="395"/>
      <c r="R108" s="195"/>
      <c r="S108" s="396"/>
      <c r="T108" s="194"/>
      <c r="U108" s="195"/>
      <c r="V108" s="311"/>
      <c r="W108" s="392"/>
      <c r="X108" s="39"/>
      <c r="Y108" s="39"/>
      <c r="Z108" s="39"/>
      <c r="AA108" s="41"/>
      <c r="AB108" s="406"/>
      <c r="AC108" s="41"/>
      <c r="AD108" s="41"/>
      <c r="AE108" s="465"/>
      <c r="AF108" s="39"/>
      <c r="AG108" s="39"/>
      <c r="AH108" s="39"/>
      <c r="AI108" s="39"/>
      <c r="AJ108" s="39"/>
      <c r="AK108" s="39"/>
      <c r="AL108" s="39"/>
      <c r="AM108" s="39"/>
      <c r="AN108" s="39"/>
      <c r="AO108" s="39"/>
    </row>
    <row r="109" spans="1:41" s="2034" customFormat="1" ht="13.5" thickBot="1" x14ac:dyDescent="0.25">
      <c r="A109" s="2036" t="s">
        <v>957</v>
      </c>
      <c r="B109" s="2037" t="s">
        <v>14</v>
      </c>
      <c r="C109" s="2063" t="s">
        <v>1006</v>
      </c>
      <c r="D109" s="2005"/>
      <c r="E109" s="1920"/>
      <c r="F109" s="594"/>
      <c r="G109" s="591"/>
      <c r="H109" s="592"/>
      <c r="I109" s="593"/>
      <c r="J109" s="691"/>
      <c r="K109" s="594"/>
      <c r="L109" s="691"/>
      <c r="M109" s="569"/>
      <c r="N109" s="595"/>
      <c r="O109" s="569"/>
      <c r="P109" s="596"/>
      <c r="Q109" s="596"/>
      <c r="R109" s="569"/>
      <c r="S109" s="597"/>
      <c r="T109" s="598"/>
      <c r="U109" s="569"/>
      <c r="V109" s="418"/>
      <c r="W109" s="591"/>
      <c r="X109" s="409"/>
      <c r="Y109" s="409"/>
      <c r="Z109" s="409"/>
      <c r="AA109" s="570"/>
      <c r="AB109" s="599"/>
      <c r="AC109" s="600"/>
      <c r="AD109" s="600"/>
      <c r="AE109" s="601"/>
      <c r="AF109" s="409"/>
      <c r="AG109" s="409"/>
      <c r="AH109" s="409"/>
      <c r="AI109" s="409"/>
      <c r="AJ109" s="409"/>
      <c r="AK109" s="409"/>
      <c r="AL109" s="409"/>
      <c r="AM109" s="409"/>
      <c r="AN109" s="409"/>
      <c r="AO109" s="409"/>
    </row>
    <row r="110" spans="1:41" s="431" customFormat="1" ht="14.25" thickTop="1" thickBot="1" x14ac:dyDescent="0.25">
      <c r="A110" s="1032"/>
      <c r="B110" s="408"/>
      <c r="C110" s="408"/>
      <c r="D110" s="1836"/>
      <c r="E110" s="1919"/>
      <c r="F110" s="455"/>
      <c r="G110" s="456"/>
      <c r="H110" s="457"/>
      <c r="I110" s="966"/>
      <c r="J110" s="690"/>
      <c r="K110" s="455"/>
      <c r="L110" s="690"/>
      <c r="M110" s="454"/>
      <c r="N110" s="458"/>
      <c r="O110" s="454"/>
      <c r="P110" s="968"/>
      <c r="Q110" s="968"/>
      <c r="R110" s="454"/>
      <c r="S110" s="459"/>
      <c r="T110" s="460"/>
      <c r="U110" s="454"/>
      <c r="V110" s="763"/>
      <c r="W110" s="456"/>
      <c r="AA110" s="447"/>
      <c r="AB110" s="969"/>
      <c r="AC110" s="970"/>
      <c r="AD110" s="970"/>
      <c r="AE110" s="466"/>
    </row>
    <row r="111" spans="1:41" ht="14.25" thickTop="1" thickBot="1" x14ac:dyDescent="0.25">
      <c r="A111" s="933" t="s">
        <v>973</v>
      </c>
      <c r="B111" s="934"/>
      <c r="C111" s="941"/>
      <c r="D111" s="460"/>
      <c r="E111" s="1832"/>
      <c r="J111" s="206"/>
      <c r="L111" s="206"/>
      <c r="V111" s="287"/>
    </row>
    <row r="112" spans="1:41" s="1271" customFormat="1" x14ac:dyDescent="0.2">
      <c r="A112" s="1263" t="s">
        <v>859</v>
      </c>
      <c r="B112" s="1264" t="s">
        <v>7</v>
      </c>
      <c r="C112" s="1479" t="s">
        <v>44</v>
      </c>
      <c r="D112" s="1421">
        <v>0</v>
      </c>
      <c r="E112" s="1778">
        <v>326</v>
      </c>
      <c r="F112" s="1426" t="s">
        <v>867</v>
      </c>
      <c r="G112" s="1775" t="s">
        <v>281</v>
      </c>
      <c r="H112" s="1776" t="s">
        <v>868</v>
      </c>
      <c r="I112" s="1777">
        <v>0</v>
      </c>
      <c r="J112" s="1420">
        <v>1</v>
      </c>
      <c r="K112" s="1426" t="s">
        <v>868</v>
      </c>
      <c r="L112" s="1420" t="s">
        <v>282</v>
      </c>
      <c r="M112" s="1803">
        <v>40178</v>
      </c>
      <c r="N112" s="1779" t="s">
        <v>479</v>
      </c>
      <c r="O112" s="1421">
        <v>0</v>
      </c>
      <c r="P112" s="1780"/>
      <c r="Q112" s="1780"/>
      <c r="R112" s="1421">
        <v>4</v>
      </c>
      <c r="S112" s="1781" t="s">
        <v>869</v>
      </c>
      <c r="T112" s="1782" t="s">
        <v>870</v>
      </c>
      <c r="U112" s="1421">
        <v>1</v>
      </c>
      <c r="V112" s="1635">
        <v>270832</v>
      </c>
      <c r="W112" s="1775"/>
      <c r="AA112" s="1422"/>
      <c r="AB112" s="1783">
        <v>40057</v>
      </c>
      <c r="AC112" s="1784">
        <v>39961</v>
      </c>
      <c r="AD112" s="1422"/>
      <c r="AE112" s="1785" t="s">
        <v>984</v>
      </c>
    </row>
    <row r="113" spans="1:31" s="431" customFormat="1" ht="13.5" thickBot="1" x14ac:dyDescent="0.25">
      <c r="A113" s="1032"/>
      <c r="B113" s="408"/>
      <c r="C113" s="408"/>
      <c r="D113" s="1836"/>
      <c r="E113" s="1919"/>
      <c r="F113" s="455"/>
      <c r="G113" s="456"/>
      <c r="H113" s="457"/>
      <c r="I113" s="966"/>
      <c r="J113" s="690"/>
      <c r="K113" s="455"/>
      <c r="L113" s="690"/>
      <c r="M113" s="454"/>
      <c r="N113" s="458"/>
      <c r="O113" s="454"/>
      <c r="P113" s="968"/>
      <c r="Q113" s="968"/>
      <c r="R113" s="454"/>
      <c r="S113" s="459"/>
      <c r="T113" s="460"/>
      <c r="U113" s="454"/>
      <c r="V113" s="763"/>
      <c r="W113" s="456"/>
      <c r="AA113" s="447"/>
      <c r="AB113" s="969"/>
      <c r="AC113" s="970"/>
      <c r="AD113" s="970"/>
      <c r="AE113" s="466"/>
    </row>
    <row r="114" spans="1:31" ht="14.25" thickTop="1" thickBot="1" x14ac:dyDescent="0.25">
      <c r="A114" s="933" t="s">
        <v>987</v>
      </c>
      <c r="B114" s="934"/>
      <c r="C114" s="941"/>
      <c r="D114" s="460"/>
      <c r="E114" s="1832"/>
      <c r="J114" s="206"/>
      <c r="L114" s="206"/>
      <c r="V114" s="287"/>
    </row>
    <row r="115" spans="1:31" s="1932" customFormat="1" ht="13.5" thickBot="1" x14ac:dyDescent="0.25">
      <c r="A115" s="1952" t="s">
        <v>988</v>
      </c>
      <c r="B115" s="1953" t="s">
        <v>7</v>
      </c>
      <c r="C115" s="1966" t="s">
        <v>44</v>
      </c>
      <c r="D115" s="1972">
        <v>0</v>
      </c>
      <c r="E115" s="1973">
        <v>454</v>
      </c>
      <c r="F115" s="1974" t="s">
        <v>999</v>
      </c>
      <c r="G115" s="1975" t="s">
        <v>281</v>
      </c>
      <c r="H115" s="1976" t="s">
        <v>263</v>
      </c>
      <c r="I115" s="1977">
        <v>1</v>
      </c>
      <c r="J115" s="1978">
        <v>0</v>
      </c>
      <c r="K115" s="1974"/>
      <c r="L115" s="1978" t="s">
        <v>282</v>
      </c>
      <c r="M115" s="1987">
        <v>40025</v>
      </c>
      <c r="N115" s="1979"/>
      <c r="O115" s="1965">
        <v>0</v>
      </c>
      <c r="P115" s="1980"/>
      <c r="Q115" s="1980"/>
      <c r="R115" s="1965">
        <v>1</v>
      </c>
      <c r="S115" s="1981" t="s">
        <v>1000</v>
      </c>
      <c r="T115" s="1982" t="s">
        <v>1001</v>
      </c>
      <c r="U115" s="1965">
        <v>1</v>
      </c>
      <c r="V115" s="1646">
        <v>503052</v>
      </c>
      <c r="W115" s="1975"/>
      <c r="AA115" s="1983"/>
      <c r="AB115" s="1984"/>
      <c r="AC115" s="1985"/>
      <c r="AD115" s="1985"/>
      <c r="AE115" s="1986" t="s">
        <v>1015</v>
      </c>
    </row>
    <row r="116" spans="1:31" s="431" customFormat="1" ht="13.5" thickTop="1" x14ac:dyDescent="0.2">
      <c r="A116" s="1032"/>
      <c r="B116" s="408"/>
      <c r="C116" s="408"/>
      <c r="D116" s="1836"/>
      <c r="E116" s="1919"/>
      <c r="F116" s="455"/>
      <c r="G116" s="456"/>
      <c r="H116" s="457"/>
      <c r="I116" s="966"/>
      <c r="J116" s="690"/>
      <c r="K116" s="455"/>
      <c r="L116" s="690"/>
      <c r="M116" s="454"/>
      <c r="N116" s="458"/>
      <c r="O116" s="454"/>
      <c r="P116" s="968"/>
      <c r="Q116" s="968"/>
      <c r="R116" s="454"/>
      <c r="S116" s="459"/>
      <c r="T116" s="460"/>
      <c r="U116" s="454"/>
      <c r="V116" s="763"/>
      <c r="W116" s="456"/>
      <c r="AA116" s="447"/>
      <c r="AB116" s="969"/>
      <c r="AC116" s="970"/>
      <c r="AD116" s="970"/>
      <c r="AE116" s="466"/>
    </row>
    <row r="117" spans="1:31" ht="13.5" thickBot="1" x14ac:dyDescent="0.25">
      <c r="A117" s="1032"/>
      <c r="B117" s="408"/>
      <c r="C117" s="408"/>
      <c r="D117" s="1836"/>
      <c r="E117" s="1832"/>
      <c r="J117" s="206"/>
      <c r="L117" s="206"/>
      <c r="V117" s="287"/>
    </row>
    <row r="118" spans="1:31" ht="14.25" thickTop="1" thickBot="1" x14ac:dyDescent="0.25">
      <c r="A118" s="933" t="s">
        <v>1004</v>
      </c>
      <c r="B118" s="934"/>
      <c r="C118" s="941"/>
      <c r="D118" s="975"/>
      <c r="E118" s="1832"/>
      <c r="J118" s="206"/>
      <c r="L118" s="206"/>
      <c r="V118" s="287"/>
    </row>
    <row r="119" spans="1:31" s="1932" customFormat="1" x14ac:dyDescent="0.2">
      <c r="A119" s="2065" t="s">
        <v>910</v>
      </c>
      <c r="B119" s="2052" t="s">
        <v>7</v>
      </c>
      <c r="C119" s="2053" t="s">
        <v>44</v>
      </c>
      <c r="D119" s="1972">
        <v>1</v>
      </c>
      <c r="E119" s="1973">
        <v>334</v>
      </c>
      <c r="F119" s="1974" t="s">
        <v>941</v>
      </c>
      <c r="G119" s="1975" t="s">
        <v>263</v>
      </c>
      <c r="H119" s="1976" t="s">
        <v>263</v>
      </c>
      <c r="I119" s="1977">
        <v>1</v>
      </c>
      <c r="J119" s="1978">
        <v>0</v>
      </c>
      <c r="K119" s="1974"/>
      <c r="L119" s="1978" t="s">
        <v>282</v>
      </c>
      <c r="M119" s="1965" t="s">
        <v>280</v>
      </c>
      <c r="N119" s="1979" t="s">
        <v>942</v>
      </c>
      <c r="O119" s="1965">
        <v>0</v>
      </c>
      <c r="P119" s="1980"/>
      <c r="Q119" s="1980"/>
      <c r="R119" s="1965">
        <v>6</v>
      </c>
      <c r="S119" s="1981" t="s">
        <v>943</v>
      </c>
      <c r="T119" s="1982" t="s">
        <v>944</v>
      </c>
      <c r="U119" s="1965">
        <v>1</v>
      </c>
      <c r="V119" s="1646">
        <v>1814880</v>
      </c>
      <c r="W119" s="1975"/>
      <c r="AA119" s="1983"/>
      <c r="AB119" s="1984">
        <v>40179</v>
      </c>
      <c r="AC119" s="1985">
        <v>39989</v>
      </c>
      <c r="AD119" s="2066">
        <v>40158</v>
      </c>
      <c r="AE119" s="1986" t="s">
        <v>1015</v>
      </c>
    </row>
    <row r="120" spans="1:31" s="1932" customFormat="1" x14ac:dyDescent="0.2">
      <c r="A120" s="1934" t="s">
        <v>957</v>
      </c>
      <c r="B120" s="1926" t="s">
        <v>7</v>
      </c>
      <c r="C120" s="1974" t="s">
        <v>44</v>
      </c>
      <c r="D120" s="1972">
        <v>1</v>
      </c>
      <c r="E120" s="1973">
        <v>335</v>
      </c>
      <c r="F120" s="1974" t="s">
        <v>965</v>
      </c>
      <c r="G120" s="1975" t="s">
        <v>281</v>
      </c>
      <c r="H120" s="1976" t="s">
        <v>263</v>
      </c>
      <c r="I120" s="1977">
        <v>1</v>
      </c>
      <c r="J120" s="1978">
        <v>0</v>
      </c>
      <c r="K120" s="1974"/>
      <c r="L120" s="1978" t="s">
        <v>282</v>
      </c>
      <c r="M120" s="1965" t="s">
        <v>778</v>
      </c>
      <c r="N120" s="1979" t="s">
        <v>966</v>
      </c>
      <c r="O120" s="1965">
        <v>0</v>
      </c>
      <c r="P120" s="1980"/>
      <c r="Q120" s="1980"/>
      <c r="R120" s="1965">
        <v>1</v>
      </c>
      <c r="S120" s="1981" t="s">
        <v>967</v>
      </c>
      <c r="T120" s="1982" t="s">
        <v>968</v>
      </c>
      <c r="U120" s="1965">
        <v>1</v>
      </c>
      <c r="V120" s="1646">
        <v>478327</v>
      </c>
      <c r="W120" s="1975"/>
      <c r="AA120" s="1983"/>
      <c r="AB120" s="1984">
        <v>40179</v>
      </c>
      <c r="AC120" s="1985">
        <v>40052</v>
      </c>
      <c r="AD120" s="2066">
        <v>40158</v>
      </c>
      <c r="AE120" s="1986" t="s">
        <v>1015</v>
      </c>
    </row>
    <row r="121" spans="1:31" s="1271" customFormat="1" ht="14.25" customHeight="1" x14ac:dyDescent="0.2">
      <c r="A121" s="1263" t="s">
        <v>911</v>
      </c>
      <c r="B121" s="1264" t="s">
        <v>7</v>
      </c>
      <c r="C121" s="1426" t="s">
        <v>44</v>
      </c>
      <c r="D121" s="1825">
        <v>0</v>
      </c>
      <c r="E121" s="1778">
        <v>423</v>
      </c>
      <c r="F121" s="1426" t="s">
        <v>945</v>
      </c>
      <c r="G121" s="1775" t="s">
        <v>290</v>
      </c>
      <c r="H121" s="1776" t="s">
        <v>263</v>
      </c>
      <c r="I121" s="1777">
        <v>1</v>
      </c>
      <c r="J121" s="1420">
        <v>1</v>
      </c>
      <c r="K121" s="1426" t="s">
        <v>290</v>
      </c>
      <c r="L121" s="1420" t="s">
        <v>282</v>
      </c>
      <c r="M121" s="1421" t="s">
        <v>280</v>
      </c>
      <c r="N121" s="1779" t="s">
        <v>946</v>
      </c>
      <c r="O121" s="1421">
        <v>0</v>
      </c>
      <c r="P121" s="1780"/>
      <c r="Q121" s="1780"/>
      <c r="R121" s="1421">
        <v>5</v>
      </c>
      <c r="S121" s="1781" t="s">
        <v>1012</v>
      </c>
      <c r="T121" s="1782" t="s">
        <v>620</v>
      </c>
      <c r="U121" s="1421">
        <v>1</v>
      </c>
      <c r="V121" s="1635">
        <v>152265</v>
      </c>
      <c r="W121" s="1775"/>
      <c r="AA121" s="1422"/>
      <c r="AB121" s="1783">
        <v>40148</v>
      </c>
      <c r="AC121" s="1784">
        <v>39989</v>
      </c>
      <c r="AD121" s="2064">
        <v>40158</v>
      </c>
      <c r="AE121" s="1785" t="s">
        <v>1011</v>
      </c>
    </row>
    <row r="122" spans="1:31" s="1271" customFormat="1" x14ac:dyDescent="0.2">
      <c r="A122" s="1263" t="s">
        <v>912</v>
      </c>
      <c r="B122" s="1264" t="s">
        <v>7</v>
      </c>
      <c r="C122" s="1479" t="s">
        <v>44</v>
      </c>
      <c r="D122" s="1825">
        <v>1</v>
      </c>
      <c r="E122" s="1778">
        <v>333</v>
      </c>
      <c r="F122" s="1426" t="s">
        <v>947</v>
      </c>
      <c r="G122" s="1775" t="s">
        <v>281</v>
      </c>
      <c r="H122" s="1776" t="s">
        <v>263</v>
      </c>
      <c r="I122" s="1777">
        <v>1</v>
      </c>
      <c r="J122" s="1775">
        <v>0</v>
      </c>
      <c r="K122" s="1426"/>
      <c r="L122" s="1421" t="s">
        <v>282</v>
      </c>
      <c r="M122" s="1421" t="s">
        <v>280</v>
      </c>
      <c r="N122" s="1779" t="s">
        <v>948</v>
      </c>
      <c r="O122" s="1421">
        <v>0</v>
      </c>
      <c r="P122" s="1780"/>
      <c r="Q122" s="1780"/>
      <c r="R122" s="1421">
        <v>1</v>
      </c>
      <c r="S122" s="1781" t="s">
        <v>949</v>
      </c>
      <c r="T122" s="1782" t="s">
        <v>944</v>
      </c>
      <c r="U122" s="1421">
        <v>1</v>
      </c>
      <c r="V122" s="1737">
        <v>1204705</v>
      </c>
      <c r="W122" s="1775"/>
      <c r="AA122" s="1422"/>
      <c r="AB122" s="1783">
        <v>40148</v>
      </c>
      <c r="AC122" s="1784">
        <v>40017</v>
      </c>
      <c r="AD122" s="2064">
        <v>40158</v>
      </c>
      <c r="AE122" s="1785" t="s">
        <v>1011</v>
      </c>
    </row>
    <row r="123" spans="1:31" s="1271" customFormat="1" x14ac:dyDescent="0.2">
      <c r="A123" s="1263" t="s">
        <v>129</v>
      </c>
      <c r="B123" s="1264" t="s">
        <v>7</v>
      </c>
      <c r="C123" s="1426" t="s">
        <v>44</v>
      </c>
      <c r="D123" s="1825">
        <v>1</v>
      </c>
      <c r="E123" s="1778">
        <v>311</v>
      </c>
      <c r="F123" s="1426" t="s">
        <v>950</v>
      </c>
      <c r="G123" s="1775" t="s">
        <v>281</v>
      </c>
      <c r="H123" s="1776" t="s">
        <v>263</v>
      </c>
      <c r="I123" s="1777">
        <v>1</v>
      </c>
      <c r="J123" s="1775">
        <v>0</v>
      </c>
      <c r="K123" s="1426"/>
      <c r="L123" s="1421" t="s">
        <v>282</v>
      </c>
      <c r="M123" s="1803">
        <v>40086</v>
      </c>
      <c r="N123" s="1779" t="s">
        <v>951</v>
      </c>
      <c r="O123" s="1421">
        <v>0</v>
      </c>
      <c r="P123" s="1780"/>
      <c r="Q123" s="1780"/>
      <c r="R123" s="1421">
        <v>4</v>
      </c>
      <c r="S123" s="1781" t="s">
        <v>588</v>
      </c>
      <c r="T123" s="1782" t="s">
        <v>588</v>
      </c>
      <c r="U123" s="1421">
        <v>0</v>
      </c>
      <c r="V123" s="1737"/>
      <c r="W123" s="1775"/>
      <c r="AA123" s="1422"/>
      <c r="AB123" s="1783">
        <v>40148</v>
      </c>
      <c r="AC123" s="1784">
        <v>40017</v>
      </c>
      <c r="AD123" s="2064">
        <v>40158</v>
      </c>
      <c r="AE123" s="1785" t="s">
        <v>1011</v>
      </c>
    </row>
    <row r="124" spans="1:31" s="1271" customFormat="1" x14ac:dyDescent="0.2">
      <c r="A124" s="1263" t="s">
        <v>756</v>
      </c>
      <c r="B124" s="1264" t="s">
        <v>7</v>
      </c>
      <c r="C124" s="1426" t="s">
        <v>44</v>
      </c>
      <c r="D124" s="1825">
        <v>0</v>
      </c>
      <c r="E124" s="1775">
        <v>321</v>
      </c>
      <c r="F124" s="1426" t="s">
        <v>785</v>
      </c>
      <c r="G124" s="1775" t="s">
        <v>263</v>
      </c>
      <c r="H124" s="1776" t="s">
        <v>263</v>
      </c>
      <c r="I124" s="1777">
        <v>1</v>
      </c>
      <c r="J124" s="1420">
        <v>0</v>
      </c>
      <c r="K124" s="1426"/>
      <c r="L124" s="1420" t="s">
        <v>282</v>
      </c>
      <c r="M124" s="1421" t="s">
        <v>280</v>
      </c>
      <c r="N124" s="1779"/>
      <c r="O124" s="1421">
        <v>0</v>
      </c>
      <c r="P124" s="1780"/>
      <c r="Q124" s="1780"/>
      <c r="R124" s="2082">
        <v>5</v>
      </c>
      <c r="S124" s="1782" t="s">
        <v>786</v>
      </c>
      <c r="T124" s="1782" t="s">
        <v>753</v>
      </c>
      <c r="U124" s="1421">
        <v>1</v>
      </c>
      <c r="V124" s="1635">
        <v>118921</v>
      </c>
      <c r="W124" s="1775"/>
      <c r="AA124" s="1422"/>
      <c r="AB124" s="1783">
        <v>39935</v>
      </c>
      <c r="AC124" s="1784">
        <v>39870</v>
      </c>
      <c r="AD124" s="2064">
        <v>40158</v>
      </c>
      <c r="AE124" s="1785" t="s">
        <v>1011</v>
      </c>
    </row>
    <row r="125" spans="1:31" s="1505" customFormat="1" ht="13.5" thickBot="1" x14ac:dyDescent="0.25">
      <c r="A125" s="2149" t="s">
        <v>1034</v>
      </c>
      <c r="B125" s="2114" t="s">
        <v>14</v>
      </c>
      <c r="C125" s="2115" t="s">
        <v>44</v>
      </c>
      <c r="D125" s="2179">
        <v>1</v>
      </c>
      <c r="E125" s="2180">
        <v>339</v>
      </c>
      <c r="F125" s="2189" t="s">
        <v>1059</v>
      </c>
      <c r="G125" s="2180" t="s">
        <v>281</v>
      </c>
      <c r="H125" s="2091" t="s">
        <v>868</v>
      </c>
      <c r="I125" s="2182">
        <v>0</v>
      </c>
      <c r="J125" s="2181">
        <v>0</v>
      </c>
      <c r="K125" s="2154"/>
      <c r="L125" s="2190" t="s">
        <v>282</v>
      </c>
      <c r="M125" s="2190" t="s">
        <v>280</v>
      </c>
      <c r="N125" s="2183"/>
      <c r="O125" s="2179">
        <v>0</v>
      </c>
      <c r="P125" s="2184"/>
      <c r="Q125" s="2184"/>
      <c r="R125" s="2179">
        <v>6</v>
      </c>
      <c r="S125" s="2191" t="s">
        <v>1060</v>
      </c>
      <c r="T125" s="2192" t="s">
        <v>1061</v>
      </c>
      <c r="U125" s="2179">
        <v>1</v>
      </c>
      <c r="V125" s="2185"/>
      <c r="W125" s="2181"/>
      <c r="AA125" s="2186"/>
      <c r="AB125" s="2187"/>
      <c r="AC125" s="2186"/>
      <c r="AD125" s="2186"/>
      <c r="AE125" s="2188"/>
    </row>
    <row r="126" spans="1:31" s="431" customFormat="1" ht="13.5" thickTop="1" x14ac:dyDescent="0.2">
      <c r="A126" s="1032"/>
      <c r="B126" s="408"/>
      <c r="C126" s="408"/>
      <c r="D126" s="1836"/>
      <c r="E126" s="1919"/>
      <c r="F126" s="455"/>
      <c r="G126" s="456"/>
      <c r="H126" s="457"/>
      <c r="I126" s="966"/>
      <c r="J126" s="690"/>
      <c r="K126" s="455"/>
      <c r="L126" s="690"/>
      <c r="M126" s="454"/>
      <c r="N126" s="458"/>
      <c r="O126" s="454"/>
      <c r="P126" s="968"/>
      <c r="Q126" s="968"/>
      <c r="R126" s="454"/>
      <c r="S126" s="459"/>
      <c r="T126" s="460"/>
      <c r="U126" s="454"/>
      <c r="V126" s="763"/>
      <c r="W126" s="456"/>
      <c r="AA126" s="447"/>
      <c r="AB126" s="969"/>
      <c r="AC126" s="970"/>
      <c r="AD126" s="970"/>
      <c r="AE126" s="466"/>
    </row>
    <row r="127" spans="1:31" s="39" customFormat="1" x14ac:dyDescent="0.2">
      <c r="D127" s="195"/>
      <c r="E127" s="456"/>
      <c r="F127" s="391"/>
      <c r="G127" s="392"/>
      <c r="H127" s="393"/>
      <c r="I127" s="394"/>
      <c r="J127" s="392"/>
      <c r="K127" s="391"/>
      <c r="L127" s="195"/>
      <c r="M127" s="195"/>
      <c r="N127" s="401"/>
      <c r="O127" s="195"/>
      <c r="P127" s="395"/>
      <c r="Q127" s="395"/>
      <c r="R127" s="195"/>
      <c r="S127" s="396"/>
      <c r="T127" s="194"/>
      <c r="U127" s="195"/>
      <c r="V127" s="397"/>
      <c r="W127" s="392"/>
      <c r="AA127" s="41"/>
      <c r="AB127" s="406"/>
      <c r="AC127" s="41"/>
      <c r="AD127" s="41"/>
      <c r="AE127" s="465"/>
    </row>
    <row r="140" spans="18:19" x14ac:dyDescent="0.2">
      <c r="R140" s="689">
        <v>1</v>
      </c>
      <c r="S140" s="865" t="s">
        <v>274</v>
      </c>
    </row>
    <row r="141" spans="18:19" x14ac:dyDescent="0.2">
      <c r="R141" s="196">
        <v>2</v>
      </c>
      <c r="S141" s="231" t="s">
        <v>275</v>
      </c>
    </row>
    <row r="142" spans="18:19" x14ac:dyDescent="0.2">
      <c r="R142" s="668">
        <v>3</v>
      </c>
      <c r="S142" s="875" t="s">
        <v>724</v>
      </c>
    </row>
    <row r="143" spans="18:19" x14ac:dyDescent="0.2">
      <c r="R143" s="689">
        <v>4</v>
      </c>
      <c r="S143" s="865" t="s">
        <v>276</v>
      </c>
    </row>
    <row r="144" spans="18:19" x14ac:dyDescent="0.2">
      <c r="R144" s="689">
        <v>5</v>
      </c>
      <c r="S144" s="865" t="s">
        <v>277</v>
      </c>
    </row>
    <row r="145" spans="18:19" x14ac:dyDescent="0.2">
      <c r="R145" s="689">
        <v>6</v>
      </c>
      <c r="S145" s="865" t="s">
        <v>279</v>
      </c>
    </row>
    <row r="146" spans="18:19" x14ac:dyDescent="0.2">
      <c r="R146" s="196">
        <v>7</v>
      </c>
      <c r="S146" s="231" t="s">
        <v>278</v>
      </c>
    </row>
  </sheetData>
  <mergeCells count="4">
    <mergeCell ref="E3:F3"/>
    <mergeCell ref="G3:I3"/>
    <mergeCell ref="J3:K3"/>
    <mergeCell ref="A1:V2"/>
  </mergeCells>
  <phoneticPr fontId="9" type="noConversion"/>
  <printOptions gridLines="1"/>
  <pageMargins left="0.75" right="0.75" top="1" bottom="1" header="0.5" footer="0.5"/>
  <pageSetup paperSize="17" scale="4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pageSetUpPr fitToPage="1"/>
  </sheetPr>
  <dimension ref="A1:Q49"/>
  <sheetViews>
    <sheetView workbookViewId="0">
      <selection sqref="A1:O2"/>
    </sheetView>
  </sheetViews>
  <sheetFormatPr defaultRowHeight="12.75" x14ac:dyDescent="0.2"/>
  <cols>
    <col min="1" max="1" width="78" customWidth="1"/>
    <col min="2" max="6" width="15" bestFit="1" customWidth="1"/>
    <col min="7" max="7" width="14.42578125" bestFit="1" customWidth="1"/>
    <col min="8" max="8" width="14.28515625" bestFit="1" customWidth="1"/>
    <col min="9" max="9" width="14.140625" bestFit="1" customWidth="1"/>
    <col min="10" max="12" width="12.85546875" bestFit="1" customWidth="1"/>
    <col min="13" max="14" width="12.28515625" customWidth="1"/>
    <col min="15" max="15" width="15.28515625" bestFit="1" customWidth="1"/>
    <col min="16" max="16" width="16" bestFit="1" customWidth="1"/>
    <col min="17" max="17" width="12.28515625" bestFit="1" customWidth="1"/>
  </cols>
  <sheetData>
    <row r="1" spans="1:17" x14ac:dyDescent="0.2">
      <c r="A1" s="4354" t="s">
        <v>1111</v>
      </c>
      <c r="B1" s="4354"/>
      <c r="C1" s="4354"/>
      <c r="D1" s="4354"/>
      <c r="E1" s="4354"/>
      <c r="F1" s="4354"/>
      <c r="G1" s="4354"/>
      <c r="H1" s="4354"/>
      <c r="I1" s="4354"/>
      <c r="J1" s="4354"/>
      <c r="K1" s="4354"/>
      <c r="L1" s="4354"/>
      <c r="M1" s="4354"/>
      <c r="N1" s="4354"/>
      <c r="O1" s="4354"/>
    </row>
    <row r="2" spans="1:17" x14ac:dyDescent="0.2">
      <c r="A2" s="4354"/>
      <c r="B2" s="4354"/>
      <c r="C2" s="4354"/>
      <c r="D2" s="4354"/>
      <c r="E2" s="4354"/>
      <c r="F2" s="4354"/>
      <c r="G2" s="4354"/>
      <c r="H2" s="4354"/>
      <c r="I2" s="4354"/>
      <c r="J2" s="4354"/>
      <c r="K2" s="4354"/>
      <c r="L2" s="4354"/>
      <c r="M2" s="4354"/>
      <c r="N2" s="4354"/>
      <c r="O2" s="4354"/>
    </row>
    <row r="3" spans="1:17" ht="13.5" thickBot="1" x14ac:dyDescent="0.25">
      <c r="A3" s="390" t="s">
        <v>1062</v>
      </c>
      <c r="O3" s="3"/>
    </row>
    <row r="4" spans="1:17" ht="13.5" thickTop="1" x14ac:dyDescent="0.2">
      <c r="A4" s="112" t="s">
        <v>835</v>
      </c>
      <c r="B4" s="1057">
        <v>2007</v>
      </c>
      <c r="C4" s="1057">
        <v>2008</v>
      </c>
      <c r="D4" s="1057">
        <v>2009</v>
      </c>
      <c r="E4" s="1057">
        <v>2010</v>
      </c>
      <c r="F4" s="1057">
        <v>2011</v>
      </c>
      <c r="G4" s="1057">
        <v>2012</v>
      </c>
      <c r="H4" s="1057">
        <v>2013</v>
      </c>
      <c r="I4" s="1057">
        <v>2014</v>
      </c>
      <c r="J4" s="1057">
        <v>2015</v>
      </c>
      <c r="K4" s="1057">
        <v>2016</v>
      </c>
      <c r="L4" s="1057">
        <v>2017</v>
      </c>
      <c r="M4" s="1057">
        <v>2018</v>
      </c>
      <c r="N4" s="1837">
        <v>2019</v>
      </c>
      <c r="O4" s="1058" t="s">
        <v>69</v>
      </c>
      <c r="P4" t="s">
        <v>70</v>
      </c>
    </row>
    <row r="5" spans="1:17" x14ac:dyDescent="0.2">
      <c r="A5" s="71"/>
      <c r="B5" s="103"/>
      <c r="C5" s="1059">
        <f>'7. Cost-Benefit'!$G$158</f>
        <v>9.348273545444527E-3</v>
      </c>
      <c r="D5" s="1059">
        <f>'7. Cost-Benefit'!$H$158</f>
        <v>4.0184754725101711E-2</v>
      </c>
      <c r="E5" s="1059">
        <f>'7. Cost-Benefit'!$I$158</f>
        <v>9.2443725193665255E-2</v>
      </c>
      <c r="F5" s="1059">
        <f>'7. Cost-Benefit'!$J$158</f>
        <v>0.17550351900195418</v>
      </c>
      <c r="G5" s="1059">
        <f>'7. Cost-Benefit'!$K$158</f>
        <v>0.25185754493617701</v>
      </c>
      <c r="H5" s="1059">
        <f>'7. Cost-Benefit'!$L$158</f>
        <v>0.16026411123780282</v>
      </c>
      <c r="I5" s="1059">
        <f>'7. Cost-Benefit'!$M$158</f>
        <v>0.18311996112792089</v>
      </c>
      <c r="J5" s="1059">
        <f>'7. Cost-Benefit'!$N$158</f>
        <v>8.7278110231933617E-2</v>
      </c>
      <c r="K5" s="1059"/>
      <c r="L5" s="1059"/>
      <c r="M5" s="1059"/>
      <c r="N5" s="1838"/>
      <c r="O5" s="1060">
        <f>SUM(C5:N5)</f>
        <v>1</v>
      </c>
    </row>
    <row r="6" spans="1:17" x14ac:dyDescent="0.2">
      <c r="A6" s="121" t="s">
        <v>192</v>
      </c>
      <c r="B6" s="753"/>
      <c r="C6" s="358">
        <f>C5*O6</f>
        <v>405671.34064864687</v>
      </c>
      <c r="D6" s="358">
        <f>D5*O6</f>
        <v>1743830.3707868103</v>
      </c>
      <c r="E6" s="358">
        <f>E5*O6</f>
        <v>4011625.2216586163</v>
      </c>
      <c r="F6" s="358">
        <f>F5*O6</f>
        <v>7616031.71922292</v>
      </c>
      <c r="G6" s="358">
        <f>G5*O6</f>
        <v>10929439.260634871</v>
      </c>
      <c r="H6" s="358">
        <f>H5*O6</f>
        <v>6954712.712208272</v>
      </c>
      <c r="I6" s="358">
        <f>I5*O6</f>
        <v>7946549.6777736107</v>
      </c>
      <c r="J6" s="358">
        <f>J5*O6</f>
        <v>3787461.697066254</v>
      </c>
      <c r="K6" s="358"/>
      <c r="L6" s="358"/>
      <c r="M6" s="358"/>
      <c r="N6" s="359"/>
      <c r="O6" s="1044">
        <f>'7. Cost-Benefit'!$Z$156</f>
        <v>43395322</v>
      </c>
      <c r="P6" s="1">
        <f>SUM(C6:M6)</f>
        <v>43395322</v>
      </c>
    </row>
    <row r="7" spans="1:17" x14ac:dyDescent="0.2">
      <c r="A7" s="121"/>
      <c r="B7" s="753"/>
      <c r="C7" s="1061">
        <f>'7. Cost-Benefit'!P158</f>
        <v>5.3041943108910897E-3</v>
      </c>
      <c r="D7" s="1061">
        <f>'7. Cost-Benefit'!Q158</f>
        <v>2.8599960688640184E-2</v>
      </c>
      <c r="E7" s="1061">
        <f>'7. Cost-Benefit'!R158</f>
        <v>7.9565006752966363E-2</v>
      </c>
      <c r="F7" s="1061">
        <f>'7. Cost-Benefit'!S158</f>
        <v>0.1647163908545399</v>
      </c>
      <c r="G7" s="1061">
        <f>'7. Cost-Benefit'!T158</f>
        <v>0.2710573550348776</v>
      </c>
      <c r="H7" s="1061">
        <f>'7. Cost-Benefit'!U158</f>
        <v>0.1477280753742026</v>
      </c>
      <c r="I7" s="1061">
        <f>'7. Cost-Benefit'!V158</f>
        <v>0.19498683527713362</v>
      </c>
      <c r="J7" s="1061">
        <f>'7. Cost-Benefit'!W158</f>
        <v>0.10804218170674862</v>
      </c>
      <c r="K7" s="103"/>
      <c r="L7" s="103"/>
      <c r="M7" s="103"/>
      <c r="N7" s="212"/>
      <c r="O7" s="1060">
        <f>SUM(C7:N7)</f>
        <v>1</v>
      </c>
      <c r="P7" s="1"/>
    </row>
    <row r="8" spans="1:17" x14ac:dyDescent="0.2">
      <c r="A8" s="121" t="s">
        <v>193</v>
      </c>
      <c r="B8" s="753"/>
      <c r="C8" s="358">
        <f>C7*O8</f>
        <v>91973.811725235704</v>
      </c>
      <c r="D8" s="358">
        <f>D7*O8</f>
        <v>495918.37054782163</v>
      </c>
      <c r="E8" s="358">
        <f>E7*O8</f>
        <v>1379643.4523502684</v>
      </c>
      <c r="F8" s="358">
        <f>F7*O8</f>
        <v>2856153.7214821042</v>
      </c>
      <c r="G8" s="358">
        <f>G7*O8</f>
        <v>4700087.6433823565</v>
      </c>
      <c r="H8" s="358">
        <f>H7*O8</f>
        <v>2561579.2700316333</v>
      </c>
      <c r="I8" s="358">
        <f>I7*O8</f>
        <v>3381037.990982994</v>
      </c>
      <c r="J8" s="358">
        <f>J7*O8</f>
        <v>1873432.7394975857</v>
      </c>
      <c r="K8" s="358"/>
      <c r="L8" s="358"/>
      <c r="M8" s="358"/>
      <c r="N8" s="359"/>
      <c r="O8" s="1044">
        <f>'7. Cost-Benefit'!$AA$156</f>
        <v>17339827</v>
      </c>
      <c r="P8" s="1">
        <f>SUM(C8:M8)</f>
        <v>17339827</v>
      </c>
    </row>
    <row r="9" spans="1:17" x14ac:dyDescent="0.2">
      <c r="A9" s="121"/>
      <c r="B9" s="753"/>
      <c r="C9" s="1061">
        <f>'8. Incentives- Max'!F135</f>
        <v>1.1058840172502528E-2</v>
      </c>
      <c r="D9" s="1061">
        <f>'8. Incentives- Max'!G135</f>
        <v>3.9943196680078043E-2</v>
      </c>
      <c r="E9" s="1061">
        <f>'8. Incentives- Max'!H135</f>
        <v>6.993100018329515E-2</v>
      </c>
      <c r="F9" s="1061">
        <f>'8. Incentives- Max'!I135</f>
        <v>0.1161275792957179</v>
      </c>
      <c r="G9" s="1061">
        <f>'8. Incentives- Max'!J135</f>
        <v>0.14974601525381262</v>
      </c>
      <c r="H9" s="1061">
        <f>'8. Incentives- Max'!K135</f>
        <v>0.16545114641331846</v>
      </c>
      <c r="I9" s="1061">
        <f>'8. Incentives- Max'!L135</f>
        <v>0.15046180828484446</v>
      </c>
      <c r="J9" s="1061">
        <f>'8. Incentives- Max'!M135</f>
        <v>0.13006900125751403</v>
      </c>
      <c r="K9" s="1061">
        <f>'8. Incentives- Max'!N135</f>
        <v>8.3872423922401948E-2</v>
      </c>
      <c r="L9" s="1061">
        <f>'8. Incentives- Max'!O135</f>
        <v>5.0254006425797061E-2</v>
      </c>
      <c r="M9" s="1061">
        <f>'8. Incentives- Max'!P135</f>
        <v>2.3489985634831099E-2</v>
      </c>
      <c r="N9" s="1061">
        <f>'8. Incentives- Max'!Q135</f>
        <v>9.5949964758866892E-3</v>
      </c>
      <c r="O9" s="1060">
        <f>SUM(C9:N9)</f>
        <v>0.99999999999999989</v>
      </c>
      <c r="P9" s="1"/>
    </row>
    <row r="10" spans="1:17" x14ac:dyDescent="0.2">
      <c r="A10" s="121" t="s">
        <v>374</v>
      </c>
      <c r="B10" s="753"/>
      <c r="C10" s="358">
        <f>C9*O10</f>
        <v>150798.48835716673</v>
      </c>
      <c r="D10" s="358">
        <f>D9*O10</f>
        <v>544665.94919110101</v>
      </c>
      <c r="E10" s="358">
        <f>E9*O10</f>
        <v>953580.02760241507</v>
      </c>
      <c r="F10" s="358">
        <f>F9*O10</f>
        <v>1583517.1809349402</v>
      </c>
      <c r="G10" s="358">
        <f>G9*O10</f>
        <v>2041938.6106991873</v>
      </c>
      <c r="H10" s="358">
        <f>H9*O10</f>
        <v>2256093.983356914</v>
      </c>
      <c r="I10" s="358">
        <f>I9*O10</f>
        <v>2051699.1737756466</v>
      </c>
      <c r="J10" s="358">
        <f>J9*O10</f>
        <v>1773622.5920444776</v>
      </c>
      <c r="K10" s="358">
        <f>K9*O10</f>
        <v>1143685.462947384</v>
      </c>
      <c r="L10" s="358">
        <f>L9*O10</f>
        <v>685264.28492425231</v>
      </c>
      <c r="M10" s="358">
        <f>M9*O10</f>
        <v>320309.74948637013</v>
      </c>
      <c r="N10" s="358">
        <f>N9*O10</f>
        <v>130837.49668014508</v>
      </c>
      <c r="O10" s="1044">
        <f>'7. Cost-Benefit'!$AH$156</f>
        <v>13636013</v>
      </c>
      <c r="P10" s="1">
        <f>SUM(C10:N10)</f>
        <v>13636012.999999998</v>
      </c>
    </row>
    <row r="11" spans="1:17" x14ac:dyDescent="0.2">
      <c r="A11" s="121"/>
      <c r="B11" s="103"/>
      <c r="C11" s="103"/>
      <c r="D11" s="103"/>
      <c r="E11" s="103"/>
      <c r="F11" s="103"/>
      <c r="G11" s="103"/>
      <c r="H11" s="103"/>
      <c r="I11" s="103"/>
      <c r="J11" s="103"/>
      <c r="K11" s="103"/>
      <c r="L11" s="103"/>
      <c r="M11" s="103"/>
      <c r="N11" s="212"/>
      <c r="O11" s="391"/>
    </row>
    <row r="12" spans="1:17" ht="13.5" thickBot="1" x14ac:dyDescent="0.25">
      <c r="A12" s="1053" t="s">
        <v>375</v>
      </c>
      <c r="B12" s="108"/>
      <c r="C12" s="1067">
        <f>C6-C8-C10</f>
        <v>162899.04056624442</v>
      </c>
      <c r="D12" s="1067">
        <f t="shared" ref="D12:P12" si="0">D6-D8-D10</f>
        <v>703246.05104788754</v>
      </c>
      <c r="E12" s="1067">
        <f t="shared" si="0"/>
        <v>1678401.7417059331</v>
      </c>
      <c r="F12" s="1067">
        <f t="shared" si="0"/>
        <v>3176360.8168058759</v>
      </c>
      <c r="G12" s="1067">
        <f t="shared" si="0"/>
        <v>4187413.0065533277</v>
      </c>
      <c r="H12" s="1067">
        <f t="shared" si="0"/>
        <v>2137039.4588197242</v>
      </c>
      <c r="I12" s="1067">
        <f t="shared" si="0"/>
        <v>2513812.5130149703</v>
      </c>
      <c r="J12" s="1067">
        <f t="shared" si="0"/>
        <v>140406.36552419071</v>
      </c>
      <c r="K12" s="1067">
        <f t="shared" si="0"/>
        <v>-1143685.462947384</v>
      </c>
      <c r="L12" s="1067">
        <f t="shared" si="0"/>
        <v>-685264.28492425231</v>
      </c>
      <c r="M12" s="1067">
        <f t="shared" si="0"/>
        <v>-320309.74948637013</v>
      </c>
      <c r="N12" s="1839">
        <f t="shared" si="0"/>
        <v>-130837.49668014508</v>
      </c>
      <c r="O12" s="1075">
        <f t="shared" si="0"/>
        <v>12419482</v>
      </c>
      <c r="P12" s="1">
        <f t="shared" si="0"/>
        <v>12419482.000000002</v>
      </c>
      <c r="Q12" s="1849">
        <f>SUM(C12:N12)</f>
        <v>12419482.000000006</v>
      </c>
    </row>
    <row r="13" spans="1:17" s="1050" customFormat="1" ht="13.5" thickBot="1" x14ac:dyDescent="0.25">
      <c r="A13" s="1052" t="s">
        <v>829</v>
      </c>
      <c r="B13" s="1063"/>
      <c r="C13" s="1068">
        <v>582792</v>
      </c>
      <c r="D13" s="1062"/>
      <c r="E13" s="1062"/>
      <c r="F13" s="1062"/>
      <c r="G13" s="1062"/>
      <c r="H13" s="1062"/>
      <c r="I13" s="1062"/>
      <c r="J13" s="1062"/>
      <c r="K13" s="1062"/>
      <c r="L13" s="1062"/>
      <c r="M13" s="1062"/>
      <c r="N13" s="1840"/>
      <c r="O13" s="1073"/>
      <c r="P13" s="1049"/>
    </row>
    <row r="14" spans="1:17" ht="14.25" thickTop="1" thickBot="1" x14ac:dyDescent="0.25">
      <c r="A14" s="236"/>
      <c r="B14" s="26"/>
      <c r="C14" s="119"/>
      <c r="D14" s="119"/>
      <c r="E14" s="119"/>
      <c r="F14" s="119"/>
      <c r="G14" s="119"/>
      <c r="H14" s="119"/>
      <c r="I14" s="119"/>
      <c r="J14" s="119"/>
      <c r="K14" s="119"/>
      <c r="L14" s="119"/>
      <c r="M14" s="119"/>
      <c r="N14" s="119"/>
      <c r="O14" s="292"/>
      <c r="P14" s="1"/>
    </row>
    <row r="15" spans="1:17" ht="13.5" thickTop="1" x14ac:dyDescent="0.2">
      <c r="A15" s="112" t="s">
        <v>836</v>
      </c>
      <c r="B15" s="1064">
        <v>2007</v>
      </c>
      <c r="C15" s="1064">
        <v>2008</v>
      </c>
      <c r="D15" s="1064">
        <v>2009</v>
      </c>
      <c r="E15" s="1064">
        <v>2010</v>
      </c>
      <c r="F15" s="1064">
        <v>2011</v>
      </c>
      <c r="G15" s="1064">
        <v>2012</v>
      </c>
      <c r="H15" s="1064">
        <v>2013</v>
      </c>
      <c r="I15" s="1064">
        <v>2014</v>
      </c>
      <c r="J15" s="1064">
        <v>2015</v>
      </c>
      <c r="K15" s="1064">
        <v>2016</v>
      </c>
      <c r="L15" s="1064">
        <v>2017</v>
      </c>
      <c r="M15" s="1064">
        <v>2018</v>
      </c>
      <c r="N15" s="1841">
        <v>2019</v>
      </c>
      <c r="O15" s="1074" t="s">
        <v>347</v>
      </c>
      <c r="P15" s="1"/>
    </row>
    <row r="16" spans="1:17" x14ac:dyDescent="0.2">
      <c r="A16" s="121"/>
      <c r="B16" s="753"/>
      <c r="C16" s="101"/>
      <c r="D16" s="101"/>
      <c r="E16" s="101"/>
      <c r="F16" s="101"/>
      <c r="G16" s="101"/>
      <c r="H16" s="101"/>
      <c r="I16" s="101"/>
      <c r="J16" s="101"/>
      <c r="K16" s="101"/>
      <c r="L16" s="101"/>
      <c r="M16" s="101"/>
      <c r="N16" s="827"/>
      <c r="O16" s="351"/>
      <c r="P16" s="1"/>
    </row>
    <row r="17" spans="1:16" x14ac:dyDescent="0.2">
      <c r="A17" s="1048" t="s">
        <v>831</v>
      </c>
      <c r="B17" s="361">
        <f>'8. Incentives- Max'!$E$343</f>
        <v>886781</v>
      </c>
      <c r="C17" s="358">
        <f>'8. Incentives- Max'!$E$344</f>
        <v>2316165</v>
      </c>
      <c r="D17" s="358">
        <f>'8. Incentives- Max'!$E$345</f>
        <v>2404647.6812738571</v>
      </c>
      <c r="E17" s="358">
        <f>'8. Incentives- Max'!$E$346</f>
        <v>3704389.1047154632</v>
      </c>
      <c r="F17" s="358">
        <f>'8. Incentives- Max'!$E$347</f>
        <v>2695777.6241475879</v>
      </c>
      <c r="G17" s="1065">
        <f>'8. Incentives- Max'!$E$348</f>
        <v>2146140.5310881543</v>
      </c>
      <c r="H17" s="1065">
        <f>'8. Incentives- Max'!$E$349</f>
        <v>1114204.7619058371</v>
      </c>
      <c r="I17" s="1065">
        <f>'8. Incentives- Max'!$E$350</f>
        <v>769399</v>
      </c>
      <c r="J17" s="1065"/>
      <c r="K17" s="1065"/>
      <c r="L17" s="1065"/>
      <c r="M17" s="1065"/>
      <c r="N17" s="1842"/>
      <c r="O17" s="1044">
        <f>SUM(B17:N17)</f>
        <v>16037504.703130901</v>
      </c>
      <c r="P17" s="1"/>
    </row>
    <row r="18" spans="1:16" ht="13.5" thickBot="1" x14ac:dyDescent="0.25">
      <c r="A18" s="1055" t="s">
        <v>830</v>
      </c>
      <c r="B18" s="1066">
        <f>'9. Incentives- Est'!$E$380</f>
        <v>771548.14547109604</v>
      </c>
      <c r="C18" s="1067">
        <f>'9. Incentives- Est'!$E$381</f>
        <v>2025213.8996956102</v>
      </c>
      <c r="D18" s="1067">
        <f>'9. Incentives- Est'!$E$382</f>
        <v>2127851.5025164397</v>
      </c>
      <c r="E18" s="1067">
        <f>'9. Incentives- Est'!$E$383</f>
        <v>3360762.8004096569</v>
      </c>
      <c r="F18" s="1067">
        <f>'9. Incentives- Est'!$E$384</f>
        <v>2407103.6400353722</v>
      </c>
      <c r="G18" s="1067">
        <f>'9. Incentives- Est'!$E$385</f>
        <v>1936570.0372759406</v>
      </c>
      <c r="H18" s="1067">
        <f>'9. Incentives- Est'!$E$386</f>
        <v>1030881.2242621479</v>
      </c>
      <c r="I18" s="1067">
        <f>'9. Incentives- Est'!$E$387</f>
        <v>700838.79999999993</v>
      </c>
      <c r="J18" s="1067"/>
      <c r="K18" s="1067"/>
      <c r="L18" s="1067"/>
      <c r="M18" s="1067"/>
      <c r="N18" s="1839"/>
      <c r="O18" s="1075">
        <f>SUM(B18:N18)</f>
        <v>14360770.049666263</v>
      </c>
      <c r="P18" s="1"/>
    </row>
    <row r="19" spans="1:16" s="1050" customFormat="1" x14ac:dyDescent="0.2">
      <c r="A19" s="1051" t="s">
        <v>832</v>
      </c>
      <c r="B19" s="1147">
        <v>1434964</v>
      </c>
      <c r="C19" s="2193"/>
      <c r="D19" s="2193"/>
      <c r="E19" s="2193"/>
      <c r="F19" s="2193"/>
      <c r="G19" s="2193"/>
      <c r="H19" s="2193"/>
      <c r="I19" s="2193"/>
      <c r="J19" s="2193"/>
      <c r="K19" s="2193"/>
      <c r="L19" s="2193"/>
      <c r="M19" s="2193"/>
      <c r="N19" s="2194"/>
      <c r="O19" s="2195"/>
    </row>
    <row r="20" spans="1:16" s="1050" customFormat="1" x14ac:dyDescent="0.2">
      <c r="A20" s="2196" t="s">
        <v>1063</v>
      </c>
      <c r="B20" s="2197">
        <v>663559</v>
      </c>
      <c r="C20" s="2198"/>
      <c r="D20" s="2198"/>
      <c r="E20" s="2198"/>
      <c r="F20" s="2198"/>
      <c r="G20" s="2198"/>
      <c r="H20" s="2198"/>
      <c r="I20" s="2198"/>
      <c r="J20" s="2198"/>
      <c r="K20" s="2198"/>
      <c r="L20" s="2198"/>
      <c r="M20" s="2198"/>
      <c r="N20" s="2198"/>
      <c r="O20" s="2199"/>
    </row>
    <row r="21" spans="1:16" s="1050" customFormat="1" ht="13.5" thickBot="1" x14ac:dyDescent="0.25">
      <c r="A21" s="2200" t="s">
        <v>1065</v>
      </c>
      <c r="B21" s="2201">
        <f>B19-B20</f>
        <v>771405</v>
      </c>
      <c r="C21" s="2202"/>
      <c r="D21" s="2202"/>
      <c r="E21" s="2202"/>
      <c r="F21" s="2202"/>
      <c r="G21" s="2202"/>
      <c r="H21" s="2202"/>
      <c r="I21" s="2202"/>
      <c r="J21" s="2202"/>
      <c r="K21" s="2202"/>
      <c r="L21" s="2202"/>
      <c r="M21" s="2202"/>
      <c r="N21" s="2202"/>
      <c r="O21" s="2203"/>
    </row>
    <row r="22" spans="1:16" ht="14.25" thickTop="1" thickBot="1" x14ac:dyDescent="0.25">
      <c r="O22" s="3"/>
    </row>
    <row r="23" spans="1:16" ht="13.5" thickTop="1" x14ac:dyDescent="0.2">
      <c r="A23" s="289" t="s">
        <v>837</v>
      </c>
      <c r="B23" s="1064">
        <v>2007</v>
      </c>
      <c r="C23" s="1064">
        <v>2008</v>
      </c>
      <c r="D23" s="1064">
        <v>2009</v>
      </c>
      <c r="E23" s="1064">
        <v>2010</v>
      </c>
      <c r="F23" s="1064">
        <v>2011</v>
      </c>
      <c r="G23" s="1064">
        <v>2012</v>
      </c>
      <c r="H23" s="1064">
        <v>2013</v>
      </c>
      <c r="I23" s="1064">
        <v>2014</v>
      </c>
      <c r="J23" s="1064">
        <v>2015</v>
      </c>
      <c r="K23" s="1064">
        <v>2016</v>
      </c>
      <c r="L23" s="1064">
        <v>2017</v>
      </c>
      <c r="M23" s="1064">
        <v>2018</v>
      </c>
      <c r="N23" s="1841">
        <v>2019</v>
      </c>
      <c r="O23" s="1074" t="s">
        <v>347</v>
      </c>
    </row>
    <row r="24" spans="1:16" x14ac:dyDescent="0.2">
      <c r="A24" s="4"/>
      <c r="B24" s="1069"/>
      <c r="C24" s="1069"/>
      <c r="D24" s="1069"/>
      <c r="E24" s="1069"/>
      <c r="F24" s="1069"/>
      <c r="G24" s="1069"/>
      <c r="H24" s="1069"/>
      <c r="I24" s="1069"/>
      <c r="J24" s="1069"/>
      <c r="K24" s="1069"/>
      <c r="L24" s="1069"/>
      <c r="M24" s="1069"/>
      <c r="N24" s="1843"/>
      <c r="O24" s="216"/>
    </row>
    <row r="25" spans="1:16" x14ac:dyDescent="0.2">
      <c r="A25" s="1048" t="s">
        <v>833</v>
      </c>
      <c r="B25" s="1065"/>
      <c r="C25" s="1065">
        <f>'8. Incentives- Max'!F129</f>
        <v>177356.2</v>
      </c>
      <c r="D25" s="1065">
        <f>'8. Incentives- Max'!G129</f>
        <v>640589.20000000007</v>
      </c>
      <c r="E25" s="1065">
        <f>'8. Incentives- Max'!H129</f>
        <v>1121518.7362547712</v>
      </c>
      <c r="F25" s="1065">
        <f>'8. Incentives- Max'!I129</f>
        <v>1862396.5857014917</v>
      </c>
      <c r="G25" s="1065">
        <f>'8. Incentives- Max'!J129</f>
        <v>2401552.4066072372</v>
      </c>
      <c r="H25" s="1065">
        <f>'8. Incentives- Max'!K129</f>
        <v>2653423.5196266086</v>
      </c>
      <c r="I25" s="1065">
        <f>'8. Incentives- Max'!L129</f>
        <v>2413031.9406261798</v>
      </c>
      <c r="J25" s="1065">
        <f>'8. Incentives- Max'!M129</f>
        <v>2085982.2043714083</v>
      </c>
      <c r="K25" s="1065">
        <f>'8. Incentives- Max'!N129</f>
        <v>1345104.3834283159</v>
      </c>
      <c r="L25" s="1065">
        <f>'8. Incentives- Max'!O129</f>
        <v>805948.85859879816</v>
      </c>
      <c r="M25" s="1065">
        <f>'8. Incentives- Max'!P129</f>
        <v>376720.75238116737</v>
      </c>
      <c r="N25" s="1065">
        <f>'8. Incentives- Max'!Q129</f>
        <v>153879.80000000002</v>
      </c>
      <c r="O25" s="1144">
        <f>SUM(C25:N25)</f>
        <v>16037504.587595981</v>
      </c>
    </row>
    <row r="26" spans="1:16" ht="13.5" thickBot="1" x14ac:dyDescent="0.25">
      <c r="A26" s="1056" t="s">
        <v>348</v>
      </c>
      <c r="B26" s="1145"/>
      <c r="C26" s="1145">
        <f>'9. Incentives- Est'!F142</f>
        <v>62123</v>
      </c>
      <c r="D26" s="1145">
        <f>'9. Incentives- Est'!G142</f>
        <v>349636.59700575727</v>
      </c>
      <c r="E26" s="1145">
        <f>'9. Incentives- Est'!H142</f>
        <v>844723.1588887301</v>
      </c>
      <c r="F26" s="1145">
        <f>'9. Incentives- Est'!I142</f>
        <v>1518776.8370174181</v>
      </c>
      <c r="G26" s="1145">
        <f>'9. Incentives- Est'!J142</f>
        <v>2112880.0822777301</v>
      </c>
      <c r="H26" s="1145">
        <f>'9. Incentives- Est'!K142</f>
        <v>2443852.1151408926</v>
      </c>
      <c r="I26" s="1145">
        <f>'9. Incentives- Est'!L142</f>
        <v>2329703.8799323398</v>
      </c>
      <c r="J26" s="1145">
        <f>'9. Incentives- Est'!M142</f>
        <v>2017420.6041829046</v>
      </c>
      <c r="K26" s="1145">
        <f>'9. Incentives- Est'!N142</f>
        <v>1345103.7532230569</v>
      </c>
      <c r="L26" s="1145">
        <f>'9. Incentives- Est'!O142</f>
        <v>805948.54093189584</v>
      </c>
      <c r="M26" s="1145">
        <f>'9. Incentives- Est'!P142</f>
        <v>376721.081065537</v>
      </c>
      <c r="N26" s="1145">
        <f>'9. Incentives- Est'!Q142</f>
        <v>153880.4</v>
      </c>
      <c r="O26" s="1146">
        <f>SUM(C26:N26)</f>
        <v>14360770.049666263</v>
      </c>
    </row>
    <row r="27" spans="1:16" s="1050" customFormat="1" x14ac:dyDescent="0.2">
      <c r="A27" s="2204" t="s">
        <v>834</v>
      </c>
      <c r="B27" s="2193"/>
      <c r="C27" s="1147">
        <v>208653</v>
      </c>
      <c r="D27" s="2193"/>
      <c r="E27" s="2193"/>
      <c r="F27" s="2193"/>
      <c r="G27" s="2193"/>
      <c r="H27" s="2193"/>
      <c r="I27" s="2193"/>
      <c r="J27" s="2193"/>
      <c r="K27" s="2193"/>
      <c r="L27" s="2193"/>
      <c r="M27" s="2193"/>
      <c r="N27" s="2194"/>
      <c r="O27" s="2195"/>
    </row>
    <row r="28" spans="1:16" s="1050" customFormat="1" x14ac:dyDescent="0.2">
      <c r="A28" s="2196" t="s">
        <v>1063</v>
      </c>
      <c r="B28" s="2198"/>
      <c r="C28" s="2197">
        <v>132712</v>
      </c>
      <c r="D28" s="2198"/>
      <c r="E28" s="2198"/>
      <c r="F28" s="2198"/>
      <c r="G28" s="2198"/>
      <c r="H28" s="2198"/>
      <c r="I28" s="2198"/>
      <c r="J28" s="2198"/>
      <c r="K28" s="2198"/>
      <c r="L28" s="2198"/>
      <c r="M28" s="2198"/>
      <c r="N28" s="2198"/>
      <c r="O28" s="2199"/>
    </row>
    <row r="29" spans="1:16" s="1050" customFormat="1" ht="13.5" thickBot="1" x14ac:dyDescent="0.25">
      <c r="A29" s="2200" t="s">
        <v>1064</v>
      </c>
      <c r="B29" s="2202"/>
      <c r="C29" s="2201">
        <f>C27-C28</f>
        <v>75941</v>
      </c>
      <c r="D29" s="2202"/>
      <c r="E29" s="2202"/>
      <c r="F29" s="2202"/>
      <c r="G29" s="2202"/>
      <c r="H29" s="2202"/>
      <c r="I29" s="2202"/>
      <c r="J29" s="2202"/>
      <c r="K29" s="2202"/>
      <c r="L29" s="2202"/>
      <c r="M29" s="2202"/>
      <c r="N29" s="2202"/>
      <c r="O29" s="2203"/>
    </row>
    <row r="30" spans="1:16" ht="14.25" thickTop="1" thickBot="1" x14ac:dyDescent="0.25">
      <c r="A30" s="1047"/>
      <c r="O30" s="3"/>
    </row>
    <row r="31" spans="1:16" ht="13.5" thickTop="1" x14ac:dyDescent="0.2">
      <c r="A31" s="289" t="s">
        <v>838</v>
      </c>
      <c r="B31" s="1064">
        <v>2007</v>
      </c>
      <c r="C31" s="1064">
        <v>2008</v>
      </c>
      <c r="D31" s="1064">
        <v>2009</v>
      </c>
      <c r="E31" s="1064">
        <v>2010</v>
      </c>
      <c r="F31" s="1064">
        <v>2011</v>
      </c>
      <c r="G31" s="1064">
        <v>2012</v>
      </c>
      <c r="H31" s="1064">
        <v>2013</v>
      </c>
      <c r="I31" s="1064">
        <v>2014</v>
      </c>
      <c r="J31" s="1064">
        <v>2015</v>
      </c>
      <c r="K31" s="1064">
        <v>2016</v>
      </c>
      <c r="L31" s="1064">
        <v>2017</v>
      </c>
      <c r="M31" s="1064">
        <v>2018</v>
      </c>
      <c r="N31" s="1841">
        <v>2019</v>
      </c>
      <c r="O31" s="1074" t="s">
        <v>347</v>
      </c>
    </row>
    <row r="32" spans="1:16" x14ac:dyDescent="0.2">
      <c r="A32" s="4"/>
      <c r="B32" s="1069"/>
      <c r="C32" s="1069"/>
      <c r="D32" s="1069"/>
      <c r="E32" s="1069"/>
      <c r="F32" s="1069"/>
      <c r="G32" s="1069"/>
      <c r="H32" s="1069"/>
      <c r="I32" s="1069"/>
      <c r="J32" s="1069"/>
      <c r="K32" s="1069"/>
      <c r="L32" s="1069"/>
      <c r="M32" s="1069"/>
      <c r="N32" s="1843"/>
      <c r="O32" s="216"/>
    </row>
    <row r="33" spans="1:16" x14ac:dyDescent="0.2">
      <c r="A33" s="4" t="s">
        <v>436</v>
      </c>
      <c r="B33" s="1069">
        <f>'4. Jobs'!H131</f>
        <v>142</v>
      </c>
      <c r="C33" s="1069">
        <f>'4. Jobs'!I131</f>
        <v>333</v>
      </c>
      <c r="D33" s="1069">
        <f>'4. Jobs'!J131</f>
        <v>293</v>
      </c>
      <c r="E33" s="1069">
        <f>'4. Jobs'!K131</f>
        <v>388</v>
      </c>
      <c r="F33" s="1069">
        <f>'4. Jobs'!L131</f>
        <v>341</v>
      </c>
      <c r="G33" s="1069">
        <f>'4. Jobs'!M131</f>
        <v>240</v>
      </c>
      <c r="H33" s="1069">
        <f>'4. Jobs'!N131</f>
        <v>89</v>
      </c>
      <c r="I33" s="1069">
        <f>'4. Jobs'!O131</f>
        <v>59</v>
      </c>
      <c r="J33" s="1069"/>
      <c r="K33" s="1069"/>
      <c r="L33" s="1069"/>
      <c r="M33" s="1069"/>
      <c r="N33" s="1843"/>
      <c r="O33" s="216">
        <f>SUM(B33:N33)</f>
        <v>1885</v>
      </c>
      <c r="P33">
        <f>'4. Jobs'!$G$131</f>
        <v>1885</v>
      </c>
    </row>
    <row r="34" spans="1:16" x14ac:dyDescent="0.2">
      <c r="A34" s="4" t="s">
        <v>437</v>
      </c>
      <c r="B34" s="1065">
        <f>'5. Payroll'!F130</f>
        <v>4916028</v>
      </c>
      <c r="C34" s="1065">
        <f>'5. Payroll'!G130</f>
        <v>12061247</v>
      </c>
      <c r="D34" s="1065">
        <f>'5. Payroll'!H130</f>
        <v>14383365</v>
      </c>
      <c r="E34" s="1065">
        <f>'5. Payroll'!I130</f>
        <v>18274729</v>
      </c>
      <c r="F34" s="1065">
        <f>'5. Payroll'!J130</f>
        <v>16426175</v>
      </c>
      <c r="G34" s="1065">
        <f>'5. Payroll'!K130</f>
        <v>10927121</v>
      </c>
      <c r="H34" s="1065">
        <f>'5. Payroll'!L130</f>
        <v>4805359</v>
      </c>
      <c r="I34" s="1065">
        <f>'5. Payroll'!M130</f>
        <v>2230072</v>
      </c>
      <c r="J34" s="1065"/>
      <c r="K34" s="1065"/>
      <c r="L34" s="1065"/>
      <c r="M34" s="1065"/>
      <c r="N34" s="1842"/>
      <c r="O34" s="1144">
        <f>SUM(B34:N34)</f>
        <v>84024096</v>
      </c>
      <c r="P34" s="315">
        <f>'5. Payroll'!$E$130</f>
        <v>84024096</v>
      </c>
    </row>
    <row r="35" spans="1:16" ht="13.5" thickBot="1" x14ac:dyDescent="0.25">
      <c r="A35" s="1056" t="s">
        <v>438</v>
      </c>
      <c r="B35" s="1145">
        <f>'6. Capex'!$H$132</f>
        <v>17295702</v>
      </c>
      <c r="C35" s="1145">
        <f>'6. Capex'!$K$132</f>
        <v>19692891</v>
      </c>
      <c r="D35" s="1145">
        <f>'6. Capex'!$N$132</f>
        <v>26412561</v>
      </c>
      <c r="E35" s="1145">
        <f>'6. Capex'!$Q$132</f>
        <v>38353411</v>
      </c>
      <c r="F35" s="1145">
        <f>'6. Capex'!$T$132</f>
        <v>17607911</v>
      </c>
      <c r="G35" s="1145">
        <f>'6. Capex'!$W$132</f>
        <v>13640789</v>
      </c>
      <c r="H35" s="1145">
        <f>'6. Capex'!$Z$132</f>
        <v>3475680</v>
      </c>
      <c r="I35" s="1145">
        <f>'6. Capex'!$AC$132</f>
        <v>652080</v>
      </c>
      <c r="J35" s="1145"/>
      <c r="K35" s="1145"/>
      <c r="L35" s="1145"/>
      <c r="M35" s="1145"/>
      <c r="N35" s="1844"/>
      <c r="O35" s="1146">
        <f>SUM(B35:N35)</f>
        <v>137131025</v>
      </c>
      <c r="P35" s="315">
        <f>'6. Capex'!$E$132</f>
        <v>137131025</v>
      </c>
    </row>
    <row r="36" spans="1:16" s="1050" customFormat="1" x14ac:dyDescent="0.2">
      <c r="A36" s="1051" t="s">
        <v>839</v>
      </c>
      <c r="B36" s="1079">
        <v>265</v>
      </c>
      <c r="C36" s="1070"/>
      <c r="D36" s="1070"/>
      <c r="E36" s="1070"/>
      <c r="F36" s="1070"/>
      <c r="G36" s="1070"/>
      <c r="H36" s="1070"/>
      <c r="I36" s="1070"/>
      <c r="J36" s="1070"/>
      <c r="K36" s="1070"/>
      <c r="L36" s="1070"/>
      <c r="M36" s="1070"/>
      <c r="N36" s="1845"/>
      <c r="O36" s="1076"/>
    </row>
    <row r="37" spans="1:16" s="1050" customFormat="1" x14ac:dyDescent="0.2">
      <c r="A37" s="1051" t="s">
        <v>840</v>
      </c>
      <c r="B37" s="1147">
        <v>10039054</v>
      </c>
      <c r="C37" s="1070"/>
      <c r="D37" s="1070"/>
      <c r="E37" s="1070"/>
      <c r="F37" s="1070"/>
      <c r="G37" s="1070"/>
      <c r="H37" s="1070"/>
      <c r="I37" s="1070"/>
      <c r="J37" s="1070"/>
      <c r="K37" s="1070"/>
      <c r="L37" s="1070"/>
      <c r="M37" s="1070"/>
      <c r="N37" s="1845"/>
      <c r="O37" s="1076"/>
    </row>
    <row r="38" spans="1:16" s="1050" customFormat="1" ht="13.5" thickBot="1" x14ac:dyDescent="0.25">
      <c r="A38" s="1054" t="s">
        <v>841</v>
      </c>
      <c r="B38" s="1068">
        <v>22546438</v>
      </c>
      <c r="C38" s="1062"/>
      <c r="D38" s="1062"/>
      <c r="E38" s="1062"/>
      <c r="F38" s="1062"/>
      <c r="G38" s="1062"/>
      <c r="H38" s="1062"/>
      <c r="I38" s="1062"/>
      <c r="J38" s="1062"/>
      <c r="K38" s="1062"/>
      <c r="L38" s="1062"/>
      <c r="M38" s="1062"/>
      <c r="N38" s="1840"/>
      <c r="O38" s="1073"/>
    </row>
    <row r="39" spans="1:16" ht="14.25" thickTop="1" thickBot="1" x14ac:dyDescent="0.25">
      <c r="O39" s="3"/>
    </row>
    <row r="40" spans="1:16" ht="13.5" thickTop="1" x14ac:dyDescent="0.2">
      <c r="A40" s="289" t="s">
        <v>480</v>
      </c>
      <c r="B40" s="1064">
        <v>2007</v>
      </c>
      <c r="C40" s="1064">
        <v>2008</v>
      </c>
      <c r="D40" s="1064">
        <v>2009</v>
      </c>
      <c r="E40" s="1064">
        <v>2010</v>
      </c>
      <c r="F40" s="1064">
        <v>2011</v>
      </c>
      <c r="G40" s="1064">
        <v>2012</v>
      </c>
      <c r="H40" s="1064">
        <v>2013</v>
      </c>
      <c r="I40" s="1064">
        <v>2014</v>
      </c>
      <c r="J40" s="1064">
        <v>2015</v>
      </c>
      <c r="K40" s="1064">
        <v>2016</v>
      </c>
      <c r="L40" s="1064">
        <v>2017</v>
      </c>
      <c r="M40" s="1064">
        <v>2018</v>
      </c>
      <c r="N40" s="1841">
        <v>2019</v>
      </c>
      <c r="O40" s="1074" t="s">
        <v>347</v>
      </c>
    </row>
    <row r="41" spans="1:16" x14ac:dyDescent="0.2">
      <c r="A41" s="4" t="s">
        <v>483</v>
      </c>
      <c r="B41" s="1065">
        <v>10000000</v>
      </c>
      <c r="C41" s="1065">
        <v>10000000</v>
      </c>
      <c r="D41" s="1065">
        <v>10000000</v>
      </c>
      <c r="E41" s="1065">
        <v>10000000</v>
      </c>
      <c r="F41" s="1065">
        <v>10000000</v>
      </c>
      <c r="G41" s="1065">
        <v>10000000</v>
      </c>
      <c r="H41" s="1065">
        <v>10000000</v>
      </c>
      <c r="I41" s="1065">
        <v>10000000</v>
      </c>
      <c r="J41" s="1065">
        <v>10000000</v>
      </c>
      <c r="K41" s="1065">
        <v>10000000</v>
      </c>
      <c r="L41" s="1065">
        <v>10000000</v>
      </c>
      <c r="M41" s="1065">
        <v>10000000</v>
      </c>
      <c r="N41" s="1065">
        <v>10000000</v>
      </c>
      <c r="O41" s="216"/>
    </row>
    <row r="42" spans="1:16" x14ac:dyDescent="0.2">
      <c r="A42" s="4" t="s">
        <v>379</v>
      </c>
      <c r="B42" s="1065">
        <f>'8. Incentives- Max'!$E$131</f>
        <v>4457260</v>
      </c>
      <c r="C42" s="1065">
        <f>'8. Incentives- Max'!$E$132</f>
        <v>1127404.5998236025</v>
      </c>
      <c r="D42" s="1065">
        <f>'8. Incentives- Max'!$E$133</f>
        <v>5539092.5256326934</v>
      </c>
      <c r="E42" s="1065">
        <f>'8. Incentives- Max'!$E$134</f>
        <v>4913747.4621396838</v>
      </c>
      <c r="F42" s="1065"/>
      <c r="G42" s="1065"/>
      <c r="H42" s="1065"/>
      <c r="I42" s="1065"/>
      <c r="J42" s="1065"/>
      <c r="K42" s="1065"/>
      <c r="L42" s="1065"/>
      <c r="M42" s="1065"/>
      <c r="N42" s="1842"/>
      <c r="O42" s="1077">
        <f>SUM(B42:N42)</f>
        <v>16037504.587595981</v>
      </c>
      <c r="P42" s="315">
        <f>'8. Incentives- Max'!$E$135</f>
        <v>16037504.587595981</v>
      </c>
    </row>
    <row r="43" spans="1:16" ht="13.5" thickBot="1" x14ac:dyDescent="0.25">
      <c r="A43" s="290" t="s">
        <v>484</v>
      </c>
      <c r="B43" s="1071">
        <f>B41-B42</f>
        <v>5542740</v>
      </c>
      <c r="C43" s="1072">
        <f>C41-C42</f>
        <v>8872595.4001763985</v>
      </c>
      <c r="D43" s="1072">
        <f>D41-D42</f>
        <v>4460907.4743673066</v>
      </c>
      <c r="E43" s="1072">
        <f>E41-E42</f>
        <v>5086252.5378603162</v>
      </c>
      <c r="F43" s="1072"/>
      <c r="G43" s="1072"/>
      <c r="H43" s="1072"/>
      <c r="I43" s="1072" t="s">
        <v>439</v>
      </c>
      <c r="J43" s="1072"/>
      <c r="K43" s="1072"/>
      <c r="L43" s="1072"/>
      <c r="M43" s="1072"/>
      <c r="N43" s="1846"/>
      <c r="O43" s="1078"/>
    </row>
    <row r="44" spans="1:16" ht="14.25" thickTop="1" thickBot="1" x14ac:dyDescent="0.25">
      <c r="O44" s="3"/>
    </row>
    <row r="45" spans="1:16" ht="13.5" thickTop="1" x14ac:dyDescent="0.2">
      <c r="A45" s="289" t="s">
        <v>481</v>
      </c>
      <c r="B45" s="1064">
        <v>2007</v>
      </c>
      <c r="C45" s="1064">
        <v>2008</v>
      </c>
      <c r="D45" s="1064">
        <v>2009</v>
      </c>
      <c r="E45" s="1064">
        <v>2010</v>
      </c>
      <c r="F45" s="1064">
        <v>2011</v>
      </c>
      <c r="G45" s="1064">
        <v>2012</v>
      </c>
      <c r="H45" s="1064">
        <v>2013</v>
      </c>
      <c r="I45" s="1064">
        <v>2014</v>
      </c>
      <c r="J45" s="1064">
        <v>2015</v>
      </c>
      <c r="K45" s="1064">
        <v>2016</v>
      </c>
      <c r="L45" s="1064">
        <v>2017</v>
      </c>
      <c r="M45" s="1064">
        <v>2018</v>
      </c>
      <c r="N45" s="1841">
        <v>2019</v>
      </c>
      <c r="O45" s="1074" t="s">
        <v>347</v>
      </c>
    </row>
    <row r="46" spans="1:16" x14ac:dyDescent="0.2">
      <c r="A46" s="4" t="s">
        <v>485</v>
      </c>
      <c r="B46" s="1065">
        <v>1000000</v>
      </c>
      <c r="C46" s="1065">
        <v>1000000</v>
      </c>
      <c r="D46" s="1065">
        <v>1000000</v>
      </c>
      <c r="E46" s="1065">
        <v>1000000</v>
      </c>
      <c r="F46" s="1065">
        <v>1000000</v>
      </c>
      <c r="G46" s="1065">
        <v>1000000</v>
      </c>
      <c r="H46" s="1065">
        <v>1000000</v>
      </c>
      <c r="I46" s="1065">
        <v>1000000</v>
      </c>
      <c r="J46" s="1065">
        <v>1000000</v>
      </c>
      <c r="K46" s="1065">
        <v>1000000</v>
      </c>
      <c r="L46" s="1065">
        <v>1000000</v>
      </c>
      <c r="M46" s="1065">
        <v>1000000</v>
      </c>
      <c r="N46" s="1065">
        <v>1000000</v>
      </c>
      <c r="O46" s="1143"/>
    </row>
    <row r="47" spans="1:16" x14ac:dyDescent="0.2">
      <c r="A47" s="4" t="s">
        <v>482</v>
      </c>
      <c r="B47" s="1065">
        <v>0</v>
      </c>
      <c r="C47" s="1065">
        <v>0</v>
      </c>
      <c r="D47" s="1065">
        <v>0</v>
      </c>
      <c r="E47" s="1065">
        <v>0</v>
      </c>
      <c r="F47" s="1065"/>
      <c r="G47" s="1065"/>
      <c r="H47" s="1065"/>
      <c r="I47" s="1065"/>
      <c r="J47" s="1065"/>
      <c r="K47" s="1065"/>
      <c r="L47" s="1065"/>
      <c r="M47" s="1142"/>
      <c r="N47" s="1847"/>
      <c r="O47" s="1143">
        <f>SUM(B47:L47)</f>
        <v>0</v>
      </c>
    </row>
    <row r="48" spans="1:16" ht="13.5" thickBot="1" x14ac:dyDescent="0.25">
      <c r="A48" s="290" t="s">
        <v>486</v>
      </c>
      <c r="B48" s="1071">
        <f>B46-B47</f>
        <v>1000000</v>
      </c>
      <c r="C48" s="1072">
        <f>C46-C47</f>
        <v>1000000</v>
      </c>
      <c r="D48" s="1072">
        <f>D46-D47</f>
        <v>1000000</v>
      </c>
      <c r="E48" s="1072">
        <f>E46-E47</f>
        <v>1000000</v>
      </c>
      <c r="F48" s="1072"/>
      <c r="G48" s="1072"/>
      <c r="H48" s="1072"/>
      <c r="I48" s="1072" t="s">
        <v>439</v>
      </c>
      <c r="J48" s="1072"/>
      <c r="K48" s="1072"/>
      <c r="L48" s="1072"/>
      <c r="M48" s="1148"/>
      <c r="N48" s="1848"/>
      <c r="O48" s="1149"/>
    </row>
    <row r="49" ht="13.5" thickTop="1" x14ac:dyDescent="0.2"/>
  </sheetData>
  <mergeCells count="1">
    <mergeCell ref="A1:O2"/>
  </mergeCells>
  <phoneticPr fontId="9" type="noConversion"/>
  <printOptions gridLines="1"/>
  <pageMargins left="0.75" right="0.75" top="1" bottom="1" header="0.5" footer="0.5"/>
  <pageSetup paperSize="17" scale="7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3:J19"/>
  <sheetViews>
    <sheetView workbookViewId="0"/>
  </sheetViews>
  <sheetFormatPr defaultRowHeight="12.75" x14ac:dyDescent="0.2"/>
  <cols>
    <col min="3" max="3" width="11" customWidth="1"/>
    <col min="4" max="4" width="11.28515625" customWidth="1"/>
    <col min="5" max="5" width="12.42578125" customWidth="1"/>
    <col min="6" max="6" width="10.7109375" customWidth="1"/>
    <col min="8" max="8" width="13.42578125" customWidth="1"/>
    <col min="9" max="9" width="9.140625" customWidth="1"/>
    <col min="10" max="10" width="12.28515625" bestFit="1" customWidth="1"/>
  </cols>
  <sheetData>
    <row r="3" spans="1:10" x14ac:dyDescent="0.2">
      <c r="A3" s="413" t="s">
        <v>1325</v>
      </c>
    </row>
    <row r="4" spans="1:10" x14ac:dyDescent="0.2">
      <c r="C4" s="413" t="s">
        <v>1318</v>
      </c>
      <c r="D4" s="413" t="s">
        <v>1319</v>
      </c>
      <c r="E4" s="413" t="s">
        <v>1320</v>
      </c>
      <c r="F4" s="413" t="s">
        <v>1321</v>
      </c>
      <c r="G4" s="413" t="s">
        <v>78</v>
      </c>
      <c r="H4" s="413" t="s">
        <v>1323</v>
      </c>
      <c r="I4" s="413" t="s">
        <v>1324</v>
      </c>
      <c r="J4" s="413" t="s">
        <v>1322</v>
      </c>
    </row>
    <row r="5" spans="1:10" ht="15" x14ac:dyDescent="0.25">
      <c r="A5">
        <v>2007</v>
      </c>
      <c r="B5" s="413" t="s">
        <v>129</v>
      </c>
      <c r="C5">
        <f>'Year 2007'!$T$4</f>
        <v>53718</v>
      </c>
      <c r="D5">
        <v>3375508</v>
      </c>
      <c r="E5">
        <v>1012505</v>
      </c>
      <c r="F5">
        <f>D5-E5</f>
        <v>2363003</v>
      </c>
      <c r="G5" s="2715">
        <v>0.26176752014367277</v>
      </c>
      <c r="H5" s="2713">
        <f>F5*G5</f>
        <v>618557.43540205923</v>
      </c>
      <c r="I5" s="2716">
        <f>H5/5</f>
        <v>123711.48708041184</v>
      </c>
      <c r="J5" s="2713">
        <f>(I5*4)+C5</f>
        <v>548563.94832164736</v>
      </c>
    </row>
    <row r="6" spans="1:10" x14ac:dyDescent="0.2">
      <c r="B6" s="413" t="s">
        <v>1317</v>
      </c>
      <c r="C6">
        <f>'Year 2007'!$T$7</f>
        <v>9418</v>
      </c>
      <c r="D6">
        <f>'Actuals Summary'!$I$22</f>
        <v>841222</v>
      </c>
      <c r="E6">
        <f>'Actuals Summary'!$I$42</f>
        <v>24035</v>
      </c>
      <c r="F6">
        <f>D6-E6</f>
        <v>817187</v>
      </c>
      <c r="G6" s="2">
        <f>'Actuals Summary'!$I$44</f>
        <v>0.28900707158771677</v>
      </c>
      <c r="H6" s="2713">
        <f>F6*G6</f>
        <v>236172.8218095515</v>
      </c>
      <c r="I6" s="2716">
        <f>H6/5</f>
        <v>47234.564361910299</v>
      </c>
      <c r="J6" s="2713">
        <f>(I6*4)+C6</f>
        <v>198356.2574476412</v>
      </c>
    </row>
    <row r="7" spans="1:10" x14ac:dyDescent="0.2">
      <c r="B7" s="413" t="s">
        <v>128</v>
      </c>
      <c r="C7">
        <f>'Year 2007'!$T$9</f>
        <v>12904</v>
      </c>
      <c r="D7">
        <f>'Actuals Summary'!$G$29</f>
        <v>329280</v>
      </c>
      <c r="E7">
        <f>'Actuals Summary'!$G$42</f>
        <v>7903</v>
      </c>
      <c r="F7">
        <f>D7-E7</f>
        <v>321377</v>
      </c>
      <c r="G7" s="2">
        <f>'Actuals Summary'!$G$44</f>
        <v>0.24127370012795166</v>
      </c>
      <c r="H7" s="2713">
        <f>F7*G7</f>
        <v>77539.817926020725</v>
      </c>
      <c r="I7" s="2716">
        <f>H7/5</f>
        <v>15507.963585204145</v>
      </c>
      <c r="J7" s="2713">
        <f>(I7*4)+C7</f>
        <v>74935.854340816586</v>
      </c>
    </row>
    <row r="8" spans="1:10" x14ac:dyDescent="0.2">
      <c r="J8" s="2713">
        <f>SUM(J5:J7)</f>
        <v>821856.0601101052</v>
      </c>
    </row>
    <row r="9" spans="1:10" x14ac:dyDescent="0.2">
      <c r="D9" s="413" t="s">
        <v>1326</v>
      </c>
      <c r="E9" s="413" t="s">
        <v>1327</v>
      </c>
    </row>
    <row r="10" spans="1:10" ht="15" x14ac:dyDescent="0.25">
      <c r="A10">
        <v>2008</v>
      </c>
      <c r="B10" s="413" t="s">
        <v>129</v>
      </c>
      <c r="C10">
        <v>0</v>
      </c>
      <c r="D10">
        <v>0</v>
      </c>
      <c r="E10">
        <v>0</v>
      </c>
      <c r="F10">
        <f>D10-E10</f>
        <v>0</v>
      </c>
      <c r="G10" s="2715">
        <v>0.26176752014367277</v>
      </c>
      <c r="H10" s="2713">
        <f>F10*G10</f>
        <v>0</v>
      </c>
      <c r="I10" s="2716">
        <f>H10/5</f>
        <v>0</v>
      </c>
      <c r="J10" s="2713">
        <f>(I10*4)+C10</f>
        <v>0</v>
      </c>
    </row>
    <row r="11" spans="1:10" x14ac:dyDescent="0.2">
      <c r="B11" s="413" t="s">
        <v>1317</v>
      </c>
      <c r="C11">
        <v>0</v>
      </c>
      <c r="D11">
        <v>0</v>
      </c>
      <c r="E11">
        <v>0</v>
      </c>
      <c r="F11">
        <f>D11-E11</f>
        <v>0</v>
      </c>
      <c r="G11" s="2">
        <f>'Actuals Summary'!$I$44</f>
        <v>0.28900707158771677</v>
      </c>
      <c r="H11" s="2713">
        <f>F11*G11</f>
        <v>0</v>
      </c>
      <c r="I11" s="2716">
        <f>H11/5</f>
        <v>0</v>
      </c>
      <c r="J11" s="2713">
        <f>(I11*4)+C11</f>
        <v>0</v>
      </c>
    </row>
    <row r="12" spans="1:10" x14ac:dyDescent="0.2">
      <c r="B12" s="413" t="s">
        <v>128</v>
      </c>
      <c r="C12">
        <f>'Year 2008'!$AH$9</f>
        <v>4817</v>
      </c>
      <c r="D12">
        <v>107840</v>
      </c>
      <c r="E12">
        <f>'Actuals Summary'!$G$42</f>
        <v>7903</v>
      </c>
      <c r="F12">
        <f>D12-E12</f>
        <v>99937</v>
      </c>
      <c r="G12" s="2">
        <f>'Actuals Summary'!$G$44</f>
        <v>0.24127370012795166</v>
      </c>
      <c r="H12" s="2713">
        <f>F12*G12</f>
        <v>24112.169769687105</v>
      </c>
      <c r="I12" s="2716">
        <f>H12/5</f>
        <v>4822.4339539374214</v>
      </c>
      <c r="J12" s="2713">
        <f>(I12*4)+C12</f>
        <v>24106.735815749686</v>
      </c>
    </row>
    <row r="13" spans="1:10" x14ac:dyDescent="0.2">
      <c r="J13" s="2713">
        <f>SUM(J10:J12)</f>
        <v>24106.735815749686</v>
      </c>
    </row>
    <row r="14" spans="1:10" x14ac:dyDescent="0.2">
      <c r="A14" s="413" t="s">
        <v>1328</v>
      </c>
    </row>
    <row r="16" spans="1:10" x14ac:dyDescent="0.2">
      <c r="A16">
        <v>2008</v>
      </c>
      <c r="B16" s="413" t="s">
        <v>531</v>
      </c>
      <c r="C16">
        <f>'Year 2008'!$AF$15</f>
        <v>21924</v>
      </c>
      <c r="D16" s="2718">
        <v>1065837</v>
      </c>
      <c r="E16" s="1849">
        <v>94811.330717423465</v>
      </c>
      <c r="F16" s="1849">
        <f>D16-E16</f>
        <v>971025.66928257653</v>
      </c>
      <c r="G16" s="2719">
        <v>0.21299999999999999</v>
      </c>
      <c r="H16" s="1849">
        <f>F16*G16</f>
        <v>206828.46755718879</v>
      </c>
      <c r="I16" s="1849">
        <f>H16/5</f>
        <v>41365.693511437756</v>
      </c>
      <c r="J16" s="1849">
        <f>(I16*4)+C16</f>
        <v>187386.77404575102</v>
      </c>
    </row>
    <row r="17" spans="2:10" x14ac:dyDescent="0.2">
      <c r="B17" s="413" t="s">
        <v>569</v>
      </c>
      <c r="C17" s="1849">
        <f>'Year 2008'!$AF$14</f>
        <v>11565</v>
      </c>
      <c r="D17" s="1849">
        <v>820000</v>
      </c>
      <c r="E17" s="1849">
        <v>57036.174857983831</v>
      </c>
      <c r="F17" s="1849">
        <f>D17-E17</f>
        <v>762963.82514201617</v>
      </c>
      <c r="G17" s="2719">
        <v>0.24585637426900586</v>
      </c>
      <c r="H17" s="1849">
        <f>F17*G17</f>
        <v>187579.51974782787</v>
      </c>
      <c r="I17" s="1849">
        <f>H17/5</f>
        <v>37515.903949565574</v>
      </c>
      <c r="J17" s="1849">
        <f>(I17*4)+C17</f>
        <v>161628.6157982623</v>
      </c>
    </row>
    <row r="18" spans="2:10" x14ac:dyDescent="0.2">
      <c r="J18" s="1849">
        <f>SUM(J16:J17)</f>
        <v>349015.38984401332</v>
      </c>
    </row>
    <row r="19" spans="2:10" x14ac:dyDescent="0.2">
      <c r="F19" s="2717"/>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S25"/>
  <sheetViews>
    <sheetView tabSelected="1" workbookViewId="0">
      <selection sqref="A1:B1"/>
    </sheetView>
  </sheetViews>
  <sheetFormatPr defaultRowHeight="12.75" x14ac:dyDescent="0.2"/>
  <cols>
    <col min="1" max="1" width="4.85546875" customWidth="1"/>
    <col min="2" max="2" width="125.42578125" customWidth="1"/>
  </cols>
  <sheetData>
    <row r="1" spans="1:19" ht="27" customHeight="1" thickBot="1" x14ac:dyDescent="0.25">
      <c r="A1" s="4355" t="s">
        <v>1688</v>
      </c>
      <c r="B1" s="4356"/>
      <c r="C1" s="3778"/>
      <c r="D1" s="3778"/>
      <c r="E1" s="3778"/>
      <c r="F1" s="3778"/>
      <c r="G1" s="3778"/>
      <c r="H1" s="3778"/>
      <c r="I1" s="3778"/>
      <c r="J1" s="3778"/>
      <c r="K1" s="3778"/>
      <c r="L1" s="3778"/>
      <c r="M1" s="3778"/>
      <c r="N1" s="3778"/>
      <c r="O1" s="3778"/>
      <c r="P1" s="3778"/>
      <c r="Q1" s="3778"/>
      <c r="R1" s="3778"/>
      <c r="S1" s="3779"/>
    </row>
    <row r="2" spans="1:19" ht="46.5" customHeight="1" x14ac:dyDescent="0.2">
      <c r="A2" s="3780">
        <v>1</v>
      </c>
      <c r="B2" s="3781" t="s">
        <v>1577</v>
      </c>
    </row>
    <row r="3" spans="1:19" ht="94.5" customHeight="1" x14ac:dyDescent="0.2">
      <c r="A3" s="3272" t="s">
        <v>1378</v>
      </c>
      <c r="B3" s="3273" t="s">
        <v>1697</v>
      </c>
      <c r="C3" s="2223"/>
      <c r="D3" s="2223"/>
      <c r="E3" s="2223"/>
      <c r="F3" s="2223"/>
      <c r="G3" s="2223"/>
    </row>
    <row r="4" spans="1:19" ht="101.25" customHeight="1" x14ac:dyDescent="0.2">
      <c r="A4" s="3272" t="s">
        <v>1410</v>
      </c>
      <c r="B4" s="3273" t="s">
        <v>1698</v>
      </c>
      <c r="C4" s="2223"/>
      <c r="D4" s="2223"/>
      <c r="E4" s="2223"/>
      <c r="F4" s="2223"/>
      <c r="G4" s="3159"/>
    </row>
    <row r="5" spans="1:19" ht="33" customHeight="1" x14ac:dyDescent="0.2">
      <c r="A5" s="3272" t="s">
        <v>1411</v>
      </c>
      <c r="B5" s="3274" t="s">
        <v>1578</v>
      </c>
      <c r="C5" s="2223"/>
      <c r="D5" s="2223"/>
      <c r="E5" s="2223"/>
      <c r="F5" s="2223"/>
      <c r="G5" s="3159"/>
    </row>
    <row r="6" spans="1:19" ht="49.5" customHeight="1" x14ac:dyDescent="0.2">
      <c r="A6" s="3272" t="s">
        <v>1412</v>
      </c>
      <c r="B6" s="3273" t="s">
        <v>1687</v>
      </c>
      <c r="C6" s="2223"/>
      <c r="D6" s="2223"/>
      <c r="E6" s="2223"/>
      <c r="F6" s="3159"/>
      <c r="G6" s="3159"/>
    </row>
    <row r="7" spans="1:19" ht="48.75" customHeight="1" x14ac:dyDescent="0.2">
      <c r="A7" s="3272" t="s">
        <v>1502</v>
      </c>
      <c r="B7" s="3274" t="s">
        <v>1505</v>
      </c>
      <c r="C7" s="2223"/>
      <c r="D7" s="2223"/>
      <c r="E7" s="2223"/>
      <c r="F7" s="3159"/>
      <c r="G7" s="3159"/>
    </row>
    <row r="8" spans="1:19" ht="48.75" customHeight="1" x14ac:dyDescent="0.2">
      <c r="A8" s="3272" t="s">
        <v>1503</v>
      </c>
      <c r="B8" s="3274" t="s">
        <v>1113</v>
      </c>
      <c r="C8" s="2223"/>
      <c r="D8" s="2223"/>
      <c r="E8" s="2223"/>
      <c r="F8" s="3159"/>
      <c r="G8" s="1877"/>
    </row>
    <row r="9" spans="1:19" ht="50.25" customHeight="1" x14ac:dyDescent="0.2">
      <c r="A9" s="3272" t="s">
        <v>1414</v>
      </c>
      <c r="B9" s="3274" t="s">
        <v>1421</v>
      </c>
      <c r="C9" s="2223"/>
      <c r="D9" s="2223"/>
      <c r="E9" s="2223"/>
      <c r="F9" s="3160"/>
      <c r="G9" s="2223"/>
    </row>
    <row r="10" spans="1:19" ht="83.25" customHeight="1" x14ac:dyDescent="0.2">
      <c r="A10" s="3272" t="s">
        <v>1415</v>
      </c>
      <c r="B10" s="3274" t="s">
        <v>1579</v>
      </c>
      <c r="C10" s="2223"/>
      <c r="D10" s="2223"/>
      <c r="E10" s="2223"/>
      <c r="F10" s="3159"/>
      <c r="G10" s="2223"/>
    </row>
    <row r="11" spans="1:19" ht="52.5" customHeight="1" thickBot="1" x14ac:dyDescent="0.25">
      <c r="A11" s="3272" t="s">
        <v>1416</v>
      </c>
      <c r="B11" s="3274" t="s">
        <v>1349</v>
      </c>
      <c r="C11" s="2223"/>
      <c r="D11" s="2223"/>
      <c r="E11" s="2223"/>
      <c r="F11" s="2223"/>
      <c r="G11" s="2223"/>
    </row>
    <row r="12" spans="1:19" ht="27" customHeight="1" thickBot="1" x14ac:dyDescent="0.25">
      <c r="A12" s="4355" t="s">
        <v>1688</v>
      </c>
      <c r="B12" s="4356"/>
      <c r="C12" s="3778"/>
      <c r="D12" s="3778"/>
      <c r="E12" s="3778"/>
      <c r="F12" s="3778"/>
      <c r="G12" s="3778"/>
      <c r="H12" s="3778"/>
      <c r="I12" s="3778"/>
      <c r="J12" s="3778"/>
      <c r="K12" s="3778"/>
      <c r="L12" s="3778"/>
      <c r="M12" s="3778"/>
      <c r="N12" s="3778"/>
      <c r="O12" s="3778"/>
      <c r="P12" s="3778"/>
      <c r="Q12" s="3778"/>
      <c r="R12" s="3778"/>
      <c r="S12" s="3779"/>
    </row>
    <row r="13" spans="1:19" ht="106.5" customHeight="1" x14ac:dyDescent="0.2">
      <c r="A13" s="3272" t="s">
        <v>1417</v>
      </c>
      <c r="B13" s="3274" t="s">
        <v>1330</v>
      </c>
      <c r="C13" s="2223"/>
      <c r="D13" s="2223"/>
      <c r="E13" s="2223"/>
      <c r="F13" s="2223"/>
      <c r="G13" s="2223"/>
    </row>
    <row r="14" spans="1:19" ht="48.75" customHeight="1" x14ac:dyDescent="0.2">
      <c r="A14" s="3272" t="s">
        <v>1418</v>
      </c>
      <c r="B14" s="3274" t="s">
        <v>1580</v>
      </c>
      <c r="C14" s="2223"/>
      <c r="D14" s="2223"/>
      <c r="E14" s="2223"/>
      <c r="F14" s="2223"/>
      <c r="G14" s="2223"/>
    </row>
    <row r="15" spans="1:19" ht="45.75" customHeight="1" x14ac:dyDescent="0.2">
      <c r="A15" s="3275" t="s">
        <v>1379</v>
      </c>
      <c r="B15" s="3276" t="s">
        <v>1331</v>
      </c>
      <c r="C15" s="2223"/>
      <c r="D15" s="2223"/>
      <c r="E15" s="2223"/>
      <c r="F15" s="2223"/>
      <c r="G15" s="2223"/>
    </row>
    <row r="16" spans="1:19" ht="105" x14ac:dyDescent="0.2">
      <c r="A16" s="3275" t="s">
        <v>1419</v>
      </c>
      <c r="B16" s="3276" t="s">
        <v>1535</v>
      </c>
      <c r="C16" s="2223"/>
      <c r="D16" s="2223"/>
      <c r="E16" s="2223"/>
      <c r="F16" s="2223"/>
      <c r="G16" s="2223"/>
    </row>
    <row r="17" spans="1:7" ht="44.25" customHeight="1" x14ac:dyDescent="0.2">
      <c r="A17" s="3275" t="s">
        <v>1504</v>
      </c>
      <c r="B17" s="3276" t="s">
        <v>1696</v>
      </c>
      <c r="C17" s="2223"/>
      <c r="D17" s="2223"/>
      <c r="E17" s="2223"/>
      <c r="F17" s="2223"/>
      <c r="G17" s="2223"/>
    </row>
    <row r="18" spans="1:7" ht="60" customHeight="1" x14ac:dyDescent="0.2">
      <c r="A18" s="3750" t="s">
        <v>1667</v>
      </c>
      <c r="B18" s="3276" t="s">
        <v>1699</v>
      </c>
      <c r="C18" s="2223"/>
      <c r="D18" s="2223"/>
      <c r="E18" s="2223"/>
      <c r="F18" s="2223"/>
      <c r="G18" s="2223"/>
    </row>
    <row r="19" spans="1:7" ht="32.25" customHeight="1" thickBot="1" x14ac:dyDescent="0.25">
      <c r="A19" s="3531">
        <v>17</v>
      </c>
      <c r="B19" s="3530" t="s">
        <v>1708</v>
      </c>
      <c r="C19" s="2223"/>
      <c r="D19" s="2223"/>
      <c r="E19" s="2223"/>
      <c r="F19" s="2223"/>
      <c r="G19" s="2223"/>
    </row>
    <row r="20" spans="1:7" ht="15.75" thickTop="1" x14ac:dyDescent="0.2">
      <c r="A20" s="2223"/>
      <c r="B20" s="2223"/>
      <c r="C20" s="2223"/>
      <c r="D20" s="2223"/>
      <c r="E20" s="2223"/>
      <c r="F20" s="2223"/>
      <c r="G20" s="2223"/>
    </row>
    <row r="21" spans="1:7" ht="15" x14ac:dyDescent="0.2">
      <c r="A21" s="2223"/>
      <c r="B21" s="2223"/>
      <c r="C21" s="2223"/>
      <c r="D21" s="2223"/>
      <c r="E21" s="2223"/>
      <c r="F21" s="2223"/>
      <c r="G21" s="2223"/>
    </row>
    <row r="22" spans="1:7" ht="15" x14ac:dyDescent="0.2">
      <c r="A22" s="2223"/>
      <c r="B22" s="2223"/>
      <c r="C22" s="2223"/>
      <c r="D22" s="2223"/>
      <c r="E22" s="2223"/>
      <c r="F22" s="2223"/>
      <c r="G22" s="2223"/>
    </row>
    <row r="23" spans="1:7" ht="15" x14ac:dyDescent="0.2">
      <c r="A23" s="2223"/>
      <c r="B23" s="2223"/>
      <c r="C23" s="2223"/>
      <c r="D23" s="2223"/>
      <c r="E23" s="2223"/>
      <c r="F23" s="2223"/>
      <c r="G23" s="2223"/>
    </row>
    <row r="24" spans="1:7" ht="15" x14ac:dyDescent="0.2">
      <c r="A24" s="2223"/>
      <c r="B24" s="2223"/>
      <c r="C24" s="2223"/>
      <c r="D24" s="2223"/>
      <c r="E24" s="2223"/>
      <c r="F24" s="2223"/>
      <c r="G24" s="2223"/>
    </row>
    <row r="25" spans="1:7" ht="15" x14ac:dyDescent="0.2">
      <c r="A25" s="2223"/>
      <c r="B25" s="2223"/>
      <c r="C25" s="2223"/>
      <c r="D25" s="2223"/>
      <c r="E25" s="2223"/>
      <c r="F25" s="2223"/>
      <c r="G25" s="2223"/>
    </row>
  </sheetData>
  <mergeCells count="2">
    <mergeCell ref="A1:B1"/>
    <mergeCell ref="A12:B12"/>
  </mergeCells>
  <pageMargins left="0.7" right="0.7" top="0.75" bottom="0.75" header="0.3" footer="0.3"/>
  <pageSetup scale="74" orientation="landscape" r:id="rId1"/>
  <ignoredErrors>
    <ignoredError sqref="A13:A17 A3:A11"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sheetPr>
  <dimension ref="A1:W42"/>
  <sheetViews>
    <sheetView workbookViewId="0">
      <selection sqref="A1:U2"/>
    </sheetView>
  </sheetViews>
  <sheetFormatPr defaultColWidth="9.140625" defaultRowHeight="15.75" x14ac:dyDescent="0.25"/>
  <cols>
    <col min="1" max="1" width="5" style="2229" customWidth="1"/>
    <col min="2" max="2" width="26.85546875" style="2229" customWidth="1"/>
    <col min="3" max="3" width="7.5703125" style="2229" customWidth="1"/>
    <col min="4" max="4" width="11.140625" style="2229" customWidth="1"/>
    <col min="5" max="5" width="7.140625" style="2229" customWidth="1"/>
    <col min="6" max="6" width="10.85546875" style="2229" customWidth="1"/>
    <col min="7" max="7" width="10.5703125" style="2229" customWidth="1"/>
    <col min="8" max="8" width="4.7109375" style="2363" customWidth="1"/>
    <col min="9" max="9" width="4.85546875" style="2229" customWidth="1"/>
    <col min="10" max="10" width="6.28515625" style="2229" customWidth="1"/>
    <col min="11" max="11" width="11" style="2229" customWidth="1"/>
    <col min="12" max="13" width="9.42578125" style="2229" customWidth="1"/>
    <col min="14" max="15" width="5.5703125" style="2229" customWidth="1"/>
    <col min="16" max="16" width="4" style="2229" customWidth="1"/>
    <col min="17" max="17" width="4.42578125" style="2229" customWidth="1"/>
    <col min="18" max="18" width="6.7109375" style="2229" customWidth="1"/>
    <col min="19" max="19" width="5.85546875" style="2229" customWidth="1"/>
    <col min="20" max="20" width="9.42578125" style="2229" customWidth="1"/>
    <col min="21" max="21" width="12.28515625" style="2229" customWidth="1"/>
    <col min="22" max="22" width="7.140625" style="2229" customWidth="1"/>
    <col min="23" max="16384" width="9.140625" style="2229"/>
  </cols>
  <sheetData>
    <row r="1" spans="1:23" ht="18" x14ac:dyDescent="0.25">
      <c r="A1" s="4357" t="s">
        <v>1136</v>
      </c>
      <c r="B1" s="4357"/>
      <c r="C1" s="4357"/>
      <c r="D1" s="4357"/>
      <c r="E1" s="4357"/>
      <c r="F1" s="4357"/>
      <c r="G1" s="4357"/>
      <c r="H1" s="4357"/>
      <c r="I1" s="4357"/>
      <c r="J1" s="4357"/>
      <c r="K1" s="4357"/>
      <c r="L1" s="4357"/>
      <c r="M1" s="4357"/>
      <c r="N1" s="4357"/>
      <c r="O1" s="4357"/>
      <c r="P1" s="4357"/>
      <c r="Q1" s="4357"/>
      <c r="R1" s="4357"/>
      <c r="S1" s="4357"/>
      <c r="T1" s="4357"/>
      <c r="U1" s="4357"/>
      <c r="V1" s="2227"/>
      <c r="W1" s="2228"/>
    </row>
    <row r="2" spans="1:23" ht="14.25" customHeight="1" x14ac:dyDescent="0.25">
      <c r="A2" s="4358"/>
      <c r="B2" s="4358"/>
      <c r="C2" s="4358"/>
      <c r="D2" s="4358"/>
      <c r="E2" s="4358"/>
      <c r="F2" s="4358"/>
      <c r="G2" s="4358"/>
      <c r="H2" s="4358"/>
      <c r="I2" s="4358"/>
      <c r="J2" s="4358"/>
      <c r="K2" s="4358"/>
      <c r="L2" s="4358"/>
      <c r="M2" s="4358"/>
      <c r="N2" s="4358"/>
      <c r="O2" s="4358"/>
      <c r="P2" s="4358"/>
      <c r="Q2" s="4358"/>
      <c r="R2" s="4358"/>
      <c r="S2" s="4358"/>
      <c r="T2" s="4358"/>
      <c r="U2" s="4358"/>
      <c r="V2" s="2230"/>
      <c r="W2" s="2228"/>
    </row>
    <row r="3" spans="1:23" ht="141" customHeight="1" thickBot="1" x14ac:dyDescent="0.3">
      <c r="A3" s="2231" t="s">
        <v>457</v>
      </c>
      <c r="B3" s="2232" t="s">
        <v>1137</v>
      </c>
      <c r="C3" s="2233" t="s">
        <v>1138</v>
      </c>
      <c r="D3" s="2234" t="s">
        <v>1139</v>
      </c>
      <c r="E3" s="2235" t="s">
        <v>1140</v>
      </c>
      <c r="F3" s="2236" t="s">
        <v>1141</v>
      </c>
      <c r="G3" s="2237" t="s">
        <v>1142</v>
      </c>
      <c r="H3" s="2238" t="s">
        <v>1143</v>
      </c>
      <c r="I3" s="2238" t="s">
        <v>1144</v>
      </c>
      <c r="J3" s="2238" t="s">
        <v>1145</v>
      </c>
      <c r="K3" s="2239" t="s">
        <v>1146</v>
      </c>
      <c r="L3" s="2239" t="s">
        <v>1147</v>
      </c>
      <c r="M3" s="2240" t="s">
        <v>1148</v>
      </c>
      <c r="N3" s="2239" t="s">
        <v>1149</v>
      </c>
      <c r="O3" s="2239" t="s">
        <v>1150</v>
      </c>
      <c r="P3" s="2239" t="s">
        <v>1151</v>
      </c>
      <c r="Q3" s="2241" t="s">
        <v>1152</v>
      </c>
      <c r="R3" s="2242" t="s">
        <v>1153</v>
      </c>
      <c r="S3" s="2243" t="s">
        <v>1154</v>
      </c>
      <c r="T3" s="2244" t="s">
        <v>1155</v>
      </c>
      <c r="U3" s="2245" t="s">
        <v>1156</v>
      </c>
      <c r="V3" s="2245" t="s">
        <v>1157</v>
      </c>
      <c r="W3" s="2246" t="s">
        <v>1158</v>
      </c>
    </row>
    <row r="4" spans="1:23" x14ac:dyDescent="0.25">
      <c r="A4" s="2247">
        <v>1</v>
      </c>
      <c r="B4" s="2248" t="s">
        <v>121</v>
      </c>
      <c r="C4" s="2249">
        <v>39380</v>
      </c>
      <c r="D4" s="2250">
        <v>37607231.5</v>
      </c>
      <c r="E4" s="2251">
        <v>786</v>
      </c>
      <c r="F4" s="2252">
        <v>25961659</v>
      </c>
      <c r="G4" s="2253">
        <v>28477008.41</v>
      </c>
      <c r="H4" s="2254">
        <v>554</v>
      </c>
      <c r="I4" s="2254">
        <v>594</v>
      </c>
      <c r="J4" s="2255" t="str">
        <f t="shared" ref="J4:J9" si="0">IF(AND(F4&lt;=G4),"Yes","No")</f>
        <v>Yes</v>
      </c>
      <c r="K4" s="2256">
        <v>3375508</v>
      </c>
      <c r="L4" s="2253">
        <v>3520154.0678753383</v>
      </c>
      <c r="M4" s="2257">
        <v>1321822.8999999997</v>
      </c>
      <c r="N4" s="2258">
        <v>101</v>
      </c>
      <c r="O4" s="2259">
        <v>98</v>
      </c>
      <c r="P4" s="2260" t="str">
        <f t="shared" ref="P4:P9" si="1">+IF(O4&gt;=N4, "Yes", "No")</f>
        <v>No</v>
      </c>
      <c r="Q4" s="2261" t="str">
        <f t="shared" ref="Q4:Q9" si="2">+IF(K4&lt;=L4, "Yes", "No")</f>
        <v>Yes</v>
      </c>
      <c r="R4" s="2262" t="s">
        <v>452</v>
      </c>
      <c r="S4" s="2263" t="s">
        <v>452</v>
      </c>
      <c r="T4" s="2264">
        <v>53718</v>
      </c>
      <c r="U4" s="2265" t="s">
        <v>1159</v>
      </c>
      <c r="V4" s="2265">
        <f>COUNTIF(A4:R4,"Yes")</f>
        <v>3</v>
      </c>
      <c r="W4" s="2266" t="s">
        <v>1160</v>
      </c>
    </row>
    <row r="5" spans="1:23" x14ac:dyDescent="0.25">
      <c r="A5" s="2247">
        <v>2</v>
      </c>
      <c r="B5" s="2248" t="s">
        <v>1161</v>
      </c>
      <c r="C5" s="2267">
        <v>39135</v>
      </c>
      <c r="D5" s="2268">
        <v>4136588.37</v>
      </c>
      <c r="E5" s="2269">
        <v>232</v>
      </c>
      <c r="F5" s="2270">
        <v>0</v>
      </c>
      <c r="G5" s="2271">
        <v>3964433</v>
      </c>
      <c r="H5" s="2272">
        <v>0</v>
      </c>
      <c r="I5" s="2272">
        <v>115</v>
      </c>
      <c r="J5" s="2255" t="str">
        <f t="shared" si="0"/>
        <v>Yes</v>
      </c>
      <c r="K5" s="2273">
        <v>3862631</v>
      </c>
      <c r="L5" s="2271">
        <v>3964433</v>
      </c>
      <c r="M5" s="2274">
        <v>3114149.1899999995</v>
      </c>
      <c r="N5" s="2258">
        <v>108</v>
      </c>
      <c r="O5" s="2275">
        <v>115</v>
      </c>
      <c r="P5" s="2276" t="str">
        <f t="shared" si="1"/>
        <v>Yes</v>
      </c>
      <c r="Q5" s="2277" t="str">
        <f t="shared" si="2"/>
        <v>Yes</v>
      </c>
      <c r="R5" s="2278" t="s">
        <v>452</v>
      </c>
      <c r="S5" s="2279" t="s">
        <v>452</v>
      </c>
      <c r="T5" s="2280">
        <v>132613</v>
      </c>
      <c r="U5" s="2281" t="s">
        <v>1162</v>
      </c>
      <c r="V5" s="2265">
        <f>COUNTIF(J5:R5, "Yes")</f>
        <v>4</v>
      </c>
      <c r="W5" s="2282"/>
    </row>
    <row r="6" spans="1:23" x14ac:dyDescent="0.25">
      <c r="A6" s="2247">
        <v>3</v>
      </c>
      <c r="B6" s="2248" t="s">
        <v>1163</v>
      </c>
      <c r="C6" s="2267">
        <v>39380</v>
      </c>
      <c r="D6" s="2268">
        <v>1012612.38</v>
      </c>
      <c r="E6" s="2269">
        <v>27</v>
      </c>
      <c r="F6" s="2270">
        <v>574473</v>
      </c>
      <c r="G6" s="2271">
        <v>722983</v>
      </c>
      <c r="H6" s="2272">
        <v>12</v>
      </c>
      <c r="I6" s="2272">
        <v>12</v>
      </c>
      <c r="J6" s="2255" t="str">
        <f t="shared" si="0"/>
        <v>Yes</v>
      </c>
      <c r="K6" s="2273">
        <v>137800</v>
      </c>
      <c r="L6" s="2271">
        <v>94000</v>
      </c>
      <c r="M6" s="2283">
        <v>22792</v>
      </c>
      <c r="N6" s="2258">
        <v>3</v>
      </c>
      <c r="O6" s="2275">
        <v>2</v>
      </c>
      <c r="P6" s="2284" t="str">
        <f t="shared" si="1"/>
        <v>No</v>
      </c>
      <c r="Q6" s="2285" t="str">
        <f t="shared" si="2"/>
        <v>No</v>
      </c>
      <c r="R6" s="2278" t="s">
        <v>452</v>
      </c>
      <c r="S6" s="2263" t="s">
        <v>452</v>
      </c>
      <c r="T6" s="2286">
        <v>291</v>
      </c>
      <c r="U6" s="2265" t="s">
        <v>1164</v>
      </c>
      <c r="V6" s="2265">
        <f>COUNTIF(J6:R6, "Yes")</f>
        <v>2</v>
      </c>
      <c r="W6" s="2287"/>
    </row>
    <row r="7" spans="1:23" x14ac:dyDescent="0.25">
      <c r="A7" s="2247">
        <v>4</v>
      </c>
      <c r="B7" s="2248" t="s">
        <v>1165</v>
      </c>
      <c r="C7" s="2267">
        <v>39205</v>
      </c>
      <c r="D7" s="2268">
        <v>1140698</v>
      </c>
      <c r="E7" s="2288">
        <v>45</v>
      </c>
      <c r="F7" s="2270">
        <v>522949</v>
      </c>
      <c r="G7" s="2271">
        <v>710851</v>
      </c>
      <c r="H7" s="2272">
        <v>12</v>
      </c>
      <c r="I7" s="2272">
        <v>12</v>
      </c>
      <c r="J7" s="2255" t="str">
        <f t="shared" si="0"/>
        <v>Yes</v>
      </c>
      <c r="K7" s="2273">
        <v>623440</v>
      </c>
      <c r="L7" s="2271">
        <v>834267.24</v>
      </c>
      <c r="M7" s="2271">
        <v>179020.70999999996</v>
      </c>
      <c r="N7" s="2258">
        <v>18</v>
      </c>
      <c r="O7" s="2275">
        <v>17</v>
      </c>
      <c r="P7" s="2284" t="str">
        <f t="shared" si="1"/>
        <v>No</v>
      </c>
      <c r="Q7" s="2277" t="str">
        <f t="shared" si="2"/>
        <v>Yes</v>
      </c>
      <c r="R7" s="2278" t="s">
        <v>452</v>
      </c>
      <c r="S7" s="2263" t="s">
        <v>452</v>
      </c>
      <c r="T7" s="2264">
        <v>9418</v>
      </c>
      <c r="U7" s="2289" t="s">
        <v>1162</v>
      </c>
      <c r="V7" s="2265">
        <f>COUNTIF(J7:R7, "Yes")</f>
        <v>3</v>
      </c>
      <c r="W7" s="2287"/>
    </row>
    <row r="8" spans="1:23" x14ac:dyDescent="0.25">
      <c r="A8" s="2247">
        <v>5</v>
      </c>
      <c r="B8" s="2248" t="s">
        <v>1166</v>
      </c>
      <c r="C8" s="2267">
        <v>39261</v>
      </c>
      <c r="D8" s="2268">
        <v>32767392.920000002</v>
      </c>
      <c r="E8" s="2269">
        <v>608</v>
      </c>
      <c r="F8" s="2270">
        <v>26496627</v>
      </c>
      <c r="G8" s="2271">
        <v>22576438.949999999</v>
      </c>
      <c r="H8" s="2272">
        <v>404</v>
      </c>
      <c r="I8" s="2272">
        <v>423</v>
      </c>
      <c r="J8" s="2290" t="str">
        <f t="shared" si="0"/>
        <v>No</v>
      </c>
      <c r="K8" s="2273">
        <v>450000</v>
      </c>
      <c r="L8" s="2291">
        <v>852860.91191351344</v>
      </c>
      <c r="M8" s="2292">
        <v>301450.45</v>
      </c>
      <c r="N8" s="2258">
        <v>10</v>
      </c>
      <c r="O8" s="2293">
        <v>13</v>
      </c>
      <c r="P8" s="2276" t="str">
        <f t="shared" si="1"/>
        <v>Yes</v>
      </c>
      <c r="Q8" s="2277" t="str">
        <f t="shared" si="2"/>
        <v>Yes</v>
      </c>
      <c r="R8" s="2294" t="s">
        <v>453</v>
      </c>
      <c r="S8" s="2263" t="s">
        <v>1167</v>
      </c>
      <c r="T8" s="2286">
        <v>0</v>
      </c>
      <c r="U8" s="2265"/>
      <c r="V8" s="2265">
        <f>COUNTIF(J8:R8, "Yes")</f>
        <v>2</v>
      </c>
      <c r="W8" s="2287"/>
    </row>
    <row r="9" spans="1:23" ht="16.5" thickBot="1" x14ac:dyDescent="0.3">
      <c r="A9" s="2247">
        <v>6</v>
      </c>
      <c r="B9" s="2248" t="s">
        <v>1168</v>
      </c>
      <c r="C9" s="2267">
        <v>39205</v>
      </c>
      <c r="D9" s="2295">
        <v>743677.62</v>
      </c>
      <c r="E9" s="2296">
        <v>32</v>
      </c>
      <c r="F9" s="2297">
        <v>0</v>
      </c>
      <c r="G9" s="2298">
        <v>329280</v>
      </c>
      <c r="H9" s="2299">
        <v>0</v>
      </c>
      <c r="I9" s="2299">
        <v>11</v>
      </c>
      <c r="J9" s="2255" t="str">
        <f t="shared" si="0"/>
        <v>Yes</v>
      </c>
      <c r="K9" s="2300">
        <v>329280</v>
      </c>
      <c r="L9" s="2298">
        <v>329280</v>
      </c>
      <c r="M9" s="2298">
        <v>328922.55</v>
      </c>
      <c r="N9" s="2258">
        <v>10</v>
      </c>
      <c r="O9" s="2301">
        <v>15</v>
      </c>
      <c r="P9" s="2302" t="str">
        <f t="shared" si="1"/>
        <v>Yes</v>
      </c>
      <c r="Q9" s="2303" t="str">
        <f t="shared" si="2"/>
        <v>Yes</v>
      </c>
      <c r="R9" s="2304" t="s">
        <v>452</v>
      </c>
      <c r="S9" s="2305" t="s">
        <v>1167</v>
      </c>
      <c r="T9" s="2306">
        <v>12904</v>
      </c>
      <c r="U9" s="2289" t="s">
        <v>1162</v>
      </c>
      <c r="V9" s="2265">
        <f>COUNTIF(J9:R9, "Yes")</f>
        <v>4</v>
      </c>
      <c r="W9" s="2287"/>
    </row>
    <row r="10" spans="1:23" x14ac:dyDescent="0.25">
      <c r="A10" s="2307"/>
      <c r="B10" s="2308"/>
      <c r="C10" s="2309"/>
      <c r="D10" s="2310">
        <f t="shared" ref="D10:I10" si="3">SUM(D4:D9)</f>
        <v>77408200.790000007</v>
      </c>
      <c r="E10" s="2311">
        <f t="shared" si="3"/>
        <v>1730</v>
      </c>
      <c r="F10" s="2312">
        <f t="shared" si="3"/>
        <v>53555708</v>
      </c>
      <c r="G10" s="2312">
        <f t="shared" si="3"/>
        <v>56780994.359999999</v>
      </c>
      <c r="H10" s="2311">
        <f t="shared" si="3"/>
        <v>982</v>
      </c>
      <c r="I10" s="2311">
        <f t="shared" si="3"/>
        <v>1167</v>
      </c>
      <c r="J10" s="2313"/>
      <c r="K10" s="2314">
        <f>SUM(K4:K9)</f>
        <v>8778659</v>
      </c>
      <c r="L10" s="2314">
        <f>SUM(L4:L9)</f>
        <v>9594995.2197888531</v>
      </c>
      <c r="M10" s="2314">
        <f>SUM(M4:M9)</f>
        <v>5268157.7999999989</v>
      </c>
      <c r="N10" s="2315">
        <f>SUM(N4:N9)</f>
        <v>250</v>
      </c>
      <c r="O10" s="2316">
        <f>SUM(O4:O9)</f>
        <v>260</v>
      </c>
      <c r="P10" s="2315"/>
      <c r="Q10" s="2317"/>
      <c r="R10" s="2318"/>
      <c r="S10" s="2319"/>
      <c r="T10" s="2320">
        <f>T4+T5+T7+T9</f>
        <v>208653</v>
      </c>
      <c r="U10" s="2321"/>
      <c r="V10" s="2322"/>
      <c r="W10" s="2323"/>
    </row>
    <row r="11" spans="1:23" s="2334" customFormat="1" x14ac:dyDescent="0.25">
      <c r="A11" s="2324"/>
      <c r="B11" s="2324"/>
      <c r="C11" s="2325"/>
      <c r="D11" s="2326"/>
      <c r="E11" s="2327"/>
      <c r="F11" s="2326"/>
      <c r="G11" s="2326"/>
      <c r="H11" s="2327"/>
      <c r="I11" s="2327"/>
      <c r="J11" s="2328"/>
      <c r="K11" s="2329"/>
      <c r="L11" s="2637">
        <f>SUM(L4,L6,L7,L8,L9)</f>
        <v>5630562.2197888512</v>
      </c>
      <c r="M11" s="2326"/>
      <c r="N11" s="2326"/>
      <c r="O11" s="2637">
        <f>SUM(O4,O6,O7,O8,O9)</f>
        <v>145</v>
      </c>
      <c r="P11" s="2330"/>
      <c r="Q11" s="2331"/>
      <c r="R11" s="2332"/>
      <c r="S11" s="2327"/>
      <c r="T11" s="2333">
        <f>SUM(T4,T5,T7,T9)</f>
        <v>208653</v>
      </c>
      <c r="U11" s="2332"/>
      <c r="V11" s="2332"/>
      <c r="W11" s="2329"/>
    </row>
    <row r="12" spans="1:23" x14ac:dyDescent="0.25">
      <c r="A12" s="2335"/>
      <c r="B12" s="2336" t="s">
        <v>1169</v>
      </c>
      <c r="C12" s="2337">
        <v>39289</v>
      </c>
      <c r="D12" s="2338"/>
      <c r="E12" s="2339"/>
      <c r="F12" s="2338"/>
      <c r="G12" s="2338"/>
      <c r="H12" s="2339"/>
      <c r="I12" s="2339"/>
      <c r="J12" s="2340"/>
      <c r="K12" s="2341">
        <v>760000</v>
      </c>
      <c r="L12" s="2341">
        <v>363180.70892857143</v>
      </c>
      <c r="M12" s="2341">
        <v>120764.85</v>
      </c>
      <c r="N12" s="2342">
        <v>20</v>
      </c>
      <c r="O12" s="2342">
        <v>4</v>
      </c>
      <c r="P12" s="2343" t="str">
        <f>+IF(O12&gt;=N12, "Yes", "No")</f>
        <v>No</v>
      </c>
      <c r="Q12" s="2343" t="str">
        <f>+IF(L12&gt;=K12, "Yes", "No")</f>
        <v>No</v>
      </c>
      <c r="R12" s="2344"/>
      <c r="S12" s="2345"/>
      <c r="T12" s="2345"/>
      <c r="U12" s="2346" t="s">
        <v>1170</v>
      </c>
      <c r="V12" s="2346"/>
      <c r="W12" s="2347">
        <v>2007</v>
      </c>
    </row>
    <row r="13" spans="1:23" x14ac:dyDescent="0.25">
      <c r="A13" s="2348"/>
      <c r="B13" s="2348"/>
      <c r="C13" s="2349"/>
      <c r="D13" s="2350"/>
      <c r="E13" s="2351"/>
      <c r="F13" s="2350"/>
      <c r="G13" s="2350"/>
      <c r="H13" s="2352"/>
      <c r="I13" s="2352"/>
      <c r="J13" s="2353"/>
      <c r="K13" s="2354"/>
      <c r="L13" s="2354"/>
      <c r="M13" s="2354"/>
      <c r="N13" s="2354"/>
      <c r="O13" s="2354"/>
      <c r="P13" s="2351"/>
      <c r="Q13" s="2351"/>
      <c r="R13" s="2351"/>
      <c r="S13" s="2348"/>
      <c r="T13" s="2354"/>
      <c r="U13" s="2351"/>
      <c r="V13" s="2351"/>
      <c r="W13" s="2348"/>
    </row>
    <row r="14" spans="1:23" ht="19.5" customHeight="1" x14ac:dyDescent="0.25">
      <c r="A14" s="2355"/>
      <c r="B14" s="2355"/>
      <c r="C14" s="2356"/>
      <c r="D14" s="2357">
        <f t="shared" ref="D14:I14" si="4">D10</f>
        <v>77408200.790000007</v>
      </c>
      <c r="E14" s="2358">
        <f t="shared" si="4"/>
        <v>1730</v>
      </c>
      <c r="F14" s="2357">
        <f t="shared" si="4"/>
        <v>53555708</v>
      </c>
      <c r="G14" s="2357">
        <f t="shared" si="4"/>
        <v>56780994.359999999</v>
      </c>
      <c r="H14" s="2359">
        <f t="shared" si="4"/>
        <v>982</v>
      </c>
      <c r="I14" s="2359">
        <f t="shared" si="4"/>
        <v>1167</v>
      </c>
      <c r="J14" s="2358"/>
      <c r="K14" s="2357">
        <f t="shared" ref="K14:P14" si="5">K10</f>
        <v>8778659</v>
      </c>
      <c r="L14" s="2357">
        <f t="shared" si="5"/>
        <v>9594995.2197888531</v>
      </c>
      <c r="M14" s="2357">
        <f t="shared" si="5"/>
        <v>5268157.7999999989</v>
      </c>
      <c r="N14" s="2358">
        <f t="shared" si="5"/>
        <v>250</v>
      </c>
      <c r="O14" s="2358">
        <f t="shared" si="5"/>
        <v>260</v>
      </c>
      <c r="P14" s="2358">
        <f t="shared" si="5"/>
        <v>0</v>
      </c>
      <c r="Q14" s="2358"/>
      <c r="R14" s="2358"/>
      <c r="S14" s="2360"/>
      <c r="T14" s="2357">
        <f>T10</f>
        <v>208653</v>
      </c>
      <c r="U14" s="2358">
        <f>COUNTIF(U4:U10,"Refund Issued")</f>
        <v>3</v>
      </c>
      <c r="V14" s="2358"/>
      <c r="W14" s="2358">
        <f>COUNTIF(W4:W10,"Recaptured")</f>
        <v>0</v>
      </c>
    </row>
    <row r="15" spans="1:23" x14ac:dyDescent="0.25">
      <c r="C15" s="2361"/>
      <c r="D15" s="2362"/>
      <c r="E15" s="2363"/>
      <c r="F15" s="2362"/>
      <c r="G15" s="2362"/>
      <c r="I15" s="2351"/>
      <c r="J15" s="2363"/>
      <c r="K15" s="2362"/>
      <c r="L15" s="2362"/>
      <c r="M15" s="2362"/>
      <c r="N15" s="2362"/>
      <c r="O15" s="2362"/>
      <c r="P15" s="2363"/>
      <c r="Q15" s="2363"/>
      <c r="R15" s="2363"/>
      <c r="U15" s="2363"/>
      <c r="V15" s="2363"/>
    </row>
    <row r="16" spans="1:23" ht="14.25" customHeight="1" x14ac:dyDescent="0.25">
      <c r="A16" s="2364"/>
      <c r="B16" s="2365" t="s">
        <v>121</v>
      </c>
      <c r="C16" s="2364" t="s">
        <v>1171</v>
      </c>
      <c r="D16" s="2366" t="s">
        <v>1172</v>
      </c>
      <c r="E16" s="2367"/>
      <c r="F16" s="2367"/>
      <c r="G16" s="2367"/>
      <c r="H16" s="2367"/>
      <c r="I16" s="2367"/>
      <c r="J16" s="2367"/>
      <c r="K16" s="2368"/>
      <c r="L16" s="2367"/>
      <c r="M16" s="2367"/>
      <c r="N16" s="2367"/>
      <c r="O16" s="2369"/>
      <c r="P16" s="2368"/>
      <c r="Q16" s="2363"/>
      <c r="R16" s="2363"/>
      <c r="U16" s="2363"/>
      <c r="V16" s="2363"/>
    </row>
    <row r="17" spans="1:22" ht="15.75" customHeight="1" x14ac:dyDescent="0.25">
      <c r="A17" s="2364"/>
      <c r="B17" s="2365" t="s">
        <v>1169</v>
      </c>
      <c r="C17" s="2364" t="s">
        <v>1171</v>
      </c>
      <c r="D17" s="2370" t="s">
        <v>1173</v>
      </c>
      <c r="E17" s="2370"/>
      <c r="F17" s="2370"/>
      <c r="G17" s="4359" t="s">
        <v>1174</v>
      </c>
      <c r="H17" s="4359"/>
      <c r="I17" s="4359"/>
      <c r="J17" s="4359"/>
      <c r="K17" s="4359"/>
      <c r="L17" s="4359"/>
      <c r="M17" s="4359"/>
      <c r="N17" s="4359"/>
      <c r="O17" s="4359"/>
      <c r="P17" s="4359"/>
      <c r="Q17" s="2363"/>
      <c r="R17" s="2371"/>
      <c r="U17" s="2363"/>
      <c r="V17" s="2363"/>
    </row>
    <row r="18" spans="1:22" x14ac:dyDescent="0.25">
      <c r="A18" s="2364"/>
      <c r="B18" s="2365" t="s">
        <v>1161</v>
      </c>
      <c r="C18" s="2364" t="s">
        <v>1171</v>
      </c>
      <c r="D18" s="2370" t="s">
        <v>1175</v>
      </c>
      <c r="E18" s="2370"/>
      <c r="F18" s="2370"/>
      <c r="G18" s="2370"/>
      <c r="H18" s="2370"/>
      <c r="I18" s="2370"/>
      <c r="J18" s="2370"/>
      <c r="K18" s="2370"/>
      <c r="L18" s="2370"/>
      <c r="M18" s="2370"/>
      <c r="N18" s="2370"/>
      <c r="O18" s="2370"/>
      <c r="P18" s="2370"/>
      <c r="Q18" s="2363"/>
      <c r="R18" s="2363"/>
      <c r="U18" s="2363"/>
      <c r="V18" s="2363"/>
    </row>
    <row r="19" spans="1:22" ht="19.5" customHeight="1" x14ac:dyDescent="0.25">
      <c r="A19" s="2364"/>
      <c r="B19" s="2372" t="s">
        <v>1163</v>
      </c>
      <c r="C19" s="2364" t="s">
        <v>1171</v>
      </c>
      <c r="D19" s="2373" t="s">
        <v>1176</v>
      </c>
      <c r="E19" s="2373"/>
      <c r="F19" s="2373"/>
      <c r="G19" s="2373"/>
      <c r="H19" s="2373"/>
      <c r="I19" s="2373"/>
      <c r="J19" s="2373"/>
      <c r="K19" s="2373"/>
      <c r="L19" s="2373"/>
      <c r="M19" s="2367"/>
      <c r="N19" s="2367"/>
      <c r="O19" s="2369"/>
      <c r="P19" s="2368"/>
      <c r="Q19" s="2374"/>
      <c r="R19" s="2363"/>
      <c r="U19" s="2363"/>
      <c r="V19" s="2363"/>
    </row>
    <row r="20" spans="1:22" x14ac:dyDescent="0.25">
      <c r="A20" s="2364"/>
      <c r="B20" s="2365" t="s">
        <v>1165</v>
      </c>
      <c r="C20" s="2364" t="s">
        <v>1171</v>
      </c>
      <c r="D20" s="2373" t="s">
        <v>1177</v>
      </c>
      <c r="E20" s="2373"/>
      <c r="F20" s="2373"/>
      <c r="G20" s="2373"/>
      <c r="H20" s="2373"/>
      <c r="I20" s="2373"/>
      <c r="J20" s="2373"/>
      <c r="K20" s="2373"/>
      <c r="L20" s="2375"/>
      <c r="M20" s="2368"/>
      <c r="N20" s="2368"/>
      <c r="O20" s="2369"/>
      <c r="P20" s="2368"/>
      <c r="Q20" s="2376"/>
      <c r="R20" s="2363"/>
      <c r="U20" s="2363"/>
      <c r="V20" s="2363"/>
    </row>
    <row r="21" spans="1:22" x14ac:dyDescent="0.25">
      <c r="A21" s="2364"/>
      <c r="B21" s="2365" t="s">
        <v>1166</v>
      </c>
      <c r="C21" s="2364" t="s">
        <v>1171</v>
      </c>
      <c r="D21" s="4360" t="s">
        <v>1178</v>
      </c>
      <c r="E21" s="4360"/>
      <c r="F21" s="4360"/>
      <c r="G21" s="4360"/>
      <c r="H21" s="4360"/>
      <c r="I21" s="4360"/>
      <c r="J21" s="4360"/>
      <c r="K21" s="4360"/>
      <c r="L21" s="4360"/>
      <c r="M21" s="4360"/>
      <c r="N21" s="4360"/>
      <c r="O21" s="2369"/>
      <c r="P21" s="2368"/>
      <c r="Q21" s="2376"/>
      <c r="U21" s="2363"/>
      <c r="V21" s="2363"/>
    </row>
    <row r="22" spans="1:22" x14ac:dyDescent="0.25">
      <c r="A22" s="2364"/>
      <c r="B22" s="2365" t="s">
        <v>1168</v>
      </c>
      <c r="C22" s="2364" t="s">
        <v>1171</v>
      </c>
      <c r="D22" s="2373" t="s">
        <v>1179</v>
      </c>
      <c r="E22" s="2373"/>
      <c r="F22" s="2373"/>
      <c r="G22" s="2373"/>
      <c r="H22" s="2373"/>
      <c r="I22" s="2373"/>
      <c r="J22" s="2373"/>
      <c r="K22" s="2373"/>
      <c r="L22" s="2373"/>
      <c r="M22" s="2367"/>
      <c r="N22" s="2367"/>
      <c r="O22" s="2369"/>
      <c r="P22" s="2368"/>
      <c r="Q22" s="2376"/>
      <c r="U22" s="2363"/>
      <c r="V22" s="2363"/>
    </row>
    <row r="23" spans="1:22" x14ac:dyDescent="0.25">
      <c r="A23" s="2364"/>
      <c r="B23" s="2377"/>
      <c r="C23" s="2364"/>
      <c r="D23" s="2378"/>
      <c r="E23" s="2378"/>
      <c r="F23" s="2378"/>
      <c r="G23" s="2378"/>
      <c r="H23" s="2378"/>
      <c r="I23" s="2378"/>
      <c r="J23" s="2378"/>
      <c r="K23" s="2378"/>
      <c r="L23" s="2378"/>
      <c r="M23" s="2364"/>
      <c r="N23" s="2364"/>
      <c r="O23" s="2379"/>
      <c r="P23" s="2380"/>
      <c r="Q23" s="2376"/>
      <c r="U23" s="2363"/>
      <c r="V23" s="2363"/>
    </row>
    <row r="24" spans="1:22" x14ac:dyDescent="0.25">
      <c r="A24" s="2381"/>
      <c r="B24" s="2381"/>
      <c r="C24" s="2382"/>
      <c r="D24" s="2383"/>
      <c r="E24" s="2376"/>
      <c r="F24" s="2381"/>
      <c r="G24" s="2381"/>
      <c r="H24" s="2376"/>
      <c r="I24" s="2376"/>
      <c r="J24" s="2376"/>
      <c r="K24" s="2383"/>
      <c r="L24" s="2383"/>
      <c r="M24" s="2381"/>
      <c r="N24" s="2383"/>
      <c r="O24" s="2383"/>
      <c r="P24" s="2381"/>
      <c r="Q24" s="2376"/>
      <c r="U24" s="2363"/>
      <c r="V24" s="2363"/>
    </row>
    <row r="25" spans="1:22" x14ac:dyDescent="0.25">
      <c r="A25" s="2381"/>
      <c r="B25" s="2381"/>
      <c r="C25" s="2382"/>
      <c r="D25" s="2383"/>
      <c r="E25" s="2376"/>
      <c r="F25" s="2381"/>
      <c r="G25" s="2381"/>
      <c r="H25" s="2376"/>
      <c r="I25" s="2376"/>
      <c r="J25" s="2376"/>
      <c r="K25" s="2383"/>
      <c r="L25" s="2381"/>
      <c r="M25" s="2381"/>
      <c r="N25" s="2383"/>
      <c r="O25" s="2383"/>
      <c r="P25" s="2381"/>
      <c r="Q25" s="2381"/>
      <c r="U25" s="2363"/>
      <c r="V25" s="2363"/>
    </row>
    <row r="26" spans="1:22" x14ac:dyDescent="0.25">
      <c r="A26" s="2381"/>
      <c r="B26" s="2381"/>
      <c r="C26" s="2382"/>
      <c r="D26" s="2383"/>
      <c r="E26" s="2376"/>
      <c r="F26" s="2381"/>
      <c r="G26" s="2381"/>
      <c r="H26" s="2376"/>
      <c r="I26" s="2376"/>
      <c r="J26" s="2376"/>
      <c r="K26" s="2383"/>
      <c r="L26" s="2383"/>
      <c r="M26" s="2381"/>
      <c r="N26" s="2383"/>
      <c r="O26" s="2383"/>
      <c r="P26" s="2381"/>
      <c r="Q26" s="2381"/>
      <c r="U26" s="2363"/>
      <c r="V26" s="2363"/>
    </row>
    <row r="27" spans="1:22" x14ac:dyDescent="0.25">
      <c r="A27" s="2381"/>
      <c r="B27" s="2381"/>
      <c r="C27" s="2381"/>
      <c r="D27" s="2383"/>
      <c r="E27" s="2376"/>
      <c r="F27" s="2381"/>
      <c r="G27" s="2381"/>
      <c r="H27" s="2376"/>
      <c r="I27" s="2381"/>
      <c r="J27" s="2381"/>
      <c r="K27" s="2381"/>
      <c r="L27" s="2381"/>
      <c r="M27" s="2381"/>
      <c r="N27" s="2383"/>
      <c r="O27" s="2383"/>
      <c r="P27" s="2381"/>
      <c r="Q27" s="2381"/>
    </row>
    <row r="28" spans="1:22" x14ac:dyDescent="0.25">
      <c r="A28" s="2381"/>
      <c r="B28" s="2381"/>
      <c r="C28" s="2381"/>
      <c r="D28" s="2383"/>
      <c r="E28" s="2376"/>
      <c r="F28" s="2381"/>
      <c r="G28" s="2381"/>
      <c r="H28" s="2376"/>
      <c r="I28" s="2381"/>
      <c r="J28" s="2381"/>
      <c r="K28" s="2381"/>
      <c r="L28" s="2383"/>
      <c r="M28" s="2381"/>
      <c r="N28" s="2383"/>
      <c r="O28" s="2383"/>
      <c r="P28" s="2381"/>
      <c r="Q28" s="2381"/>
    </row>
    <row r="29" spans="1:22" x14ac:dyDescent="0.25">
      <c r="A29" s="2381"/>
      <c r="B29" s="2381" t="s">
        <v>1180</v>
      </c>
      <c r="C29" s="2381"/>
      <c r="D29" s="2383"/>
      <c r="E29" s="2381"/>
      <c r="F29" s="2381"/>
      <c r="G29" s="2381"/>
      <c r="H29" s="2376"/>
      <c r="I29" s="2381"/>
      <c r="J29" s="2381"/>
      <c r="K29" s="2381"/>
      <c r="L29" s="2381"/>
      <c r="M29" s="2381"/>
      <c r="N29" s="2383"/>
      <c r="O29" s="2383"/>
      <c r="P29" s="2381"/>
      <c r="Q29" s="2381"/>
    </row>
    <row r="30" spans="1:22" x14ac:dyDescent="0.25">
      <c r="A30" s="2381"/>
      <c r="B30" s="2381"/>
      <c r="C30" s="2381"/>
      <c r="D30" s="2383"/>
      <c r="E30" s="2381"/>
      <c r="F30" s="2381"/>
      <c r="G30" s="2381"/>
      <c r="H30" s="2376"/>
      <c r="I30" s="2381"/>
      <c r="J30" s="2381"/>
      <c r="K30" s="2381"/>
      <c r="L30" s="2381"/>
      <c r="M30" s="2381"/>
      <c r="N30" s="2381"/>
      <c r="O30" s="2381"/>
      <c r="P30" s="2381"/>
      <c r="Q30" s="2381"/>
    </row>
    <row r="31" spans="1:22" x14ac:dyDescent="0.25">
      <c r="A31" s="2381"/>
      <c r="B31" s="2381"/>
      <c r="C31" s="2381"/>
      <c r="D31" s="2381"/>
      <c r="E31" s="2381"/>
      <c r="F31" s="2381"/>
      <c r="G31" s="2381"/>
      <c r="H31" s="2376"/>
      <c r="I31" s="2381"/>
      <c r="J31" s="2381"/>
      <c r="K31" s="2381"/>
      <c r="L31" s="2381"/>
      <c r="M31" s="2381"/>
      <c r="N31" s="2383"/>
      <c r="O31" s="2383"/>
      <c r="P31" s="2381"/>
      <c r="Q31" s="2381"/>
    </row>
    <row r="32" spans="1:22" x14ac:dyDescent="0.25">
      <c r="A32" s="2381"/>
      <c r="B32" s="2381"/>
      <c r="C32" s="2381"/>
      <c r="D32" s="2381"/>
      <c r="E32" s="2381"/>
      <c r="F32" s="2381"/>
      <c r="G32" s="2381"/>
      <c r="H32" s="2376"/>
      <c r="I32" s="2381"/>
      <c r="J32" s="2381"/>
      <c r="K32" s="2381"/>
      <c r="L32" s="2381"/>
      <c r="M32" s="2381"/>
      <c r="N32" s="2381"/>
      <c r="O32" s="2381"/>
      <c r="P32" s="2381"/>
      <c r="Q32" s="2381"/>
    </row>
    <row r="33" spans="1:17" x14ac:dyDescent="0.25">
      <c r="A33" s="2381"/>
      <c r="B33" s="2381"/>
      <c r="C33" s="2381"/>
      <c r="D33" s="2381"/>
      <c r="E33" s="2381"/>
      <c r="F33" s="2381"/>
      <c r="G33" s="2381"/>
      <c r="H33" s="2376"/>
      <c r="I33" s="2381"/>
      <c r="J33" s="2381"/>
      <c r="K33" s="2381"/>
      <c r="L33" s="2381"/>
      <c r="M33" s="2381"/>
      <c r="N33" s="2381"/>
      <c r="O33" s="2381"/>
      <c r="P33" s="2381"/>
      <c r="Q33" s="2381"/>
    </row>
    <row r="34" spans="1:17" x14ac:dyDescent="0.25">
      <c r="A34" s="2381"/>
      <c r="B34" s="2381"/>
      <c r="C34" s="2381"/>
      <c r="D34" s="2381"/>
      <c r="E34" s="2381"/>
      <c r="F34" s="2381"/>
      <c r="G34" s="2381"/>
      <c r="H34" s="2376"/>
      <c r="I34" s="2381"/>
      <c r="J34" s="2381"/>
      <c r="K34" s="2381"/>
      <c r="L34" s="2381"/>
      <c r="M34" s="2381"/>
      <c r="N34" s="2381"/>
      <c r="O34" s="2381"/>
      <c r="P34" s="2381"/>
      <c r="Q34" s="2381"/>
    </row>
    <row r="35" spans="1:17" x14ac:dyDescent="0.25">
      <c r="A35" s="2381"/>
      <c r="B35" s="2381"/>
      <c r="C35" s="2381"/>
      <c r="D35" s="2381"/>
      <c r="E35" s="2381"/>
      <c r="F35" s="2381"/>
      <c r="G35" s="2381"/>
      <c r="H35" s="2376"/>
      <c r="I35" s="2381"/>
      <c r="J35" s="2381"/>
      <c r="K35" s="2381"/>
      <c r="L35" s="2381"/>
      <c r="M35" s="2381"/>
      <c r="N35" s="2381"/>
      <c r="O35" s="2381"/>
      <c r="P35" s="2381"/>
      <c r="Q35" s="2381"/>
    </row>
    <row r="36" spans="1:17" x14ac:dyDescent="0.25">
      <c r="A36" s="2381"/>
      <c r="B36" s="2381"/>
      <c r="C36" s="2381"/>
      <c r="D36" s="2381"/>
      <c r="E36" s="2381"/>
      <c r="F36" s="2381"/>
      <c r="G36" s="2381"/>
      <c r="H36" s="2376"/>
      <c r="I36" s="2381"/>
      <c r="J36" s="2381"/>
      <c r="K36" s="2381"/>
      <c r="L36" s="2381"/>
      <c r="M36" s="2381"/>
      <c r="N36" s="2381"/>
      <c r="O36" s="2381"/>
      <c r="P36" s="2381"/>
      <c r="Q36" s="2381"/>
    </row>
    <row r="37" spans="1:17" x14ac:dyDescent="0.25">
      <c r="A37" s="2381"/>
      <c r="B37" s="2381"/>
      <c r="C37" s="2381"/>
      <c r="D37" s="2381"/>
      <c r="E37" s="2381"/>
      <c r="F37" s="2381"/>
      <c r="G37" s="2381"/>
      <c r="H37" s="2376"/>
      <c r="I37" s="2381"/>
      <c r="J37" s="2381"/>
      <c r="K37" s="2381"/>
      <c r="L37" s="2381"/>
      <c r="M37" s="2381"/>
      <c r="N37" s="2381"/>
      <c r="O37" s="2381"/>
      <c r="P37" s="2381"/>
      <c r="Q37" s="2381"/>
    </row>
    <row r="38" spans="1:17" x14ac:dyDescent="0.25">
      <c r="A38" s="2381"/>
      <c r="B38" s="2381"/>
      <c r="C38" s="2381"/>
      <c r="D38" s="2381"/>
      <c r="E38" s="2381"/>
      <c r="F38" s="2381"/>
      <c r="G38" s="2381"/>
      <c r="H38" s="2376"/>
      <c r="I38" s="2381"/>
      <c r="J38" s="2381"/>
      <c r="K38" s="2381"/>
      <c r="L38" s="2381"/>
      <c r="M38" s="2381"/>
      <c r="N38" s="2381"/>
      <c r="O38" s="2381"/>
      <c r="P38" s="2381"/>
      <c r="Q38" s="2381"/>
    </row>
    <row r="39" spans="1:17" x14ac:dyDescent="0.25">
      <c r="A39" s="2381"/>
      <c r="B39" s="2381"/>
      <c r="C39" s="2381"/>
      <c r="D39" s="2381"/>
      <c r="E39" s="2381"/>
      <c r="F39" s="2381"/>
      <c r="G39" s="2381"/>
      <c r="H39" s="2376"/>
      <c r="I39" s="2381"/>
      <c r="J39" s="2381"/>
      <c r="K39" s="2381"/>
      <c r="L39" s="2381"/>
      <c r="M39" s="2381"/>
      <c r="N39" s="2381"/>
      <c r="O39" s="2381"/>
      <c r="P39" s="2381"/>
      <c r="Q39" s="2381"/>
    </row>
    <row r="40" spans="1:17" x14ac:dyDescent="0.25">
      <c r="A40" s="2381"/>
      <c r="B40" s="2381"/>
      <c r="C40" s="2381"/>
      <c r="D40" s="2381"/>
      <c r="E40" s="2381"/>
      <c r="F40" s="2381"/>
      <c r="G40" s="2381"/>
      <c r="H40" s="2376"/>
      <c r="I40" s="2381"/>
      <c r="J40" s="2381"/>
      <c r="K40" s="2381"/>
      <c r="L40" s="2381"/>
      <c r="M40" s="2381"/>
      <c r="N40" s="2381"/>
      <c r="O40" s="2381"/>
      <c r="P40" s="2381"/>
      <c r="Q40" s="2381"/>
    </row>
    <row r="41" spans="1:17" x14ac:dyDescent="0.25">
      <c r="A41" s="2381"/>
      <c r="B41" s="2381"/>
      <c r="C41" s="2381"/>
      <c r="D41" s="2381"/>
      <c r="E41" s="2381"/>
      <c r="F41" s="2381"/>
      <c r="G41" s="2381"/>
      <c r="H41" s="2376"/>
      <c r="I41" s="2381"/>
      <c r="J41" s="2381"/>
      <c r="K41" s="2381"/>
      <c r="L41" s="2381"/>
      <c r="M41" s="2381"/>
      <c r="N41" s="2381"/>
      <c r="O41" s="2381"/>
      <c r="P41" s="2381"/>
      <c r="Q41" s="2381"/>
    </row>
    <row r="42" spans="1:17" x14ac:dyDescent="0.25">
      <c r="A42" s="2381"/>
      <c r="B42" s="2381"/>
      <c r="C42" s="2381"/>
      <c r="D42" s="2381"/>
      <c r="E42" s="2381"/>
      <c r="F42" s="2381"/>
      <c r="G42" s="2381"/>
      <c r="H42" s="2376"/>
      <c r="I42" s="2381"/>
      <c r="J42" s="2381"/>
      <c r="K42" s="2381"/>
      <c r="L42" s="2381"/>
      <c r="M42" s="2381"/>
      <c r="N42" s="2381"/>
      <c r="O42" s="2381"/>
      <c r="P42" s="2381"/>
      <c r="Q42" s="2381"/>
    </row>
  </sheetData>
  <mergeCells count="3">
    <mergeCell ref="A1:U2"/>
    <mergeCell ref="G17:P17"/>
    <mergeCell ref="D21:N21"/>
  </mergeCells>
  <pageMargins left="0.7" right="0.7" top="0.75" bottom="0.75" header="0.3" footer="0.3"/>
  <pageSetup paperSize="5" scale="77" orientation="landscape" r:id="rId1"/>
  <headerFooter>
    <oddHeader>&amp;L&amp;BVermont Department of Taxes Confidential&amp;B&amp;C&amp;D&amp;RPage &amp;P</oddHeader>
    <oddFooter>&amp;L&amp;"Corbel,Italic"&amp;8Created by: H. Woodruff 12.16.2009&amp;C&amp;F</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00000"/>
  </sheetPr>
  <dimension ref="A1:AK44"/>
  <sheetViews>
    <sheetView workbookViewId="0">
      <selection sqref="A1:AI2"/>
    </sheetView>
  </sheetViews>
  <sheetFormatPr defaultColWidth="9.140625" defaultRowHeight="15.75" x14ac:dyDescent="0.25"/>
  <cols>
    <col min="1" max="1" width="5" style="2229" customWidth="1"/>
    <col min="2" max="2" width="26.85546875" style="2229" customWidth="1"/>
    <col min="3" max="3" width="7.5703125" style="2229" customWidth="1"/>
    <col min="4" max="4" width="11.140625" style="2229" customWidth="1"/>
    <col min="5" max="5" width="7.140625" style="2229" customWidth="1"/>
    <col min="6" max="6" width="10.85546875" style="2229" customWidth="1"/>
    <col min="7" max="7" width="10.5703125" style="2229" customWidth="1"/>
    <col min="8" max="8" width="4.7109375" style="2363" customWidth="1"/>
    <col min="9" max="9" width="10.42578125" style="2229" customWidth="1"/>
    <col min="10" max="10" width="4.85546875" style="2229" customWidth="1"/>
    <col min="11" max="11" width="6.28515625" style="2229" customWidth="1"/>
    <col min="12" max="12" width="11" style="2229" customWidth="1"/>
    <col min="13" max="13" width="10.140625" style="2229" customWidth="1"/>
    <col min="14" max="14" width="10.5703125" style="2229" customWidth="1"/>
    <col min="15" max="15" width="9.5703125" style="2229" customWidth="1"/>
    <col min="16" max="16" width="4.140625" style="2229" customWidth="1"/>
    <col min="17" max="17" width="5" style="2229" customWidth="1"/>
    <col min="18" max="18" width="4.42578125" style="2229" customWidth="1"/>
    <col min="19" max="19" width="4.85546875" style="2229" customWidth="1"/>
    <col min="20" max="20" width="10.7109375" style="2229" customWidth="1"/>
    <col min="21" max="21" width="11.28515625" style="2229" customWidth="1"/>
    <col min="22" max="22" width="9.28515625" style="2229" customWidth="1"/>
    <col min="23" max="23" width="5.7109375" style="2229" customWidth="1"/>
    <col min="24" max="25" width="5.42578125" style="2229" customWidth="1"/>
    <col min="26" max="26" width="4.85546875" style="2229" customWidth="1"/>
    <col min="27" max="27" width="9.42578125" style="2229" customWidth="1"/>
    <col min="28" max="28" width="10.85546875" style="2229" customWidth="1"/>
    <col min="29" max="29" width="11.5703125" style="2229" customWidth="1"/>
    <col min="30" max="30" width="7.140625" style="2229" customWidth="1"/>
    <col min="31" max="31" width="5.85546875" style="2229" customWidth="1"/>
    <col min="32" max="32" width="11.42578125" style="2229" customWidth="1"/>
    <col min="33" max="33" width="9.28515625" style="2229" customWidth="1"/>
    <col min="34" max="34" width="9.42578125" style="2229" customWidth="1"/>
    <col min="35" max="35" width="12.28515625" style="2229" customWidth="1"/>
    <col min="36" max="36" width="7.140625" style="2229" customWidth="1"/>
    <col min="37" max="16384" width="9.140625" style="2229"/>
  </cols>
  <sheetData>
    <row r="1" spans="1:37" ht="18" x14ac:dyDescent="0.25">
      <c r="A1" s="4364" t="s">
        <v>1181</v>
      </c>
      <c r="B1" s="4364"/>
      <c r="C1" s="4364"/>
      <c r="D1" s="4364"/>
      <c r="E1" s="4364"/>
      <c r="F1" s="4364"/>
      <c r="G1" s="4364"/>
      <c r="H1" s="4364"/>
      <c r="I1" s="4364"/>
      <c r="J1" s="4364"/>
      <c r="K1" s="4364"/>
      <c r="L1" s="4364"/>
      <c r="M1" s="4364"/>
      <c r="N1" s="4364"/>
      <c r="O1" s="4364"/>
      <c r="P1" s="4364"/>
      <c r="Q1" s="4364"/>
      <c r="R1" s="4364"/>
      <c r="S1" s="4364"/>
      <c r="T1" s="4364"/>
      <c r="U1" s="4364"/>
      <c r="V1" s="4364"/>
      <c r="W1" s="4364"/>
      <c r="X1" s="4364"/>
      <c r="Y1" s="4364"/>
      <c r="Z1" s="4364"/>
      <c r="AA1" s="4364"/>
      <c r="AB1" s="4364"/>
      <c r="AC1" s="4364"/>
      <c r="AD1" s="4364"/>
      <c r="AE1" s="4364"/>
      <c r="AF1" s="4364"/>
      <c r="AG1" s="4364"/>
      <c r="AH1" s="4364"/>
      <c r="AI1" s="4364"/>
      <c r="AJ1" s="2230"/>
      <c r="AK1" s="2384"/>
    </row>
    <row r="2" spans="1:37" ht="14.25" customHeight="1" x14ac:dyDescent="0.25">
      <c r="A2" s="4358"/>
      <c r="B2" s="4358"/>
      <c r="C2" s="4358"/>
      <c r="D2" s="4358"/>
      <c r="E2" s="4358"/>
      <c r="F2" s="4358"/>
      <c r="G2" s="4358"/>
      <c r="H2" s="4358"/>
      <c r="I2" s="4358"/>
      <c r="J2" s="4358"/>
      <c r="K2" s="4358"/>
      <c r="L2" s="4358"/>
      <c r="M2" s="4358"/>
      <c r="N2" s="4358"/>
      <c r="O2" s="4358"/>
      <c r="P2" s="4358"/>
      <c r="Q2" s="4358"/>
      <c r="R2" s="4358"/>
      <c r="S2" s="4358"/>
      <c r="T2" s="4358"/>
      <c r="U2" s="4358"/>
      <c r="V2" s="4358"/>
      <c r="W2" s="4358"/>
      <c r="X2" s="4358"/>
      <c r="Y2" s="4358"/>
      <c r="Z2" s="4358"/>
      <c r="AA2" s="4358"/>
      <c r="AB2" s="4358"/>
      <c r="AC2" s="4358"/>
      <c r="AD2" s="4358"/>
      <c r="AE2" s="4358"/>
      <c r="AF2" s="4358"/>
      <c r="AG2" s="4358"/>
      <c r="AH2" s="4358"/>
      <c r="AI2" s="4358"/>
      <c r="AJ2" s="2385"/>
      <c r="AK2" s="2386"/>
    </row>
    <row r="3" spans="1:37" ht="141" customHeight="1" thickBot="1" x14ac:dyDescent="0.3">
      <c r="A3" s="2387" t="s">
        <v>1182</v>
      </c>
      <c r="B3" s="2388" t="s">
        <v>1183</v>
      </c>
      <c r="C3" s="2389" t="s">
        <v>1138</v>
      </c>
      <c r="D3" s="2390" t="s">
        <v>1184</v>
      </c>
      <c r="E3" s="2391" t="s">
        <v>1140</v>
      </c>
      <c r="F3" s="2392" t="s">
        <v>1141</v>
      </c>
      <c r="G3" s="2393" t="s">
        <v>1142</v>
      </c>
      <c r="H3" s="2394" t="s">
        <v>1144</v>
      </c>
      <c r="I3" s="2393" t="s">
        <v>1185</v>
      </c>
      <c r="J3" s="2394" t="s">
        <v>1186</v>
      </c>
      <c r="K3" s="2238" t="s">
        <v>1145</v>
      </c>
      <c r="L3" s="2395" t="s">
        <v>1146</v>
      </c>
      <c r="M3" s="2395" t="s">
        <v>1147</v>
      </c>
      <c r="N3" s="2396" t="s">
        <v>1148</v>
      </c>
      <c r="O3" s="2395" t="s">
        <v>1187</v>
      </c>
      <c r="P3" s="2395" t="s">
        <v>1188</v>
      </c>
      <c r="Q3" s="2395" t="s">
        <v>1189</v>
      </c>
      <c r="R3" s="2397" t="s">
        <v>1152</v>
      </c>
      <c r="S3" s="2398" t="s">
        <v>1190</v>
      </c>
      <c r="T3" s="2393" t="s">
        <v>1191</v>
      </c>
      <c r="U3" s="2393" t="s">
        <v>1192</v>
      </c>
      <c r="V3" s="2399" t="s">
        <v>1193</v>
      </c>
      <c r="W3" s="2393" t="s">
        <v>1194</v>
      </c>
      <c r="X3" s="2393" t="s">
        <v>1195</v>
      </c>
      <c r="Y3" s="2400" t="s">
        <v>1196</v>
      </c>
      <c r="Z3" s="2401" t="s">
        <v>1197</v>
      </c>
      <c r="AA3" s="2398" t="s">
        <v>1198</v>
      </c>
      <c r="AB3" s="2398" t="s">
        <v>1199</v>
      </c>
      <c r="AC3" s="2398" t="s">
        <v>1200</v>
      </c>
      <c r="AD3" s="2241" t="s">
        <v>1153</v>
      </c>
      <c r="AE3" s="2243" t="s">
        <v>1154</v>
      </c>
      <c r="AF3" s="2401" t="s">
        <v>1155</v>
      </c>
      <c r="AG3" s="2401" t="s">
        <v>1201</v>
      </c>
      <c r="AH3" s="2401" t="s">
        <v>1202</v>
      </c>
      <c r="AI3" s="2402" t="s">
        <v>1156</v>
      </c>
      <c r="AJ3" s="2402" t="s">
        <v>1157</v>
      </c>
      <c r="AK3" s="2398" t="s">
        <v>1203</v>
      </c>
    </row>
    <row r="4" spans="1:37" x14ac:dyDescent="0.25">
      <c r="A4" s="2403">
        <v>1</v>
      </c>
      <c r="B4" s="2404" t="s">
        <v>121</v>
      </c>
      <c r="C4" s="2405">
        <v>39380</v>
      </c>
      <c r="D4" s="2406">
        <v>44876159</v>
      </c>
      <c r="E4" s="2407">
        <v>1008</v>
      </c>
      <c r="F4" s="2408">
        <v>25961659</v>
      </c>
      <c r="G4" s="2409">
        <v>28477008.41</v>
      </c>
      <c r="H4" s="2410">
        <v>594</v>
      </c>
      <c r="I4" s="2411">
        <v>32345550.784000002</v>
      </c>
      <c r="J4" s="2412">
        <v>569</v>
      </c>
      <c r="K4" s="2413" t="str">
        <f t="shared" ref="K4:K9" si="0">IF(AND(F4&lt;=G4,G4&lt;=I4),"Yes","No")</f>
        <v>Yes</v>
      </c>
      <c r="L4" s="2408">
        <v>3375508</v>
      </c>
      <c r="M4" s="2409">
        <v>3520154.0678753383</v>
      </c>
      <c r="N4" s="2414">
        <v>1276035.6199999999</v>
      </c>
      <c r="O4" s="2415">
        <v>2774748.3970000003</v>
      </c>
      <c r="P4" s="2416">
        <v>98</v>
      </c>
      <c r="Q4" s="2417">
        <v>76</v>
      </c>
      <c r="R4" s="2418" t="str">
        <f t="shared" ref="R4:R9" si="1">+IF(O4&gt;=M4, "Yes", "No")</f>
        <v>No</v>
      </c>
      <c r="S4" s="2419" t="str">
        <f>+IF(Q4&gt;=P4, "yes","No")</f>
        <v>No</v>
      </c>
      <c r="T4" s="2420">
        <v>5515000</v>
      </c>
      <c r="U4" s="2421">
        <v>6190786.1322772205</v>
      </c>
      <c r="V4" s="2421">
        <v>4064231.2600000002</v>
      </c>
      <c r="W4" s="2422">
        <v>189</v>
      </c>
      <c r="X4" s="2423">
        <v>148</v>
      </c>
      <c r="Y4" s="2424" t="str">
        <f t="shared" ref="Y4:Y9" si="2">IF(U4&gt;=T4, "Yes", "No")</f>
        <v>Yes</v>
      </c>
      <c r="Z4" s="2425" t="str">
        <f t="shared" ref="Z4:Z9" si="3">IF(W4&lt;=X4,"Yes","No")</f>
        <v>No</v>
      </c>
      <c r="AA4" s="2426">
        <v>9164447</v>
      </c>
      <c r="AB4" s="2427">
        <v>1124132</v>
      </c>
      <c r="AC4" s="2428">
        <f t="shared" ref="AC4:AC10" si="4">AA4+AB4</f>
        <v>10288579</v>
      </c>
      <c r="AD4" s="2429" t="s">
        <v>452</v>
      </c>
      <c r="AE4" s="2430" t="s">
        <v>452</v>
      </c>
      <c r="AF4" s="2431">
        <v>53718</v>
      </c>
      <c r="AG4" s="2432">
        <v>123712</v>
      </c>
      <c r="AH4" s="2433">
        <v>77885</v>
      </c>
      <c r="AI4" s="2434" t="s">
        <v>1164</v>
      </c>
      <c r="AJ4" s="2434">
        <f>COUNTIF(A4:Z4,"Yes")</f>
        <v>2</v>
      </c>
      <c r="AK4" s="2435"/>
    </row>
    <row r="5" spans="1:37" x14ac:dyDescent="0.25">
      <c r="A5" s="2436">
        <v>2</v>
      </c>
      <c r="B5" s="2437" t="s">
        <v>1161</v>
      </c>
      <c r="C5" s="2438">
        <v>39135</v>
      </c>
      <c r="D5" s="2439">
        <v>5277885</v>
      </c>
      <c r="E5" s="2440">
        <v>300</v>
      </c>
      <c r="F5" s="2441">
        <v>0</v>
      </c>
      <c r="G5" s="2442">
        <v>3964433</v>
      </c>
      <c r="H5" s="2443">
        <v>115</v>
      </c>
      <c r="I5" s="2444">
        <f>(O5-M5)+G5</f>
        <v>4476187</v>
      </c>
      <c r="J5" s="2445">
        <v>115</v>
      </c>
      <c r="K5" s="2446" t="str">
        <f t="shared" si="0"/>
        <v>Yes</v>
      </c>
      <c r="L5" s="2441">
        <v>3862631</v>
      </c>
      <c r="M5" s="2442">
        <v>3964433</v>
      </c>
      <c r="N5" s="2447">
        <v>3114149.1899999995</v>
      </c>
      <c r="O5" s="2444">
        <v>4476187</v>
      </c>
      <c r="P5" s="2448">
        <v>115</v>
      </c>
      <c r="Q5" s="2445">
        <v>115</v>
      </c>
      <c r="R5" s="2449" t="str">
        <f t="shared" si="1"/>
        <v>Yes</v>
      </c>
      <c r="S5" s="2450" t="str">
        <f>+IF(Q5&gt;=P5, "Yes","No")</f>
        <v>Yes</v>
      </c>
      <c r="T5" s="2441">
        <v>600000</v>
      </c>
      <c r="U5" s="2451">
        <v>319238.40000000002</v>
      </c>
      <c r="V5" s="2451">
        <v>275162.28999999998</v>
      </c>
      <c r="W5" s="2452">
        <v>20</v>
      </c>
      <c r="X5" s="2453">
        <v>9</v>
      </c>
      <c r="Y5" s="2454" t="str">
        <f t="shared" si="2"/>
        <v>No</v>
      </c>
      <c r="Z5" s="2455" t="str">
        <f t="shared" si="3"/>
        <v>No</v>
      </c>
      <c r="AA5" s="2456">
        <v>68025</v>
      </c>
      <c r="AB5" s="2457">
        <v>730052</v>
      </c>
      <c r="AC5" s="2428">
        <f t="shared" si="4"/>
        <v>798077</v>
      </c>
      <c r="AD5" s="2458" t="s">
        <v>452</v>
      </c>
      <c r="AE5" s="2459" t="s">
        <v>452</v>
      </c>
      <c r="AF5" s="2460">
        <v>132613</v>
      </c>
      <c r="AG5" s="2461">
        <v>132613</v>
      </c>
      <c r="AH5" s="2462">
        <v>7911</v>
      </c>
      <c r="AI5" s="2463" t="s">
        <v>1162</v>
      </c>
      <c r="AJ5" s="2464">
        <f>COUNTIF(K5:Z5, "Yes")</f>
        <v>3</v>
      </c>
      <c r="AK5" s="2465" t="s">
        <v>1204</v>
      </c>
    </row>
    <row r="6" spans="1:37" x14ac:dyDescent="0.25">
      <c r="A6" s="2436">
        <v>3</v>
      </c>
      <c r="B6" s="2437" t="s">
        <v>1163</v>
      </c>
      <c r="C6" s="2438">
        <v>39380</v>
      </c>
      <c r="D6" s="2439">
        <v>1080693.3</v>
      </c>
      <c r="E6" s="2440">
        <v>31</v>
      </c>
      <c r="F6" s="2441">
        <v>574473</v>
      </c>
      <c r="G6" s="2442">
        <v>722983</v>
      </c>
      <c r="H6" s="2443">
        <v>12</v>
      </c>
      <c r="I6" s="2444">
        <v>735355</v>
      </c>
      <c r="J6" s="2445">
        <v>12</v>
      </c>
      <c r="K6" s="2446" t="str">
        <f t="shared" si="0"/>
        <v>Yes</v>
      </c>
      <c r="L6" s="2441">
        <v>137800</v>
      </c>
      <c r="M6" s="2442">
        <v>94000</v>
      </c>
      <c r="N6" s="2466">
        <v>22792</v>
      </c>
      <c r="O6" s="2444">
        <v>91979.459999999992</v>
      </c>
      <c r="P6" s="2448">
        <v>3</v>
      </c>
      <c r="Q6" s="2445">
        <v>1</v>
      </c>
      <c r="R6" s="2467" t="str">
        <f>+IF(O6&gt;=M6, "Yes", "No")</f>
        <v>No</v>
      </c>
      <c r="S6" s="2468" t="str">
        <f>+IF(Q6&gt;=P6, "yes","No")</f>
        <v>No</v>
      </c>
      <c r="T6" s="2441">
        <v>288400</v>
      </c>
      <c r="U6" s="2469">
        <v>0</v>
      </c>
      <c r="V6" s="2469">
        <v>0</v>
      </c>
      <c r="W6" s="2470">
        <v>5</v>
      </c>
      <c r="X6" s="2471">
        <v>0</v>
      </c>
      <c r="Y6" s="2454" t="str">
        <f t="shared" si="2"/>
        <v>No</v>
      </c>
      <c r="Z6" s="2455" t="str">
        <f t="shared" si="3"/>
        <v>No</v>
      </c>
      <c r="AA6" s="2456">
        <v>205233</v>
      </c>
      <c r="AB6" s="2457">
        <v>113500</v>
      </c>
      <c r="AC6" s="2428">
        <f t="shared" si="4"/>
        <v>318733</v>
      </c>
      <c r="AD6" s="2458" t="s">
        <v>452</v>
      </c>
      <c r="AE6" s="2472" t="s">
        <v>452</v>
      </c>
      <c r="AF6" s="2473">
        <v>291</v>
      </c>
      <c r="AG6" s="2474">
        <v>3490</v>
      </c>
      <c r="AH6" s="2475">
        <v>2586</v>
      </c>
      <c r="AI6" s="2464" t="s">
        <v>1164</v>
      </c>
      <c r="AJ6" s="2464">
        <f>COUNTIF(K6:Z6, "Yes")</f>
        <v>1</v>
      </c>
      <c r="AK6" s="2476"/>
    </row>
    <row r="7" spans="1:37" x14ac:dyDescent="0.25">
      <c r="A7" s="2436">
        <v>4</v>
      </c>
      <c r="B7" s="2437" t="s">
        <v>1165</v>
      </c>
      <c r="C7" s="2438">
        <v>39205</v>
      </c>
      <c r="D7" s="2439">
        <v>1661794.25</v>
      </c>
      <c r="E7" s="2477">
        <v>47</v>
      </c>
      <c r="F7" s="2441">
        <v>522949</v>
      </c>
      <c r="G7" s="2442">
        <v>710851</v>
      </c>
      <c r="H7" s="2443">
        <v>12</v>
      </c>
      <c r="I7" s="2444">
        <v>734526</v>
      </c>
      <c r="J7" s="2445">
        <v>11</v>
      </c>
      <c r="K7" s="2446" t="str">
        <f t="shared" si="0"/>
        <v>Yes</v>
      </c>
      <c r="L7" s="2441">
        <v>623440</v>
      </c>
      <c r="M7" s="2442">
        <v>834267.24</v>
      </c>
      <c r="N7" s="2442">
        <v>179020.70999999996</v>
      </c>
      <c r="O7" s="2444">
        <v>486114</v>
      </c>
      <c r="P7" s="2448">
        <v>18</v>
      </c>
      <c r="Q7" s="2445">
        <v>7</v>
      </c>
      <c r="R7" s="2467" t="str">
        <f>+IF(O7&gt;=M7, "Yes", "No")</f>
        <v>No</v>
      </c>
      <c r="S7" s="2468" t="str">
        <f>+IF(Q7&gt;=P7, "yes","No")</f>
        <v>No</v>
      </c>
      <c r="T7" s="2441">
        <v>889920</v>
      </c>
      <c r="U7" s="2469">
        <v>181925</v>
      </c>
      <c r="V7" s="2469">
        <v>132557.88</v>
      </c>
      <c r="W7" s="2470">
        <v>29</v>
      </c>
      <c r="X7" s="2471">
        <v>5</v>
      </c>
      <c r="Y7" s="2454" t="str">
        <f t="shared" si="2"/>
        <v>No</v>
      </c>
      <c r="Z7" s="2455" t="str">
        <f t="shared" si="3"/>
        <v>No</v>
      </c>
      <c r="AA7" s="2456">
        <v>338922</v>
      </c>
      <c r="AB7" s="2457">
        <v>301730.71999999997</v>
      </c>
      <c r="AC7" s="2428">
        <f t="shared" si="4"/>
        <v>640652.72</v>
      </c>
      <c r="AD7" s="2458" t="s">
        <v>452</v>
      </c>
      <c r="AE7" s="2472" t="s">
        <v>452</v>
      </c>
      <c r="AF7" s="2478">
        <v>9418</v>
      </c>
      <c r="AG7" s="2474">
        <v>34646</v>
      </c>
      <c r="AH7" s="2475">
        <v>29158</v>
      </c>
      <c r="AI7" s="2464" t="s">
        <v>1164</v>
      </c>
      <c r="AJ7" s="2464">
        <f>COUNTIF(K7:Z7, "Yes")</f>
        <v>1</v>
      </c>
      <c r="AK7" s="2476"/>
    </row>
    <row r="8" spans="1:37" x14ac:dyDescent="0.25">
      <c r="A8" s="2436">
        <v>5</v>
      </c>
      <c r="B8" s="2437" t="s">
        <v>1166</v>
      </c>
      <c r="C8" s="2438">
        <v>39261</v>
      </c>
      <c r="D8" s="2439">
        <v>30113711.960000001</v>
      </c>
      <c r="E8" s="2440">
        <v>583</v>
      </c>
      <c r="F8" s="2441">
        <v>26496627</v>
      </c>
      <c r="G8" s="2442">
        <v>22576438.949999999</v>
      </c>
      <c r="H8" s="2443">
        <v>423</v>
      </c>
      <c r="I8" s="2444">
        <v>24820131.960000027</v>
      </c>
      <c r="J8" s="2445">
        <v>408</v>
      </c>
      <c r="K8" s="2479" t="str">
        <f t="shared" si="0"/>
        <v>No</v>
      </c>
      <c r="L8" s="2441">
        <v>450000</v>
      </c>
      <c r="M8" s="2480">
        <v>852860.91191351344</v>
      </c>
      <c r="N8" s="2481">
        <v>301450.45</v>
      </c>
      <c r="O8" s="2291">
        <v>1031433.34</v>
      </c>
      <c r="P8" s="2452">
        <v>17</v>
      </c>
      <c r="Q8" s="2482">
        <v>14</v>
      </c>
      <c r="R8" s="2449" t="str">
        <f>+IF(O8&gt;=M8, "Yes", "No")</f>
        <v>Yes</v>
      </c>
      <c r="S8" s="2468" t="str">
        <f>+IF(Q8&gt;=P8, "yes","No")</f>
        <v>No</v>
      </c>
      <c r="T8" s="2441">
        <v>3071250</v>
      </c>
      <c r="U8" s="2483">
        <v>0</v>
      </c>
      <c r="V8" s="2483">
        <v>450665.27</v>
      </c>
      <c r="W8" s="2470">
        <v>65</v>
      </c>
      <c r="X8" s="2471">
        <v>30</v>
      </c>
      <c r="Y8" s="2454" t="str">
        <f t="shared" si="2"/>
        <v>No</v>
      </c>
      <c r="Z8" s="2455" t="str">
        <f t="shared" si="3"/>
        <v>No</v>
      </c>
      <c r="AA8" s="2484"/>
      <c r="AB8" s="2485">
        <v>367685.66</v>
      </c>
      <c r="AC8" s="2428">
        <f t="shared" si="4"/>
        <v>367685.66</v>
      </c>
      <c r="AD8" s="2486" t="s">
        <v>453</v>
      </c>
      <c r="AE8" s="2472" t="s">
        <v>452</v>
      </c>
      <c r="AF8" s="2473">
        <v>0</v>
      </c>
      <c r="AG8" s="2474">
        <v>0</v>
      </c>
      <c r="AH8" s="2475">
        <v>25434</v>
      </c>
      <c r="AI8" s="2464" t="s">
        <v>1164</v>
      </c>
      <c r="AJ8" s="2464">
        <f>COUNTIF(K8:Z8, "Yes")</f>
        <v>1</v>
      </c>
      <c r="AK8" s="2476"/>
    </row>
    <row r="9" spans="1:37" ht="16.5" thickBot="1" x14ac:dyDescent="0.3">
      <c r="A9" s="2436">
        <v>6</v>
      </c>
      <c r="B9" s="2437" t="s">
        <v>1168</v>
      </c>
      <c r="C9" s="2438">
        <v>39205</v>
      </c>
      <c r="D9" s="2487">
        <v>781344</v>
      </c>
      <c r="E9" s="2488">
        <v>52</v>
      </c>
      <c r="F9" s="2489">
        <v>0</v>
      </c>
      <c r="G9" s="2490">
        <v>329280</v>
      </c>
      <c r="H9" s="2491">
        <v>11</v>
      </c>
      <c r="I9" s="2492">
        <f>(O9-M9)+G9</f>
        <v>554423</v>
      </c>
      <c r="J9" s="2493">
        <v>11</v>
      </c>
      <c r="K9" s="2494" t="str">
        <f t="shared" si="0"/>
        <v>Yes</v>
      </c>
      <c r="L9" s="2489">
        <v>329280</v>
      </c>
      <c r="M9" s="2490">
        <v>329280</v>
      </c>
      <c r="N9" s="2490">
        <v>328922.55</v>
      </c>
      <c r="O9" s="2492">
        <v>554423</v>
      </c>
      <c r="P9" s="2495">
        <v>10</v>
      </c>
      <c r="Q9" s="2493">
        <v>11</v>
      </c>
      <c r="R9" s="2496" t="str">
        <f t="shared" si="1"/>
        <v>Yes</v>
      </c>
      <c r="S9" s="2497" t="str">
        <f>+IF(Q9&gt;=P9, "Yes","No")</f>
        <v>Yes</v>
      </c>
      <c r="T9" s="2489">
        <v>107840</v>
      </c>
      <c r="U9" s="2498">
        <v>139017</v>
      </c>
      <c r="V9" s="2498">
        <v>139017</v>
      </c>
      <c r="W9" s="2499">
        <v>4</v>
      </c>
      <c r="X9" s="2500">
        <v>4</v>
      </c>
      <c r="Y9" s="2501" t="str">
        <f t="shared" si="2"/>
        <v>Yes</v>
      </c>
      <c r="Z9" s="2502" t="str">
        <f t="shared" si="3"/>
        <v>Yes</v>
      </c>
      <c r="AA9" s="2503">
        <v>29085.47</v>
      </c>
      <c r="AB9" s="2504">
        <v>2396.66</v>
      </c>
      <c r="AC9" s="2428">
        <f t="shared" si="4"/>
        <v>31482.13</v>
      </c>
      <c r="AD9" s="2505" t="s">
        <v>452</v>
      </c>
      <c r="AE9" s="2506" t="s">
        <v>452</v>
      </c>
      <c r="AF9" s="2507">
        <v>12904</v>
      </c>
      <c r="AG9" s="2508">
        <v>15508</v>
      </c>
      <c r="AH9" s="2509">
        <v>4817</v>
      </c>
      <c r="AI9" s="2510" t="s">
        <v>1162</v>
      </c>
      <c r="AJ9" s="2464">
        <f>COUNTIF(K9:Z9, "Yes")</f>
        <v>5</v>
      </c>
      <c r="AK9" s="2476"/>
    </row>
    <row r="10" spans="1:37" x14ac:dyDescent="0.25">
      <c r="A10" s="2511"/>
      <c r="B10" s="2512"/>
      <c r="C10" s="2513"/>
      <c r="D10" s="2514">
        <f t="shared" ref="D10:J10" si="5">SUM(D4:D9)</f>
        <v>83791587.50999999</v>
      </c>
      <c r="E10" s="2515">
        <f t="shared" si="5"/>
        <v>2021</v>
      </c>
      <c r="F10" s="2516">
        <f t="shared" si="5"/>
        <v>53555708</v>
      </c>
      <c r="G10" s="2517">
        <f t="shared" si="5"/>
        <v>56780994.359999999</v>
      </c>
      <c r="H10" s="2515">
        <f t="shared" si="5"/>
        <v>1167</v>
      </c>
      <c r="I10" s="2518">
        <f t="shared" si="5"/>
        <v>63666173.744000033</v>
      </c>
      <c r="J10" s="2515">
        <f t="shared" si="5"/>
        <v>1126</v>
      </c>
      <c r="K10" s="2519"/>
      <c r="L10" s="2520">
        <f t="shared" ref="L10:Q10" si="6">SUM(L4:L9)</f>
        <v>8778659</v>
      </c>
      <c r="M10" s="2521">
        <f t="shared" si="6"/>
        <v>9594995.2197888531</v>
      </c>
      <c r="N10" s="2521">
        <f t="shared" si="6"/>
        <v>5222370.5199999996</v>
      </c>
      <c r="O10" s="2521">
        <f t="shared" si="6"/>
        <v>9414885.1970000006</v>
      </c>
      <c r="P10" s="2522">
        <f t="shared" si="6"/>
        <v>261</v>
      </c>
      <c r="Q10" s="2523">
        <f t="shared" si="6"/>
        <v>224</v>
      </c>
      <c r="R10" s="2524"/>
      <c r="S10" s="2524"/>
      <c r="T10" s="2525">
        <f>+SUM(T4:T9)</f>
        <v>10472410</v>
      </c>
      <c r="U10" s="2521">
        <f>+SUM(U4:U9)</f>
        <v>6830966.5322772209</v>
      </c>
      <c r="V10" s="2521">
        <f>+SUM(V4:V9)</f>
        <v>5061633.6999999993</v>
      </c>
      <c r="W10" s="2522">
        <f>+SUM(W4:W9)</f>
        <v>312</v>
      </c>
      <c r="X10" s="2523">
        <f>+SUM(X4:X9)</f>
        <v>196</v>
      </c>
      <c r="Y10" s="2526"/>
      <c r="Z10" s="2527"/>
      <c r="AA10" s="2528">
        <f>SUM(AA4:AA9)</f>
        <v>9805712.4700000007</v>
      </c>
      <c r="AB10" s="2528">
        <f>SUM(AB4:AB9)</f>
        <v>2639497.04</v>
      </c>
      <c r="AC10" s="2529">
        <f t="shared" si="4"/>
        <v>12445209.510000002</v>
      </c>
      <c r="AD10" s="2529"/>
      <c r="AE10" s="2530"/>
      <c r="AF10" s="2531">
        <f>AF4+AF5+AF7+AF9</f>
        <v>208653</v>
      </c>
      <c r="AG10" s="2532">
        <f>AG5+AG9</f>
        <v>148121</v>
      </c>
      <c r="AH10" s="2533">
        <f>AH9</f>
        <v>4817</v>
      </c>
      <c r="AI10" s="2708">
        <f>SUM(AG10:AH10)</f>
        <v>152938</v>
      </c>
      <c r="AJ10" s="2534"/>
      <c r="AK10" s="2535"/>
    </row>
    <row r="11" spans="1:37" ht="39.75" customHeight="1" thickBot="1" x14ac:dyDescent="0.3">
      <c r="H11" s="2229"/>
      <c r="I11" s="2536"/>
      <c r="J11" s="2537"/>
      <c r="L11" s="2538">
        <v>2008</v>
      </c>
      <c r="M11" s="2539" t="s">
        <v>1205</v>
      </c>
      <c r="N11" s="2539"/>
      <c r="O11" s="2539"/>
      <c r="U11" s="2362">
        <f>SUM(U4,U6,U7,U8,U9)</f>
        <v>6511728.1322772205</v>
      </c>
      <c r="X11" s="2706">
        <f>SUM(X4,X6,X7,X8,X9)</f>
        <v>187</v>
      </c>
      <c r="AA11" s="2540"/>
      <c r="AB11" s="2540"/>
      <c r="AC11" s="2707">
        <f>SUM(AC4,AC6,AC7,AC8,AC9)</f>
        <v>11647132.510000002</v>
      </c>
      <c r="AD11" s="2348"/>
      <c r="AF11" s="2362"/>
      <c r="AG11" s="2362"/>
      <c r="AH11" s="2362"/>
      <c r="AI11" s="2362"/>
      <c r="AK11" s="2287"/>
    </row>
    <row r="12" spans="1:37" x14ac:dyDescent="0.25">
      <c r="A12" s="2436">
        <v>7</v>
      </c>
      <c r="B12" s="2437" t="s">
        <v>607</v>
      </c>
      <c r="C12" s="2438">
        <v>39709</v>
      </c>
      <c r="D12" s="2439">
        <v>406549.13</v>
      </c>
      <c r="E12" s="2440">
        <v>91</v>
      </c>
      <c r="F12" s="2441">
        <v>3773756</v>
      </c>
      <c r="G12" s="2444">
        <v>371258</v>
      </c>
      <c r="H12" s="2541">
        <v>60</v>
      </c>
      <c r="I12" s="2542"/>
      <c r="J12" s="2543"/>
      <c r="K12" s="2544" t="str">
        <f>IF(G12&gt;=F12,"YES", "No")</f>
        <v>No</v>
      </c>
      <c r="L12" s="2420">
        <v>100000</v>
      </c>
      <c r="M12" s="2444">
        <v>42062</v>
      </c>
      <c r="N12" s="2444">
        <v>6914.28</v>
      </c>
      <c r="O12" s="2444"/>
      <c r="P12" s="2448">
        <v>2</v>
      </c>
      <c r="Q12" s="2445">
        <v>1</v>
      </c>
      <c r="R12" s="2545" t="str">
        <f>+IF(M12&gt;=L12, "Yes", "No")</f>
        <v>No</v>
      </c>
      <c r="S12" s="2546" t="str">
        <f>+IF(Q12&gt;=P12, "yes","No")</f>
        <v>No</v>
      </c>
      <c r="T12" s="2441"/>
      <c r="U12" s="2444"/>
      <c r="V12" s="2444"/>
      <c r="W12" s="2547"/>
      <c r="X12" s="2548"/>
      <c r="Y12" s="2549"/>
      <c r="Z12" s="2550"/>
      <c r="AA12" s="2551">
        <v>231783</v>
      </c>
      <c r="AB12" s="2552">
        <v>234426</v>
      </c>
      <c r="AC12" s="2428">
        <f>AA12+AB12</f>
        <v>466209</v>
      </c>
      <c r="AD12" s="2430" t="s">
        <v>452</v>
      </c>
      <c r="AE12" s="2430" t="s">
        <v>452</v>
      </c>
      <c r="AF12" s="2551">
        <v>0</v>
      </c>
      <c r="AG12" s="2553"/>
      <c r="AH12" s="2554"/>
      <c r="AI12" s="2464" t="s">
        <v>1164</v>
      </c>
      <c r="AJ12" s="2464">
        <f>COUNTIF(K12:Z12, "Yes")</f>
        <v>0</v>
      </c>
      <c r="AK12" s="2476"/>
    </row>
    <row r="13" spans="1:37" x14ac:dyDescent="0.25">
      <c r="A13" s="2436">
        <v>8</v>
      </c>
      <c r="B13" s="2437" t="s">
        <v>385</v>
      </c>
      <c r="C13" s="2438">
        <v>39786</v>
      </c>
      <c r="D13" s="2439">
        <v>0</v>
      </c>
      <c r="E13" s="2440">
        <v>0</v>
      </c>
      <c r="F13" s="2441">
        <v>0</v>
      </c>
      <c r="G13" s="2444">
        <v>0</v>
      </c>
      <c r="H13" s="2541">
        <v>0</v>
      </c>
      <c r="I13" s="2444"/>
      <c r="J13" s="2445"/>
      <c r="K13" s="2479" t="str">
        <f>IF(G13&gt;F13,"YES", "No")</f>
        <v>No</v>
      </c>
      <c r="L13" s="2441">
        <v>128000</v>
      </c>
      <c r="M13" s="2444">
        <v>0</v>
      </c>
      <c r="N13" s="2444">
        <v>0</v>
      </c>
      <c r="O13" s="2444"/>
      <c r="P13" s="2448">
        <v>4</v>
      </c>
      <c r="Q13" s="2445"/>
      <c r="R13" s="2467" t="str">
        <f>+IF(M13&gt;=L13, "Yes", "No")</f>
        <v>No</v>
      </c>
      <c r="S13" s="2468" t="str">
        <f>+IF(Q13&gt;=P13, "yes","No")</f>
        <v>No</v>
      </c>
      <c r="T13" s="2441"/>
      <c r="U13" s="2444"/>
      <c r="V13" s="2444"/>
      <c r="W13" s="2547"/>
      <c r="X13" s="2548"/>
      <c r="Y13" s="2548"/>
      <c r="Z13" s="2550"/>
      <c r="AA13" s="2551">
        <v>9912.2900000000009</v>
      </c>
      <c r="AB13" s="2552">
        <v>94703.12</v>
      </c>
      <c r="AC13" s="2428">
        <f>AA13+AB13</f>
        <v>104615.41</v>
      </c>
      <c r="AD13" s="2472" t="s">
        <v>452</v>
      </c>
      <c r="AE13" s="2472" t="s">
        <v>452</v>
      </c>
      <c r="AF13" s="2551">
        <v>5628</v>
      </c>
      <c r="AG13" s="2553"/>
      <c r="AH13" s="2554"/>
      <c r="AI13" s="2464" t="s">
        <v>1164</v>
      </c>
      <c r="AJ13" s="2464">
        <f>COUNTIF(K13:Z13, "Yes")</f>
        <v>0</v>
      </c>
      <c r="AK13" s="2476"/>
    </row>
    <row r="14" spans="1:37" x14ac:dyDescent="0.25">
      <c r="A14" s="2436">
        <v>9</v>
      </c>
      <c r="B14" s="2437" t="s">
        <v>566</v>
      </c>
      <c r="C14" s="2438">
        <v>39744</v>
      </c>
      <c r="D14" s="2439">
        <v>275163.03999999998</v>
      </c>
      <c r="E14" s="2440">
        <v>16</v>
      </c>
      <c r="F14" s="2441">
        <v>0</v>
      </c>
      <c r="G14" s="2444">
        <f>M14</f>
        <v>875875</v>
      </c>
      <c r="H14" s="2541">
        <v>13</v>
      </c>
      <c r="I14" s="2444"/>
      <c r="J14" s="2445"/>
      <c r="K14" s="2446" t="str">
        <f>IF(G14&gt;=F14,"Yes", "No")</f>
        <v>Yes</v>
      </c>
      <c r="L14" s="2441">
        <v>820000</v>
      </c>
      <c r="M14" s="2444">
        <v>875875</v>
      </c>
      <c r="N14" s="2444">
        <v>252577.14</v>
      </c>
      <c r="O14" s="2444"/>
      <c r="P14" s="2448">
        <v>9</v>
      </c>
      <c r="Q14" s="2445">
        <v>13</v>
      </c>
      <c r="R14" s="2449" t="str">
        <f>+IF(M14&gt;=L14, "Yes", "No")</f>
        <v>Yes</v>
      </c>
      <c r="S14" s="2450" t="str">
        <f>+IF(Q14&gt;=P14, "yes","No")</f>
        <v>yes</v>
      </c>
      <c r="T14" s="2441"/>
      <c r="U14" s="2444"/>
      <c r="V14" s="2444"/>
      <c r="W14" s="2547"/>
      <c r="X14" s="2548"/>
      <c r="Y14" s="2548"/>
      <c r="Z14" s="2550"/>
      <c r="AA14" s="2551">
        <v>285843</v>
      </c>
      <c r="AB14" s="2552">
        <v>43285</v>
      </c>
      <c r="AC14" s="2428">
        <f>AA14+AB14</f>
        <v>329128</v>
      </c>
      <c r="AD14" s="2472" t="s">
        <v>452</v>
      </c>
      <c r="AE14" s="2472" t="s">
        <v>452</v>
      </c>
      <c r="AF14" s="2555">
        <v>11565</v>
      </c>
      <c r="AG14" s="2553"/>
      <c r="AH14" s="2554"/>
      <c r="AI14" s="2510" t="s">
        <v>1162</v>
      </c>
      <c r="AJ14" s="2464">
        <f>COUNTIF(K14:Z14, "Yes")</f>
        <v>3</v>
      </c>
      <c r="AK14" s="2476"/>
    </row>
    <row r="15" spans="1:37" ht="16.5" thickBot="1" x14ac:dyDescent="0.3">
      <c r="A15" s="2436">
        <v>10</v>
      </c>
      <c r="B15" s="2437" t="s">
        <v>1206</v>
      </c>
      <c r="C15" s="2438">
        <v>39534</v>
      </c>
      <c r="D15" s="2439">
        <v>689078.5</v>
      </c>
      <c r="E15" s="2440">
        <v>53</v>
      </c>
      <c r="F15" s="2441">
        <v>0</v>
      </c>
      <c r="G15" s="2444">
        <f>M15</f>
        <v>1093478</v>
      </c>
      <c r="H15" s="2541">
        <v>27</v>
      </c>
      <c r="I15" s="2444"/>
      <c r="J15" s="2445"/>
      <c r="K15" s="2494" t="str">
        <f>IF(G15&gt;=F15,"Yes", "No")</f>
        <v>Yes</v>
      </c>
      <c r="L15" s="2441">
        <v>1065837</v>
      </c>
      <c r="M15" s="2556">
        <v>1093478</v>
      </c>
      <c r="N15" s="2556">
        <v>566722</v>
      </c>
      <c r="O15" s="2444"/>
      <c r="P15" s="2448">
        <v>24</v>
      </c>
      <c r="Q15" s="2445">
        <v>27</v>
      </c>
      <c r="R15" s="2496" t="str">
        <f>+IF(N15&gt;=L16, "Yes", "No")</f>
        <v>Yes</v>
      </c>
      <c r="S15" s="2497" t="str">
        <f>+IF(Q15&gt;=P15, "yes","No")</f>
        <v>yes</v>
      </c>
      <c r="T15" s="2441"/>
      <c r="U15" s="2444"/>
      <c r="V15" s="2444"/>
      <c r="W15" s="2547"/>
      <c r="X15" s="2548"/>
      <c r="Y15" s="2548"/>
      <c r="Z15" s="2550"/>
      <c r="AA15" s="2551"/>
      <c r="AB15" s="2552">
        <v>0</v>
      </c>
      <c r="AC15" s="2428">
        <f>AA15+AB15</f>
        <v>0</v>
      </c>
      <c r="AD15" s="2506" t="s">
        <v>452</v>
      </c>
      <c r="AE15" s="2506" t="s">
        <v>452</v>
      </c>
      <c r="AF15" s="2555">
        <v>21924</v>
      </c>
      <c r="AG15" s="2553"/>
      <c r="AH15" s="2554"/>
      <c r="AI15" s="2510" t="s">
        <v>1162</v>
      </c>
      <c r="AJ15" s="2464">
        <f>COUNTIF(K15:Z15, "Yes")</f>
        <v>3</v>
      </c>
      <c r="AK15" s="2476"/>
    </row>
    <row r="16" spans="1:37" x14ac:dyDescent="0.25">
      <c r="A16" s="2557"/>
      <c r="B16" s="2558"/>
      <c r="C16" s="2559"/>
      <c r="D16" s="2487"/>
      <c r="E16" s="2560"/>
      <c r="F16" s="2561"/>
      <c r="G16" s="2492"/>
      <c r="H16" s="2562"/>
      <c r="I16" s="2492"/>
      <c r="J16" s="2562"/>
      <c r="K16" s="2563"/>
      <c r="L16" s="2489">
        <f>L15/2</f>
        <v>532918.5</v>
      </c>
      <c r="M16" s="2564"/>
      <c r="N16" s="2564"/>
      <c r="O16" s="2492"/>
      <c r="P16" s="2565"/>
      <c r="Q16" s="2562"/>
      <c r="R16" s="2566"/>
      <c r="S16" s="2567"/>
      <c r="T16" s="2489"/>
      <c r="U16" s="2492"/>
      <c r="V16" s="2492"/>
      <c r="W16" s="2568"/>
      <c r="X16" s="2569"/>
      <c r="Y16" s="2569"/>
      <c r="Z16" s="2570"/>
      <c r="AA16" s="2571"/>
      <c r="AB16" s="2572"/>
      <c r="AC16" s="2573"/>
      <c r="AD16" s="2574"/>
      <c r="AE16" s="2575"/>
      <c r="AF16" s="2576"/>
      <c r="AG16" s="2577"/>
      <c r="AH16" s="2578"/>
      <c r="AI16" s="2579"/>
      <c r="AJ16" s="2579"/>
      <c r="AK16" s="2580"/>
    </row>
    <row r="17" spans="1:37" x14ac:dyDescent="0.25">
      <c r="A17" s="2581"/>
      <c r="B17" s="2581"/>
      <c r="C17" s="2582"/>
      <c r="D17" s="2514">
        <f>SUM(D12:D15)</f>
        <v>1370790.67</v>
      </c>
      <c r="E17" s="2583">
        <f>SUM(E12:E15)</f>
        <v>160</v>
      </c>
      <c r="F17" s="2525">
        <f>SUM(F12:F15)</f>
        <v>3773756</v>
      </c>
      <c r="G17" s="2514">
        <f>+SUM(G12:G15)</f>
        <v>2340611</v>
      </c>
      <c r="H17" s="2515">
        <f>SUM(H12:H15)</f>
        <v>100</v>
      </c>
      <c r="I17" s="2514"/>
      <c r="J17" s="2515"/>
      <c r="K17" s="2584"/>
      <c r="L17" s="2585">
        <f>SUM(L16,L12:L14)</f>
        <v>1580918.5</v>
      </c>
      <c r="M17" s="2514">
        <f>SUM(M12:M15)</f>
        <v>2011415</v>
      </c>
      <c r="N17" s="2514">
        <f>SUM(N12:N15)</f>
        <v>826213.42</v>
      </c>
      <c r="O17" s="2514">
        <f>SUM(O12:O15)</f>
        <v>0</v>
      </c>
      <c r="P17" s="2583">
        <f>SUM(P12:P15)</f>
        <v>39</v>
      </c>
      <c r="Q17" s="2583">
        <f>SUM(Q12:Q15)</f>
        <v>41</v>
      </c>
      <c r="R17" s="2586"/>
      <c r="S17" s="2586"/>
      <c r="T17" s="2525"/>
      <c r="U17" s="2514"/>
      <c r="V17" s="2514"/>
      <c r="W17" s="2522"/>
      <c r="X17" s="2581"/>
      <c r="Y17" s="2581"/>
      <c r="Z17" s="2587"/>
      <c r="AA17" s="2588">
        <f>SUM(AA12:AA15)</f>
        <v>527538.29</v>
      </c>
      <c r="AB17" s="2588">
        <f>SUM(AB12:AB15)</f>
        <v>372414.12</v>
      </c>
      <c r="AC17" s="2588">
        <f>AA17+AB17</f>
        <v>899952.41</v>
      </c>
      <c r="AD17" s="2589"/>
      <c r="AE17" s="2515"/>
      <c r="AF17" s="2517">
        <f>AF14+AF15</f>
        <v>33489</v>
      </c>
      <c r="AG17" s="2590"/>
      <c r="AH17" s="2514"/>
      <c r="AI17" s="2583"/>
      <c r="AJ17" s="2583"/>
      <c r="AK17" s="2591"/>
    </row>
    <row r="18" spans="1:37" s="2334" customFormat="1" x14ac:dyDescent="0.25">
      <c r="A18" s="2324"/>
      <c r="B18" s="2324"/>
      <c r="C18" s="2325"/>
      <c r="D18" s="2326"/>
      <c r="E18" s="2327"/>
      <c r="F18" s="2326"/>
      <c r="G18" s="2326"/>
      <c r="H18" s="2327"/>
      <c r="I18" s="2326"/>
      <c r="J18" s="2327"/>
      <c r="K18" s="2328"/>
      <c r="L18" s="2329"/>
      <c r="M18" s="2326"/>
      <c r="N18" s="2326"/>
      <c r="O18" s="2326"/>
      <c r="P18" s="2330"/>
      <c r="Q18" s="2327"/>
      <c r="R18" s="2331"/>
      <c r="S18" s="2331"/>
      <c r="T18" s="2592"/>
      <c r="U18" s="2326"/>
      <c r="V18" s="2326"/>
      <c r="W18" s="2593"/>
      <c r="X18" s="2324"/>
      <c r="Y18" s="2324"/>
      <c r="Z18" s="2594"/>
      <c r="AA18" s="2332"/>
      <c r="AB18" s="2332"/>
      <c r="AC18" s="2332"/>
      <c r="AD18" s="2332"/>
      <c r="AE18" s="2327"/>
      <c r="AF18" s="2333"/>
      <c r="AG18" s="2595"/>
      <c r="AH18" s="2326"/>
      <c r="AI18" s="2332"/>
      <c r="AJ18" s="2332"/>
      <c r="AK18" s="2329"/>
    </row>
    <row r="19" spans="1:37" x14ac:dyDescent="0.25">
      <c r="A19" s="2335"/>
      <c r="B19" s="2336" t="s">
        <v>1169</v>
      </c>
      <c r="C19" s="2337">
        <v>39289</v>
      </c>
      <c r="D19" s="2338"/>
      <c r="E19" s="2339"/>
      <c r="F19" s="2338"/>
      <c r="G19" s="2338"/>
      <c r="H19" s="2339"/>
      <c r="I19" s="2338"/>
      <c r="J19" s="2339"/>
      <c r="K19" s="2340"/>
      <c r="L19" s="2338"/>
      <c r="M19" s="2338"/>
      <c r="N19" s="2338"/>
      <c r="O19" s="2338"/>
      <c r="P19" s="2596"/>
      <c r="Q19" s="2339"/>
      <c r="R19" s="2597"/>
      <c r="S19" s="2597"/>
      <c r="T19" s="2598"/>
      <c r="U19" s="2338"/>
      <c r="V19" s="2338"/>
      <c r="W19" s="2599"/>
      <c r="X19" s="2600"/>
      <c r="Y19" s="2600"/>
      <c r="Z19" s="2344"/>
      <c r="AA19" s="2344"/>
      <c r="AB19" s="2344"/>
      <c r="AC19" s="2344"/>
      <c r="AD19" s="2344"/>
      <c r="AE19" s="2345"/>
      <c r="AF19" s="2345"/>
      <c r="AG19" s="4365" t="s">
        <v>1207</v>
      </c>
      <c r="AH19" s="4365"/>
      <c r="AI19" s="4365"/>
      <c r="AJ19" s="2346"/>
      <c r="AK19" s="2347">
        <v>2007</v>
      </c>
    </row>
    <row r="20" spans="1:37" x14ac:dyDescent="0.25">
      <c r="A20" s="2335"/>
      <c r="B20" s="2336" t="s">
        <v>477</v>
      </c>
      <c r="C20" s="2337">
        <v>39513</v>
      </c>
      <c r="D20" s="2338"/>
      <c r="E20" s="2339"/>
      <c r="F20" s="2338"/>
      <c r="G20" s="2338"/>
      <c r="H20" s="2339"/>
      <c r="I20" s="2338"/>
      <c r="J20" s="2339"/>
      <c r="K20" s="2340"/>
      <c r="L20" s="2598"/>
      <c r="M20" s="2338"/>
      <c r="N20" s="2338"/>
      <c r="O20" s="2601"/>
      <c r="P20" s="2602"/>
      <c r="Q20" s="2339"/>
      <c r="R20" s="2597"/>
      <c r="S20" s="2597"/>
      <c r="T20" s="2598"/>
      <c r="U20" s="2338"/>
      <c r="V20" s="2338"/>
      <c r="W20" s="2603"/>
      <c r="X20" s="2604"/>
      <c r="Y20" s="2605"/>
      <c r="Z20" s="2344"/>
      <c r="AA20" s="2344"/>
      <c r="AB20" s="2344"/>
      <c r="AC20" s="2344"/>
      <c r="AD20" s="2344"/>
      <c r="AE20" s="2345"/>
      <c r="AF20" s="2606"/>
      <c r="AG20" s="4365" t="s">
        <v>1207</v>
      </c>
      <c r="AH20" s="4365"/>
      <c r="AI20" s="4365"/>
      <c r="AJ20" s="2346"/>
      <c r="AK20" s="2347">
        <v>2008</v>
      </c>
    </row>
    <row r="21" spans="1:37" x14ac:dyDescent="0.25">
      <c r="A21" s="2335"/>
      <c r="B21" s="2336" t="s">
        <v>1208</v>
      </c>
      <c r="C21" s="2337"/>
      <c r="D21" s="2338"/>
      <c r="E21" s="2339"/>
      <c r="F21" s="2338"/>
      <c r="G21" s="2338"/>
      <c r="H21" s="2339"/>
      <c r="I21" s="2338"/>
      <c r="J21" s="2339"/>
      <c r="K21" s="2340"/>
      <c r="L21" s="2598"/>
      <c r="M21" s="2338"/>
      <c r="N21" s="2338"/>
      <c r="O21" s="2601"/>
      <c r="P21" s="2602"/>
      <c r="Q21" s="2339"/>
      <c r="R21" s="2597"/>
      <c r="S21" s="2597"/>
      <c r="T21" s="2598"/>
      <c r="U21" s="2338"/>
      <c r="V21" s="2338"/>
      <c r="W21" s="2603"/>
      <c r="X21" s="2604"/>
      <c r="Y21" s="2605"/>
      <c r="Z21" s="2344"/>
      <c r="AA21" s="2344"/>
      <c r="AB21" s="2344"/>
      <c r="AC21" s="2344"/>
      <c r="AD21" s="2344"/>
      <c r="AE21" s="2345"/>
      <c r="AF21" s="2606"/>
      <c r="AG21" s="4365" t="s">
        <v>1207</v>
      </c>
      <c r="AH21" s="4365"/>
      <c r="AI21" s="4365"/>
      <c r="AJ21" s="2346"/>
      <c r="AK21" s="2347">
        <v>2008</v>
      </c>
    </row>
    <row r="22" spans="1:37" x14ac:dyDescent="0.25">
      <c r="A22" s="2335"/>
      <c r="B22" s="2336" t="s">
        <v>1209</v>
      </c>
      <c r="C22" s="2337"/>
      <c r="D22" s="2338"/>
      <c r="E22" s="2339"/>
      <c r="F22" s="2338"/>
      <c r="G22" s="2338"/>
      <c r="H22" s="2339"/>
      <c r="I22" s="2338"/>
      <c r="J22" s="2339"/>
      <c r="K22" s="2340"/>
      <c r="L22" s="2598"/>
      <c r="M22" s="2338"/>
      <c r="N22" s="2338"/>
      <c r="O22" s="2601"/>
      <c r="P22" s="2602"/>
      <c r="Q22" s="2339"/>
      <c r="R22" s="2597"/>
      <c r="S22" s="2597"/>
      <c r="T22" s="2598"/>
      <c r="U22" s="2338"/>
      <c r="V22" s="2338"/>
      <c r="W22" s="2603"/>
      <c r="X22" s="2604"/>
      <c r="Y22" s="2605"/>
      <c r="Z22" s="2344"/>
      <c r="AA22" s="2344"/>
      <c r="AB22" s="2344"/>
      <c r="AC22" s="2344"/>
      <c r="AD22" s="2344"/>
      <c r="AE22" s="2345"/>
      <c r="AF22" s="2606"/>
      <c r="AG22" s="4365" t="s">
        <v>1207</v>
      </c>
      <c r="AH22" s="4365"/>
      <c r="AI22" s="4365"/>
      <c r="AJ22" s="2346"/>
      <c r="AK22" s="2347">
        <v>2008</v>
      </c>
    </row>
    <row r="23" spans="1:37" x14ac:dyDescent="0.25">
      <c r="C23" s="2361"/>
      <c r="D23" s="2607"/>
      <c r="E23" s="2363"/>
      <c r="F23" s="2607"/>
      <c r="G23" s="2607"/>
      <c r="H23" s="2608"/>
      <c r="I23" s="2607"/>
      <c r="J23" s="2352"/>
      <c r="K23" s="2609"/>
      <c r="L23" s="2362"/>
      <c r="M23" s="2362"/>
      <c r="N23" s="2362"/>
      <c r="O23" s="2362"/>
      <c r="P23" s="2363"/>
      <c r="Q23" s="2351"/>
      <c r="R23" s="2363"/>
      <c r="S23" s="2363"/>
      <c r="T23" s="2610"/>
      <c r="U23" s="2362"/>
      <c r="V23" s="2362"/>
      <c r="W23" s="2611"/>
      <c r="Z23" s="2363"/>
      <c r="AA23" s="2363"/>
      <c r="AB23" s="2363"/>
      <c r="AC23" s="2363"/>
      <c r="AD23" s="2363"/>
      <c r="AF23" s="2362"/>
      <c r="AG23" s="2612"/>
      <c r="AH23" s="2362"/>
      <c r="AI23" s="2363"/>
      <c r="AJ23" s="2363"/>
    </row>
    <row r="24" spans="1:37" ht="19.5" customHeight="1" x14ac:dyDescent="0.25">
      <c r="A24" s="2613"/>
      <c r="B24" s="2614" t="s">
        <v>1210</v>
      </c>
      <c r="C24" s="2615"/>
      <c r="D24" s="2616">
        <f t="shared" ref="D24:J24" si="7">D10+D17</f>
        <v>85162378.179999992</v>
      </c>
      <c r="E24" s="2617">
        <f t="shared" si="7"/>
        <v>2181</v>
      </c>
      <c r="F24" s="2616">
        <f t="shared" si="7"/>
        <v>57329464</v>
      </c>
      <c r="G24" s="2616">
        <f t="shared" si="7"/>
        <v>59121605.359999999</v>
      </c>
      <c r="H24" s="2618">
        <f t="shared" si="7"/>
        <v>1267</v>
      </c>
      <c r="I24" s="2616">
        <f t="shared" si="7"/>
        <v>63666173.744000033</v>
      </c>
      <c r="J24" s="2618">
        <f t="shared" si="7"/>
        <v>1126</v>
      </c>
      <c r="K24" s="2617"/>
      <c r="L24" s="2616">
        <f t="shared" ref="L24:Q24" si="8">L10+L17</f>
        <v>10359577.5</v>
      </c>
      <c r="M24" s="2616">
        <f t="shared" si="8"/>
        <v>11606410.219788853</v>
      </c>
      <c r="N24" s="2616">
        <f t="shared" si="8"/>
        <v>6048583.9399999995</v>
      </c>
      <c r="O24" s="2616">
        <f t="shared" si="8"/>
        <v>9414885.1970000006</v>
      </c>
      <c r="P24" s="2617">
        <f t="shared" si="8"/>
        <v>300</v>
      </c>
      <c r="Q24" s="2617">
        <f t="shared" si="8"/>
        <v>265</v>
      </c>
      <c r="R24" s="2617"/>
      <c r="S24" s="2617"/>
      <c r="T24" s="2616">
        <f>T10+T17</f>
        <v>10472410</v>
      </c>
      <c r="U24" s="2616">
        <f>U10+U17</f>
        <v>6830966.5322772209</v>
      </c>
      <c r="V24" s="2616">
        <f>V10+V17</f>
        <v>5061633.6999999993</v>
      </c>
      <c r="W24" s="2617">
        <f>W10+W17</f>
        <v>312</v>
      </c>
      <c r="X24" s="2617">
        <f>X10+X17</f>
        <v>196</v>
      </c>
      <c r="Y24" s="2619"/>
      <c r="Z24" s="2617"/>
      <c r="AA24" s="2616">
        <f>AA10+AA17</f>
        <v>10333250.760000002</v>
      </c>
      <c r="AB24" s="2616">
        <f>AB10+AB17</f>
        <v>3011911.16</v>
      </c>
      <c r="AC24" s="2616">
        <f>AC10+AC17</f>
        <v>13345161.920000002</v>
      </c>
      <c r="AD24" s="2617"/>
      <c r="AE24" s="2619"/>
      <c r="AF24" s="2616">
        <f>AF10+AF17</f>
        <v>242142</v>
      </c>
      <c r="AG24" s="2620">
        <f>AG10+AG17</f>
        <v>148121</v>
      </c>
      <c r="AH24" s="2616">
        <f>AH10+AH17</f>
        <v>4817</v>
      </c>
      <c r="AI24" s="2617">
        <f>COUNTIF(AI4:AI16,"Refund Issued")</f>
        <v>4</v>
      </c>
      <c r="AJ24" s="2617"/>
      <c r="AK24" s="2617">
        <f>COUNTIF(AK4:AK16,"Recaptured")</f>
        <v>1</v>
      </c>
    </row>
    <row r="25" spans="1:37" s="2334" customFormat="1" ht="12" customHeight="1" x14ac:dyDescent="0.25">
      <c r="A25" s="2621"/>
      <c r="B25" s="2621"/>
      <c r="C25" s="2622"/>
      <c r="D25" s="2623"/>
      <c r="E25" s="2624"/>
      <c r="F25" s="2623"/>
      <c r="G25" s="2623"/>
      <c r="H25" s="2625"/>
      <c r="I25" s="2623"/>
      <c r="J25" s="2625"/>
      <c r="K25" s="2624"/>
      <c r="L25" s="2623"/>
      <c r="M25" s="2623"/>
      <c r="N25" s="2623"/>
      <c r="O25" s="2623"/>
      <c r="P25" s="2624"/>
      <c r="Q25" s="2624"/>
      <c r="R25" s="2624"/>
      <c r="S25" s="2624"/>
      <c r="T25" s="2623"/>
      <c r="U25" s="2623"/>
      <c r="V25" s="2623"/>
      <c r="W25" s="2624"/>
      <c r="X25" s="2624"/>
      <c r="Y25" s="2626"/>
      <c r="Z25" s="2624"/>
      <c r="AA25" s="2624"/>
      <c r="AB25" s="2624"/>
      <c r="AC25" s="2624"/>
      <c r="AD25" s="4366" t="s">
        <v>1211</v>
      </c>
      <c r="AE25" s="4366"/>
      <c r="AF25" s="4366"/>
      <c r="AG25" s="4366"/>
      <c r="AH25" s="4366"/>
      <c r="AI25" s="4366"/>
      <c r="AJ25" s="4366"/>
      <c r="AK25" s="4366"/>
    </row>
    <row r="26" spans="1:37" x14ac:dyDescent="0.25">
      <c r="A26" s="2627" t="s">
        <v>1212</v>
      </c>
      <c r="B26" s="2627"/>
      <c r="C26" s="2361"/>
      <c r="D26" s="2362"/>
      <c r="E26" s="2363"/>
      <c r="F26" s="2362"/>
      <c r="G26" s="2362"/>
      <c r="I26" s="2362"/>
      <c r="J26" s="2351"/>
      <c r="K26" s="2363"/>
      <c r="L26" s="2362"/>
      <c r="M26" s="2362"/>
      <c r="N26" s="2362"/>
      <c r="O26" s="2362"/>
      <c r="P26" s="2363"/>
      <c r="Q26" s="2351"/>
      <c r="R26" s="2363"/>
      <c r="S26" s="2363"/>
      <c r="T26" s="2610"/>
      <c r="U26" s="2362"/>
      <c r="V26" s="2362"/>
      <c r="W26" s="2611"/>
      <c r="Z26" s="2363"/>
      <c r="AA26" s="2363"/>
      <c r="AB26" s="2363"/>
      <c r="AC26" s="2363"/>
      <c r="AD26" s="2363"/>
      <c r="AG26" s="2362"/>
      <c r="AH26" s="2362"/>
      <c r="AI26" s="2363"/>
      <c r="AJ26" s="2363"/>
    </row>
    <row r="27" spans="1:37" s="2628" customFormat="1" ht="49.5" customHeight="1" x14ac:dyDescent="0.2">
      <c r="B27" s="2629" t="s">
        <v>121</v>
      </c>
      <c r="C27" s="4361" t="s">
        <v>1213</v>
      </c>
      <c r="D27" s="4361"/>
      <c r="E27" s="4361"/>
      <c r="F27" s="4361"/>
      <c r="G27" s="4361"/>
      <c r="H27" s="4361"/>
      <c r="I27" s="4361"/>
      <c r="J27" s="4361"/>
      <c r="K27" s="4361"/>
      <c r="L27" s="4361"/>
      <c r="M27" s="4361"/>
      <c r="N27" s="4361"/>
      <c r="O27" s="4361"/>
      <c r="P27" s="4361"/>
      <c r="Q27" s="4361"/>
      <c r="R27" s="4361"/>
      <c r="S27" s="4361"/>
      <c r="T27" s="4361"/>
      <c r="U27" s="4361"/>
      <c r="V27" s="4361"/>
      <c r="W27" s="4361"/>
      <c r="X27" s="4361"/>
      <c r="Y27" s="4361"/>
      <c r="Z27" s="4361"/>
      <c r="AA27" s="4361"/>
      <c r="AB27" s="4361"/>
      <c r="AC27" s="4361"/>
      <c r="AD27" s="4361"/>
      <c r="AE27" s="4361"/>
      <c r="AF27" s="4361"/>
      <c r="AG27" s="4361"/>
      <c r="AH27" s="4361"/>
      <c r="AI27" s="4361"/>
      <c r="AJ27" s="4361"/>
      <c r="AK27" s="4361"/>
    </row>
    <row r="28" spans="1:37" ht="41.25" customHeight="1" x14ac:dyDescent="0.25">
      <c r="B28" s="2630" t="s">
        <v>1161</v>
      </c>
      <c r="C28" s="4361" t="s">
        <v>1214</v>
      </c>
      <c r="D28" s="4367"/>
      <c r="E28" s="4367"/>
      <c r="F28" s="4367"/>
      <c r="G28" s="4367"/>
      <c r="H28" s="4367"/>
      <c r="I28" s="4367"/>
      <c r="J28" s="4367"/>
      <c r="K28" s="4367"/>
      <c r="L28" s="4367"/>
      <c r="M28" s="4367"/>
      <c r="N28" s="4367"/>
      <c r="O28" s="4367"/>
      <c r="P28" s="4367"/>
      <c r="Q28" s="4367"/>
      <c r="R28" s="4367"/>
      <c r="S28" s="4367"/>
      <c r="T28" s="4367"/>
      <c r="U28" s="4367"/>
      <c r="V28" s="4367"/>
      <c r="W28" s="4367"/>
      <c r="X28" s="4367"/>
      <c r="Y28" s="4367"/>
      <c r="Z28" s="4367"/>
      <c r="AA28" s="4367"/>
      <c r="AB28" s="4367"/>
      <c r="AC28" s="4367"/>
      <c r="AD28" s="4367"/>
      <c r="AE28" s="4367"/>
      <c r="AF28" s="4367"/>
      <c r="AG28" s="4367"/>
      <c r="AH28" s="4367"/>
      <c r="AI28" s="4367"/>
      <c r="AJ28" s="4367"/>
      <c r="AK28" s="4367"/>
    </row>
    <row r="29" spans="1:37" x14ac:dyDescent="0.25">
      <c r="B29" s="2631" t="s">
        <v>1163</v>
      </c>
      <c r="C29" s="4367" t="s">
        <v>1215</v>
      </c>
      <c r="D29" s="4367"/>
      <c r="E29" s="4367"/>
      <c r="F29" s="4367"/>
      <c r="G29" s="4367"/>
      <c r="H29" s="4367"/>
      <c r="I29" s="4367"/>
      <c r="J29" s="4367"/>
      <c r="K29" s="4367"/>
      <c r="L29" s="4367"/>
      <c r="M29" s="4367"/>
      <c r="N29" s="4367"/>
      <c r="O29" s="4367"/>
      <c r="P29" s="4367"/>
      <c r="Q29" s="4367"/>
      <c r="R29" s="4367"/>
      <c r="S29" s="4367"/>
      <c r="T29" s="4367"/>
      <c r="U29" s="4367"/>
      <c r="V29" s="4367"/>
      <c r="W29" s="4367"/>
      <c r="X29" s="4367"/>
      <c r="Y29" s="4367"/>
      <c r="Z29" s="4367"/>
      <c r="AA29" s="4367"/>
      <c r="AB29" s="4367"/>
      <c r="AC29" s="4367"/>
      <c r="AD29" s="4367"/>
      <c r="AE29" s="4367"/>
      <c r="AF29" s="4367"/>
      <c r="AG29" s="4367"/>
      <c r="AH29" s="4367"/>
      <c r="AI29" s="4367"/>
      <c r="AJ29" s="4367"/>
      <c r="AK29" s="4367"/>
    </row>
    <row r="30" spans="1:37" x14ac:dyDescent="0.25">
      <c r="B30" s="2631" t="s">
        <v>1165</v>
      </c>
      <c r="C30" s="4367" t="s">
        <v>1216</v>
      </c>
      <c r="D30" s="4367"/>
      <c r="E30" s="4367"/>
      <c r="F30" s="4367"/>
      <c r="G30" s="4367"/>
      <c r="H30" s="4367"/>
      <c r="I30" s="4367"/>
      <c r="J30" s="4367"/>
      <c r="K30" s="4367"/>
      <c r="L30" s="4367"/>
      <c r="M30" s="4367"/>
      <c r="N30" s="4367"/>
      <c r="O30" s="4367"/>
      <c r="P30" s="4367"/>
      <c r="Q30" s="4367"/>
      <c r="R30" s="4367"/>
      <c r="S30" s="4367"/>
      <c r="T30" s="4367"/>
      <c r="U30" s="4367"/>
      <c r="V30" s="4367"/>
      <c r="W30" s="4367"/>
      <c r="X30" s="4367"/>
      <c r="Y30" s="4367"/>
      <c r="Z30" s="4367"/>
      <c r="AA30" s="4367"/>
      <c r="AB30" s="4367"/>
      <c r="AC30" s="4367"/>
      <c r="AD30" s="4367"/>
      <c r="AE30" s="4367"/>
      <c r="AF30" s="4367"/>
      <c r="AG30" s="4367"/>
      <c r="AH30" s="4367"/>
      <c r="AI30" s="4367"/>
      <c r="AJ30" s="4367"/>
      <c r="AK30" s="4367"/>
    </row>
    <row r="31" spans="1:37" ht="29.25" customHeight="1" x14ac:dyDescent="0.25">
      <c r="B31" s="2631" t="s">
        <v>1166</v>
      </c>
      <c r="C31" s="4361" t="s">
        <v>1217</v>
      </c>
      <c r="D31" s="4361"/>
      <c r="E31" s="4361"/>
      <c r="F31" s="4361"/>
      <c r="G31" s="4361"/>
      <c r="H31" s="4361"/>
      <c r="I31" s="4361"/>
      <c r="J31" s="4361"/>
      <c r="K31" s="4361"/>
      <c r="L31" s="4361"/>
      <c r="M31" s="4361"/>
      <c r="N31" s="4361"/>
      <c r="O31" s="4361"/>
      <c r="P31" s="4361"/>
      <c r="Q31" s="4361"/>
      <c r="R31" s="4361"/>
      <c r="S31" s="4361"/>
      <c r="T31" s="4361"/>
      <c r="U31" s="4361"/>
      <c r="V31" s="4361"/>
      <c r="W31" s="4361"/>
      <c r="X31" s="4361"/>
      <c r="Y31" s="4361"/>
      <c r="Z31" s="4361"/>
      <c r="AA31" s="4361"/>
      <c r="AB31" s="4361"/>
      <c r="AC31" s="4361"/>
      <c r="AD31" s="4361"/>
      <c r="AE31" s="4361"/>
      <c r="AF31" s="4361"/>
      <c r="AG31" s="4361"/>
      <c r="AH31" s="4361"/>
      <c r="AI31" s="4361"/>
      <c r="AJ31" s="4361"/>
      <c r="AK31" s="4361"/>
    </row>
    <row r="32" spans="1:37" ht="30" customHeight="1" x14ac:dyDescent="0.25">
      <c r="B32" s="2632" t="s">
        <v>1168</v>
      </c>
      <c r="C32" s="4363" t="s">
        <v>1218</v>
      </c>
      <c r="D32" s="4363"/>
      <c r="E32" s="4363"/>
      <c r="F32" s="4363"/>
      <c r="G32" s="4363"/>
      <c r="H32" s="4363"/>
      <c r="I32" s="4363"/>
      <c r="J32" s="4363"/>
      <c r="K32" s="4363"/>
      <c r="L32" s="4363"/>
      <c r="M32" s="4363"/>
      <c r="N32" s="4363"/>
      <c r="O32" s="4363"/>
      <c r="P32" s="4363"/>
      <c r="Q32" s="4363"/>
      <c r="R32" s="4363"/>
      <c r="S32" s="4363"/>
      <c r="T32" s="4363"/>
      <c r="U32" s="4363"/>
      <c r="V32" s="4363"/>
      <c r="W32" s="4363"/>
      <c r="X32" s="4363"/>
      <c r="Y32" s="4363"/>
      <c r="Z32" s="4363"/>
      <c r="AA32" s="4363"/>
      <c r="AB32" s="4363"/>
      <c r="AC32" s="4363"/>
      <c r="AD32" s="4363"/>
      <c r="AE32" s="4363"/>
      <c r="AF32" s="4363"/>
      <c r="AG32" s="4363"/>
      <c r="AH32" s="4363"/>
      <c r="AI32" s="4363"/>
      <c r="AJ32" s="4363"/>
      <c r="AK32" s="4363"/>
    </row>
    <row r="33" spans="2:37" ht="30" customHeight="1" x14ac:dyDescent="0.25">
      <c r="B33" s="2631" t="s">
        <v>607</v>
      </c>
      <c r="C33" s="4361" t="s">
        <v>1219</v>
      </c>
      <c r="D33" s="4361"/>
      <c r="E33" s="4361"/>
      <c r="F33" s="4361"/>
      <c r="G33" s="4361"/>
      <c r="H33" s="4361"/>
      <c r="I33" s="4361"/>
      <c r="J33" s="4361"/>
      <c r="K33" s="4361"/>
      <c r="L33" s="4361"/>
      <c r="M33" s="4361"/>
      <c r="N33" s="4361"/>
      <c r="O33" s="4361"/>
      <c r="P33" s="4361"/>
      <c r="Q33" s="4361"/>
      <c r="R33" s="4361"/>
      <c r="S33" s="4361"/>
      <c r="T33" s="4361"/>
      <c r="U33" s="4361"/>
      <c r="V33" s="4361"/>
      <c r="W33" s="4361"/>
      <c r="X33" s="4361"/>
      <c r="Y33" s="4361"/>
      <c r="Z33" s="4361"/>
      <c r="AA33" s="4361"/>
      <c r="AB33" s="4361"/>
      <c r="AC33" s="4361"/>
      <c r="AD33" s="4361"/>
      <c r="AE33" s="4361"/>
      <c r="AF33" s="4361"/>
      <c r="AG33" s="4361"/>
      <c r="AH33" s="4361"/>
      <c r="AI33" s="4361"/>
      <c r="AJ33" s="4361"/>
      <c r="AK33" s="4361"/>
    </row>
    <row r="34" spans="2:37" x14ac:dyDescent="0.25">
      <c r="B34" s="2631" t="s">
        <v>385</v>
      </c>
      <c r="C34" s="4361" t="s">
        <v>1220</v>
      </c>
      <c r="D34" s="4361"/>
      <c r="E34" s="4361"/>
      <c r="F34" s="4361"/>
      <c r="G34" s="4361"/>
      <c r="H34" s="4361"/>
      <c r="I34" s="4361"/>
      <c r="J34" s="4361"/>
      <c r="K34" s="4361"/>
      <c r="L34" s="4361"/>
      <c r="M34" s="4361"/>
      <c r="N34" s="4361"/>
      <c r="O34" s="4361"/>
      <c r="P34" s="4361"/>
      <c r="Q34" s="4361"/>
      <c r="R34" s="4361"/>
      <c r="S34" s="4361"/>
      <c r="T34" s="4361"/>
      <c r="U34" s="4361"/>
      <c r="V34" s="4361"/>
      <c r="W34" s="4361"/>
      <c r="X34" s="4361"/>
      <c r="Y34" s="4361"/>
      <c r="Z34" s="4361"/>
      <c r="AA34" s="4361"/>
      <c r="AB34" s="4361"/>
      <c r="AC34" s="4361"/>
      <c r="AD34" s="4361"/>
      <c r="AE34" s="4361"/>
      <c r="AF34" s="4361"/>
      <c r="AG34" s="4361"/>
      <c r="AH34" s="4361"/>
      <c r="AI34" s="4361"/>
      <c r="AJ34" s="4361"/>
      <c r="AK34" s="4361"/>
    </row>
    <row r="35" spans="2:37" ht="31.5" customHeight="1" x14ac:dyDescent="0.25">
      <c r="B35" s="2631" t="s">
        <v>566</v>
      </c>
      <c r="C35" s="4361" t="s">
        <v>1221</v>
      </c>
      <c r="D35" s="4361"/>
      <c r="E35" s="4361"/>
      <c r="F35" s="4361"/>
      <c r="G35" s="4361"/>
      <c r="H35" s="4361"/>
      <c r="I35" s="4361"/>
      <c r="J35" s="4361"/>
      <c r="K35" s="4361"/>
      <c r="L35" s="4361"/>
      <c r="M35" s="4361"/>
      <c r="N35" s="4361"/>
      <c r="O35" s="4361"/>
      <c r="P35" s="4361"/>
      <c r="Q35" s="4361"/>
      <c r="R35" s="4361"/>
      <c r="S35" s="4361"/>
      <c r="T35" s="4361"/>
      <c r="U35" s="4361"/>
      <c r="V35" s="4361"/>
      <c r="W35" s="4361"/>
      <c r="X35" s="4361"/>
      <c r="Y35" s="4361"/>
      <c r="Z35" s="4361"/>
      <c r="AA35" s="4361"/>
      <c r="AB35" s="4361"/>
      <c r="AC35" s="4361"/>
      <c r="AD35" s="4361"/>
      <c r="AE35" s="4361"/>
      <c r="AF35" s="4361"/>
      <c r="AG35" s="4361"/>
      <c r="AH35" s="4361"/>
      <c r="AI35" s="4361"/>
      <c r="AJ35" s="4361"/>
      <c r="AK35" s="4361"/>
    </row>
    <row r="36" spans="2:37" ht="29.25" customHeight="1" x14ac:dyDescent="0.25">
      <c r="B36" s="2631" t="s">
        <v>1206</v>
      </c>
      <c r="C36" s="4361" t="s">
        <v>1222</v>
      </c>
      <c r="D36" s="4361"/>
      <c r="E36" s="4361"/>
      <c r="F36" s="4361"/>
      <c r="G36" s="4361"/>
      <c r="H36" s="4361"/>
      <c r="I36" s="4361"/>
      <c r="J36" s="4361"/>
      <c r="K36" s="4361"/>
      <c r="L36" s="4361"/>
      <c r="M36" s="4361"/>
      <c r="N36" s="4361"/>
      <c r="O36" s="4361"/>
      <c r="P36" s="4361"/>
      <c r="Q36" s="4361"/>
      <c r="R36" s="4361"/>
      <c r="S36" s="4361"/>
      <c r="T36" s="4361"/>
      <c r="U36" s="4361"/>
      <c r="V36" s="4361"/>
      <c r="W36" s="4361"/>
      <c r="X36" s="4361"/>
      <c r="Y36" s="4361"/>
      <c r="Z36" s="4361"/>
      <c r="AA36" s="4361"/>
      <c r="AB36" s="4361"/>
      <c r="AC36" s="4361"/>
      <c r="AD36" s="4361"/>
      <c r="AE36" s="4361"/>
      <c r="AF36" s="4361"/>
      <c r="AG36" s="4361"/>
      <c r="AH36" s="4361"/>
      <c r="AI36" s="4361"/>
      <c r="AJ36" s="4361"/>
      <c r="AK36" s="4361"/>
    </row>
    <row r="37" spans="2:37" ht="24.75" customHeight="1" x14ac:dyDescent="0.25">
      <c r="B37" s="2633" t="s">
        <v>477</v>
      </c>
      <c r="C37" s="4362" t="s">
        <v>1223</v>
      </c>
      <c r="D37" s="4362"/>
      <c r="E37" s="4362"/>
      <c r="F37" s="4362"/>
      <c r="G37" s="4362"/>
      <c r="H37" s="4362"/>
      <c r="I37" s="4362"/>
      <c r="J37" s="4362"/>
      <c r="K37" s="4362"/>
      <c r="L37" s="4362"/>
      <c r="M37" s="4362"/>
      <c r="N37" s="4362"/>
      <c r="O37" s="4362"/>
      <c r="P37" s="4362"/>
      <c r="Q37" s="4362"/>
      <c r="R37" s="4362"/>
      <c r="S37" s="4362"/>
      <c r="T37" s="4362"/>
      <c r="U37" s="4362"/>
      <c r="V37" s="4362"/>
      <c r="W37" s="4362"/>
      <c r="X37" s="4362"/>
      <c r="Y37" s="4362"/>
      <c r="Z37" s="4362"/>
      <c r="AA37" s="4362"/>
      <c r="AB37" s="4362"/>
      <c r="AC37" s="4362"/>
      <c r="AD37" s="4362"/>
      <c r="AE37" s="4362"/>
      <c r="AF37" s="4362"/>
      <c r="AG37" s="4362"/>
      <c r="AH37" s="4362"/>
      <c r="AI37" s="4362"/>
      <c r="AJ37" s="4362"/>
      <c r="AK37" s="4362"/>
    </row>
    <row r="38" spans="2:37" x14ac:dyDescent="0.25">
      <c r="C38" s="2634"/>
      <c r="D38" s="2635"/>
      <c r="E38" s="2636"/>
      <c r="F38" s="2634"/>
      <c r="G38" s="2634"/>
      <c r="H38" s="2636"/>
      <c r="I38" s="2635"/>
      <c r="J38" s="2634"/>
      <c r="K38" s="2634"/>
      <c r="L38" s="2634"/>
      <c r="M38" s="2634"/>
      <c r="N38" s="2634"/>
      <c r="O38" s="2635"/>
      <c r="P38" s="2634"/>
      <c r="Q38" s="2634"/>
      <c r="R38" s="2634"/>
      <c r="S38" s="2634"/>
      <c r="T38" s="2635"/>
      <c r="U38" s="2634"/>
      <c r="V38" s="2634"/>
      <c r="W38" s="2634"/>
      <c r="X38" s="2634"/>
      <c r="Y38" s="2634"/>
      <c r="Z38" s="2634"/>
      <c r="AA38" s="2634"/>
      <c r="AB38" s="2634"/>
      <c r="AC38" s="2634"/>
      <c r="AD38" s="2634"/>
      <c r="AE38" s="2634"/>
      <c r="AF38" s="2634"/>
      <c r="AG38" s="2634"/>
      <c r="AH38" s="2634"/>
      <c r="AI38" s="2634"/>
      <c r="AJ38" s="2634"/>
      <c r="AK38" s="2634"/>
    </row>
    <row r="39" spans="2:37" x14ac:dyDescent="0.25">
      <c r="C39" s="2634"/>
      <c r="D39" s="2635"/>
      <c r="E39" s="2636"/>
      <c r="F39" s="2634"/>
      <c r="G39" s="2634"/>
      <c r="H39" s="2636"/>
      <c r="I39" s="2635"/>
      <c r="J39" s="2634"/>
      <c r="K39" s="2634"/>
      <c r="L39" s="2634"/>
      <c r="M39" s="2635"/>
      <c r="N39" s="2634"/>
      <c r="O39" s="2635"/>
      <c r="P39" s="2634"/>
      <c r="Q39" s="2634"/>
      <c r="R39" s="2634"/>
      <c r="S39" s="2634"/>
      <c r="T39" s="2635"/>
      <c r="U39" s="2634"/>
      <c r="V39" s="2634"/>
      <c r="W39" s="2634"/>
      <c r="X39" s="2634"/>
      <c r="Y39" s="2634"/>
      <c r="Z39" s="2634"/>
      <c r="AA39" s="2634"/>
      <c r="AB39" s="2634"/>
      <c r="AC39" s="2634"/>
      <c r="AD39" s="2634"/>
      <c r="AE39" s="2634"/>
      <c r="AF39" s="2634"/>
      <c r="AG39" s="2634"/>
      <c r="AH39" s="2634"/>
      <c r="AI39" s="2634"/>
      <c r="AJ39" s="2634"/>
      <c r="AK39" s="2634"/>
    </row>
    <row r="40" spans="2:37" x14ac:dyDescent="0.25">
      <c r="D40" s="2362"/>
      <c r="O40" s="2362"/>
    </row>
    <row r="41" spans="2:37" x14ac:dyDescent="0.25">
      <c r="B41" s="2348"/>
      <c r="C41" s="2348"/>
      <c r="D41" s="2354"/>
      <c r="E41" s="2348"/>
      <c r="F41" s="2348"/>
      <c r="G41" s="2348"/>
      <c r="H41" s="2351"/>
      <c r="I41" s="2348"/>
      <c r="J41" s="2348"/>
      <c r="K41" s="2348"/>
      <c r="L41" s="2348"/>
      <c r="M41" s="2348"/>
      <c r="N41" s="2348"/>
      <c r="O41" s="2348"/>
      <c r="P41" s="2348"/>
      <c r="Q41" s="2348"/>
      <c r="R41" s="2348"/>
      <c r="S41" s="2348"/>
      <c r="T41" s="2348"/>
      <c r="U41" s="2348"/>
      <c r="V41" s="2348"/>
      <c r="W41" s="2348"/>
      <c r="X41" s="2348"/>
      <c r="Y41" s="2348"/>
      <c r="Z41" s="2348"/>
      <c r="AA41" s="2348"/>
      <c r="AB41" s="2348"/>
      <c r="AC41" s="2348"/>
      <c r="AD41" s="2348"/>
      <c r="AE41" s="2348"/>
      <c r="AF41" s="2348"/>
      <c r="AG41" s="2348"/>
      <c r="AH41" s="2348"/>
      <c r="AI41" s="2348"/>
      <c r="AJ41" s="2348"/>
      <c r="AK41" s="2348"/>
    </row>
    <row r="42" spans="2:37" x14ac:dyDescent="0.25">
      <c r="B42" s="2348"/>
      <c r="C42" s="2348"/>
      <c r="D42" s="2348"/>
      <c r="E42" s="2348"/>
      <c r="F42" s="2348"/>
      <c r="G42" s="2348"/>
      <c r="H42" s="2351"/>
      <c r="I42" s="2348"/>
      <c r="J42" s="2348"/>
      <c r="K42" s="2348"/>
      <c r="L42" s="2348"/>
      <c r="M42" s="2348"/>
      <c r="N42" s="2348"/>
      <c r="O42" s="2348"/>
      <c r="P42" s="2348"/>
      <c r="Q42" s="2348"/>
      <c r="R42" s="2348"/>
      <c r="S42" s="2348"/>
      <c r="T42" s="2348"/>
      <c r="U42" s="2348"/>
      <c r="V42" s="2348"/>
      <c r="W42" s="2348"/>
      <c r="X42" s="2348"/>
      <c r="Y42" s="2348"/>
      <c r="Z42" s="2348"/>
      <c r="AA42" s="2348"/>
      <c r="AB42" s="2348"/>
      <c r="AC42" s="2348"/>
      <c r="AD42" s="2348"/>
      <c r="AE42" s="2348"/>
      <c r="AF42" s="2348"/>
      <c r="AG42" s="2348"/>
      <c r="AH42" s="2348"/>
      <c r="AI42" s="2348"/>
      <c r="AJ42" s="2348"/>
      <c r="AK42" s="2348"/>
    </row>
    <row r="43" spans="2:37" x14ac:dyDescent="0.25">
      <c r="B43" s="2348"/>
      <c r="C43" s="2348"/>
      <c r="D43" s="2348"/>
      <c r="E43" s="2348"/>
      <c r="F43" s="2348"/>
      <c r="G43" s="2348"/>
      <c r="H43" s="2351"/>
      <c r="I43" s="2348"/>
      <c r="J43" s="2348"/>
      <c r="K43" s="2348"/>
      <c r="L43" s="2348"/>
      <c r="M43" s="2348"/>
      <c r="N43" s="2348"/>
      <c r="O43" s="2348"/>
      <c r="P43" s="2348"/>
      <c r="Q43" s="2348"/>
      <c r="R43" s="2348"/>
      <c r="S43" s="2348"/>
      <c r="T43" s="2348"/>
      <c r="U43" s="2348"/>
      <c r="V43" s="2348"/>
      <c r="W43" s="2348"/>
      <c r="X43" s="2348"/>
      <c r="Y43" s="2348"/>
      <c r="Z43" s="2348"/>
      <c r="AA43" s="2348"/>
      <c r="AB43" s="2348"/>
      <c r="AC43" s="2348"/>
      <c r="AD43" s="2348"/>
      <c r="AE43" s="2348"/>
      <c r="AF43" s="2348"/>
      <c r="AG43" s="2348"/>
      <c r="AH43" s="2348"/>
      <c r="AI43" s="2348"/>
      <c r="AJ43" s="2348"/>
      <c r="AK43" s="2348"/>
    </row>
    <row r="44" spans="2:37" x14ac:dyDescent="0.25">
      <c r="B44" s="2348"/>
      <c r="C44" s="2348"/>
      <c r="D44" s="2348"/>
      <c r="E44" s="2348"/>
      <c r="F44" s="2348"/>
      <c r="G44" s="2348"/>
      <c r="H44" s="2351"/>
      <c r="I44" s="2348"/>
      <c r="J44" s="2348"/>
      <c r="K44" s="2348"/>
      <c r="L44" s="2348"/>
      <c r="M44" s="2348"/>
      <c r="N44" s="2348"/>
      <c r="O44" s="2348"/>
      <c r="P44" s="2348"/>
      <c r="Q44" s="2348"/>
      <c r="R44" s="2348"/>
      <c r="S44" s="2348"/>
      <c r="T44" s="2348"/>
      <c r="U44" s="2348"/>
      <c r="V44" s="2348"/>
      <c r="W44" s="2348"/>
      <c r="X44" s="2348"/>
      <c r="Y44" s="2348"/>
      <c r="Z44" s="2348"/>
      <c r="AA44" s="2348"/>
      <c r="AB44" s="2348"/>
      <c r="AC44" s="2348"/>
      <c r="AD44" s="2348"/>
      <c r="AE44" s="2348"/>
      <c r="AF44" s="2348"/>
      <c r="AG44" s="2348"/>
      <c r="AH44" s="2348"/>
      <c r="AI44" s="2348"/>
      <c r="AJ44" s="2348"/>
      <c r="AK44" s="2348"/>
    </row>
  </sheetData>
  <mergeCells count="17">
    <mergeCell ref="C32:AK32"/>
    <mergeCell ref="A1:AI2"/>
    <mergeCell ref="AG19:AI19"/>
    <mergeCell ref="AG20:AI20"/>
    <mergeCell ref="AG21:AI21"/>
    <mergeCell ref="AG22:AI22"/>
    <mergeCell ref="AD25:AK25"/>
    <mergeCell ref="C27:AK27"/>
    <mergeCell ref="C28:AK28"/>
    <mergeCell ref="C29:AK29"/>
    <mergeCell ref="C30:AK30"/>
    <mergeCell ref="C31:AK31"/>
    <mergeCell ref="C33:AK33"/>
    <mergeCell ref="C34:AK34"/>
    <mergeCell ref="C35:AK35"/>
    <mergeCell ref="C36:AK36"/>
    <mergeCell ref="C37:AK37"/>
  </mergeCells>
  <printOptions horizontalCentered="1"/>
  <pageMargins left="0.26" right="0.27" top="0.48" bottom="0.52" header="0.21" footer="0.3"/>
  <pageSetup paperSize="5" scale="60" orientation="landscape" r:id="rId1"/>
  <headerFooter>
    <oddHeader>&amp;L&amp;BVermont Department of Taxes Confidential&amp;B&amp;C&amp;D&amp;RPage &amp;P</oddHeader>
    <oddFooter>&amp;L&amp;10reviewed by:&amp;"Corbel,Italic"&amp;9 H. Woodruff 12/16/2009&amp;C&amp;F</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89"/>
  <sheetViews>
    <sheetView workbookViewId="0">
      <selection sqref="A1:E2"/>
    </sheetView>
  </sheetViews>
  <sheetFormatPr defaultRowHeight="15" x14ac:dyDescent="0.25"/>
  <cols>
    <col min="1" max="1" width="56.5703125" style="2640" customWidth="1"/>
    <col min="2" max="2" width="15.85546875" style="2640" customWidth="1"/>
    <col min="3" max="3" width="15.42578125" style="2640" customWidth="1"/>
    <col min="4" max="4" width="17.140625" style="2697" customWidth="1"/>
    <col min="5" max="5" width="21.42578125" style="2640" customWidth="1"/>
    <col min="6" max="6" width="29.42578125" style="2640" customWidth="1"/>
    <col min="7" max="7" width="16.85546875" style="2640" customWidth="1"/>
    <col min="8" max="8" width="14.28515625" style="2640" bestFit="1" customWidth="1"/>
    <col min="9" max="9" width="12.7109375" style="2640" bestFit="1" customWidth="1"/>
    <col min="10" max="11" width="14.42578125" style="2640" bestFit="1" customWidth="1"/>
    <col min="12" max="12" width="15.42578125" style="2640" bestFit="1" customWidth="1"/>
    <col min="13" max="13" width="12.5703125" style="2640" customWidth="1"/>
    <col min="14" max="16" width="15.28515625" style="2640" bestFit="1" customWidth="1"/>
    <col min="17" max="256" width="9.140625" style="2640"/>
    <col min="257" max="257" width="56.5703125" style="2640" customWidth="1"/>
    <col min="258" max="258" width="15.85546875" style="2640" customWidth="1"/>
    <col min="259" max="259" width="15.42578125" style="2640" customWidth="1"/>
    <col min="260" max="260" width="17.140625" style="2640" customWidth="1"/>
    <col min="261" max="261" width="21.42578125" style="2640" customWidth="1"/>
    <col min="262" max="262" width="29.42578125" style="2640" customWidth="1"/>
    <col min="263" max="263" width="16.85546875" style="2640" customWidth="1"/>
    <col min="264" max="264" width="14.28515625" style="2640" bestFit="1" customWidth="1"/>
    <col min="265" max="265" width="12.7109375" style="2640" bestFit="1" customWidth="1"/>
    <col min="266" max="267" width="14.42578125" style="2640" bestFit="1" customWidth="1"/>
    <col min="268" max="268" width="15.42578125" style="2640" bestFit="1" customWidth="1"/>
    <col min="269" max="269" width="12.5703125" style="2640" customWidth="1"/>
    <col min="270" max="272" width="15.28515625" style="2640" bestFit="1" customWidth="1"/>
    <col min="273" max="512" width="9.140625" style="2640"/>
    <col min="513" max="513" width="56.5703125" style="2640" customWidth="1"/>
    <col min="514" max="514" width="15.85546875" style="2640" customWidth="1"/>
    <col min="515" max="515" width="15.42578125" style="2640" customWidth="1"/>
    <col min="516" max="516" width="17.140625" style="2640" customWidth="1"/>
    <col min="517" max="517" width="21.42578125" style="2640" customWidth="1"/>
    <col min="518" max="518" width="29.42578125" style="2640" customWidth="1"/>
    <col min="519" max="519" width="16.85546875" style="2640" customWidth="1"/>
    <col min="520" max="520" width="14.28515625" style="2640" bestFit="1" customWidth="1"/>
    <col min="521" max="521" width="12.7109375" style="2640" bestFit="1" customWidth="1"/>
    <col min="522" max="523" width="14.42578125" style="2640" bestFit="1" customWidth="1"/>
    <col min="524" max="524" width="15.42578125" style="2640" bestFit="1" customWidth="1"/>
    <col min="525" max="525" width="12.5703125" style="2640" customWidth="1"/>
    <col min="526" max="528" width="15.28515625" style="2640" bestFit="1" customWidth="1"/>
    <col min="529" max="768" width="9.140625" style="2640"/>
    <col min="769" max="769" width="56.5703125" style="2640" customWidth="1"/>
    <col min="770" max="770" width="15.85546875" style="2640" customWidth="1"/>
    <col min="771" max="771" width="15.42578125" style="2640" customWidth="1"/>
    <col min="772" max="772" width="17.140625" style="2640" customWidth="1"/>
    <col min="773" max="773" width="21.42578125" style="2640" customWidth="1"/>
    <col min="774" max="774" width="29.42578125" style="2640" customWidth="1"/>
    <col min="775" max="775" width="16.85546875" style="2640" customWidth="1"/>
    <col min="776" max="776" width="14.28515625" style="2640" bestFit="1" customWidth="1"/>
    <col min="777" max="777" width="12.7109375" style="2640" bestFit="1" customWidth="1"/>
    <col min="778" max="779" width="14.42578125" style="2640" bestFit="1" customWidth="1"/>
    <col min="780" max="780" width="15.42578125" style="2640" bestFit="1" customWidth="1"/>
    <col min="781" max="781" width="12.5703125" style="2640" customWidth="1"/>
    <col min="782" max="784" width="15.28515625" style="2640" bestFit="1" customWidth="1"/>
    <col min="785" max="1024" width="9.140625" style="2640"/>
    <col min="1025" max="1025" width="56.5703125" style="2640" customWidth="1"/>
    <col min="1026" max="1026" width="15.85546875" style="2640" customWidth="1"/>
    <col min="1027" max="1027" width="15.42578125" style="2640" customWidth="1"/>
    <col min="1028" max="1028" width="17.140625" style="2640" customWidth="1"/>
    <col min="1029" max="1029" width="21.42578125" style="2640" customWidth="1"/>
    <col min="1030" max="1030" width="29.42578125" style="2640" customWidth="1"/>
    <col min="1031" max="1031" width="16.85546875" style="2640" customWidth="1"/>
    <col min="1032" max="1032" width="14.28515625" style="2640" bestFit="1" customWidth="1"/>
    <col min="1033" max="1033" width="12.7109375" style="2640" bestFit="1" customWidth="1"/>
    <col min="1034" max="1035" width="14.42578125" style="2640" bestFit="1" customWidth="1"/>
    <col min="1036" max="1036" width="15.42578125" style="2640" bestFit="1" customWidth="1"/>
    <col min="1037" max="1037" width="12.5703125" style="2640" customWidth="1"/>
    <col min="1038" max="1040" width="15.28515625" style="2640" bestFit="1" customWidth="1"/>
    <col min="1041" max="1280" width="9.140625" style="2640"/>
    <col min="1281" max="1281" width="56.5703125" style="2640" customWidth="1"/>
    <col min="1282" max="1282" width="15.85546875" style="2640" customWidth="1"/>
    <col min="1283" max="1283" width="15.42578125" style="2640" customWidth="1"/>
    <col min="1284" max="1284" width="17.140625" style="2640" customWidth="1"/>
    <col min="1285" max="1285" width="21.42578125" style="2640" customWidth="1"/>
    <col min="1286" max="1286" width="29.42578125" style="2640" customWidth="1"/>
    <col min="1287" max="1287" width="16.85546875" style="2640" customWidth="1"/>
    <col min="1288" max="1288" width="14.28515625" style="2640" bestFit="1" customWidth="1"/>
    <col min="1289" max="1289" width="12.7109375" style="2640" bestFit="1" customWidth="1"/>
    <col min="1290" max="1291" width="14.42578125" style="2640" bestFit="1" customWidth="1"/>
    <col min="1292" max="1292" width="15.42578125" style="2640" bestFit="1" customWidth="1"/>
    <col min="1293" max="1293" width="12.5703125" style="2640" customWidth="1"/>
    <col min="1294" max="1296" width="15.28515625" style="2640" bestFit="1" customWidth="1"/>
    <col min="1297" max="1536" width="9.140625" style="2640"/>
    <col min="1537" max="1537" width="56.5703125" style="2640" customWidth="1"/>
    <col min="1538" max="1538" width="15.85546875" style="2640" customWidth="1"/>
    <col min="1539" max="1539" width="15.42578125" style="2640" customWidth="1"/>
    <col min="1540" max="1540" width="17.140625" style="2640" customWidth="1"/>
    <col min="1541" max="1541" width="21.42578125" style="2640" customWidth="1"/>
    <col min="1542" max="1542" width="29.42578125" style="2640" customWidth="1"/>
    <col min="1543" max="1543" width="16.85546875" style="2640" customWidth="1"/>
    <col min="1544" max="1544" width="14.28515625" style="2640" bestFit="1" customWidth="1"/>
    <col min="1545" max="1545" width="12.7109375" style="2640" bestFit="1" customWidth="1"/>
    <col min="1546" max="1547" width="14.42578125" style="2640" bestFit="1" customWidth="1"/>
    <col min="1548" max="1548" width="15.42578125" style="2640" bestFit="1" customWidth="1"/>
    <col min="1549" max="1549" width="12.5703125" style="2640" customWidth="1"/>
    <col min="1550" max="1552" width="15.28515625" style="2640" bestFit="1" customWidth="1"/>
    <col min="1553" max="1792" width="9.140625" style="2640"/>
    <col min="1793" max="1793" width="56.5703125" style="2640" customWidth="1"/>
    <col min="1794" max="1794" width="15.85546875" style="2640" customWidth="1"/>
    <col min="1795" max="1795" width="15.42578125" style="2640" customWidth="1"/>
    <col min="1796" max="1796" width="17.140625" style="2640" customWidth="1"/>
    <col min="1797" max="1797" width="21.42578125" style="2640" customWidth="1"/>
    <col min="1798" max="1798" width="29.42578125" style="2640" customWidth="1"/>
    <col min="1799" max="1799" width="16.85546875" style="2640" customWidth="1"/>
    <col min="1800" max="1800" width="14.28515625" style="2640" bestFit="1" customWidth="1"/>
    <col min="1801" max="1801" width="12.7109375" style="2640" bestFit="1" customWidth="1"/>
    <col min="1802" max="1803" width="14.42578125" style="2640" bestFit="1" customWidth="1"/>
    <col min="1804" max="1804" width="15.42578125" style="2640" bestFit="1" customWidth="1"/>
    <col min="1805" max="1805" width="12.5703125" style="2640" customWidth="1"/>
    <col min="1806" max="1808" width="15.28515625" style="2640" bestFit="1" customWidth="1"/>
    <col min="1809" max="2048" width="9.140625" style="2640"/>
    <col min="2049" max="2049" width="56.5703125" style="2640" customWidth="1"/>
    <col min="2050" max="2050" width="15.85546875" style="2640" customWidth="1"/>
    <col min="2051" max="2051" width="15.42578125" style="2640" customWidth="1"/>
    <col min="2052" max="2052" width="17.140625" style="2640" customWidth="1"/>
    <col min="2053" max="2053" width="21.42578125" style="2640" customWidth="1"/>
    <col min="2054" max="2054" width="29.42578125" style="2640" customWidth="1"/>
    <col min="2055" max="2055" width="16.85546875" style="2640" customWidth="1"/>
    <col min="2056" max="2056" width="14.28515625" style="2640" bestFit="1" customWidth="1"/>
    <col min="2057" max="2057" width="12.7109375" style="2640" bestFit="1" customWidth="1"/>
    <col min="2058" max="2059" width="14.42578125" style="2640" bestFit="1" customWidth="1"/>
    <col min="2060" max="2060" width="15.42578125" style="2640" bestFit="1" customWidth="1"/>
    <col min="2061" max="2061" width="12.5703125" style="2640" customWidth="1"/>
    <col min="2062" max="2064" width="15.28515625" style="2640" bestFit="1" customWidth="1"/>
    <col min="2065" max="2304" width="9.140625" style="2640"/>
    <col min="2305" max="2305" width="56.5703125" style="2640" customWidth="1"/>
    <col min="2306" max="2306" width="15.85546875" style="2640" customWidth="1"/>
    <col min="2307" max="2307" width="15.42578125" style="2640" customWidth="1"/>
    <col min="2308" max="2308" width="17.140625" style="2640" customWidth="1"/>
    <col min="2309" max="2309" width="21.42578125" style="2640" customWidth="1"/>
    <col min="2310" max="2310" width="29.42578125" style="2640" customWidth="1"/>
    <col min="2311" max="2311" width="16.85546875" style="2640" customWidth="1"/>
    <col min="2312" max="2312" width="14.28515625" style="2640" bestFit="1" customWidth="1"/>
    <col min="2313" max="2313" width="12.7109375" style="2640" bestFit="1" customWidth="1"/>
    <col min="2314" max="2315" width="14.42578125" style="2640" bestFit="1" customWidth="1"/>
    <col min="2316" max="2316" width="15.42578125" style="2640" bestFit="1" customWidth="1"/>
    <col min="2317" max="2317" width="12.5703125" style="2640" customWidth="1"/>
    <col min="2318" max="2320" width="15.28515625" style="2640" bestFit="1" customWidth="1"/>
    <col min="2321" max="2560" width="9.140625" style="2640"/>
    <col min="2561" max="2561" width="56.5703125" style="2640" customWidth="1"/>
    <col min="2562" max="2562" width="15.85546875" style="2640" customWidth="1"/>
    <col min="2563" max="2563" width="15.42578125" style="2640" customWidth="1"/>
    <col min="2564" max="2564" width="17.140625" style="2640" customWidth="1"/>
    <col min="2565" max="2565" width="21.42578125" style="2640" customWidth="1"/>
    <col min="2566" max="2566" width="29.42578125" style="2640" customWidth="1"/>
    <col min="2567" max="2567" width="16.85546875" style="2640" customWidth="1"/>
    <col min="2568" max="2568" width="14.28515625" style="2640" bestFit="1" customWidth="1"/>
    <col min="2569" max="2569" width="12.7109375" style="2640" bestFit="1" customWidth="1"/>
    <col min="2570" max="2571" width="14.42578125" style="2640" bestFit="1" customWidth="1"/>
    <col min="2572" max="2572" width="15.42578125" style="2640" bestFit="1" customWidth="1"/>
    <col min="2573" max="2573" width="12.5703125" style="2640" customWidth="1"/>
    <col min="2574" max="2576" width="15.28515625" style="2640" bestFit="1" customWidth="1"/>
    <col min="2577" max="2816" width="9.140625" style="2640"/>
    <col min="2817" max="2817" width="56.5703125" style="2640" customWidth="1"/>
    <col min="2818" max="2818" width="15.85546875" style="2640" customWidth="1"/>
    <col min="2819" max="2819" width="15.42578125" style="2640" customWidth="1"/>
    <col min="2820" max="2820" width="17.140625" style="2640" customWidth="1"/>
    <col min="2821" max="2821" width="21.42578125" style="2640" customWidth="1"/>
    <col min="2822" max="2822" width="29.42578125" style="2640" customWidth="1"/>
    <col min="2823" max="2823" width="16.85546875" style="2640" customWidth="1"/>
    <col min="2824" max="2824" width="14.28515625" style="2640" bestFit="1" customWidth="1"/>
    <col min="2825" max="2825" width="12.7109375" style="2640" bestFit="1" customWidth="1"/>
    <col min="2826" max="2827" width="14.42578125" style="2640" bestFit="1" customWidth="1"/>
    <col min="2828" max="2828" width="15.42578125" style="2640" bestFit="1" customWidth="1"/>
    <col min="2829" max="2829" width="12.5703125" style="2640" customWidth="1"/>
    <col min="2830" max="2832" width="15.28515625" style="2640" bestFit="1" customWidth="1"/>
    <col min="2833" max="3072" width="9.140625" style="2640"/>
    <col min="3073" max="3073" width="56.5703125" style="2640" customWidth="1"/>
    <col min="3074" max="3074" width="15.85546875" style="2640" customWidth="1"/>
    <col min="3075" max="3075" width="15.42578125" style="2640" customWidth="1"/>
    <col min="3076" max="3076" width="17.140625" style="2640" customWidth="1"/>
    <col min="3077" max="3077" width="21.42578125" style="2640" customWidth="1"/>
    <col min="3078" max="3078" width="29.42578125" style="2640" customWidth="1"/>
    <col min="3079" max="3079" width="16.85546875" style="2640" customWidth="1"/>
    <col min="3080" max="3080" width="14.28515625" style="2640" bestFit="1" customWidth="1"/>
    <col min="3081" max="3081" width="12.7109375" style="2640" bestFit="1" customWidth="1"/>
    <col min="3082" max="3083" width="14.42578125" style="2640" bestFit="1" customWidth="1"/>
    <col min="3084" max="3084" width="15.42578125" style="2640" bestFit="1" customWidth="1"/>
    <col min="3085" max="3085" width="12.5703125" style="2640" customWidth="1"/>
    <col min="3086" max="3088" width="15.28515625" style="2640" bestFit="1" customWidth="1"/>
    <col min="3089" max="3328" width="9.140625" style="2640"/>
    <col min="3329" max="3329" width="56.5703125" style="2640" customWidth="1"/>
    <col min="3330" max="3330" width="15.85546875" style="2640" customWidth="1"/>
    <col min="3331" max="3331" width="15.42578125" style="2640" customWidth="1"/>
    <col min="3332" max="3332" width="17.140625" style="2640" customWidth="1"/>
    <col min="3333" max="3333" width="21.42578125" style="2640" customWidth="1"/>
    <col min="3334" max="3334" width="29.42578125" style="2640" customWidth="1"/>
    <col min="3335" max="3335" width="16.85546875" style="2640" customWidth="1"/>
    <col min="3336" max="3336" width="14.28515625" style="2640" bestFit="1" customWidth="1"/>
    <col min="3337" max="3337" width="12.7109375" style="2640" bestFit="1" customWidth="1"/>
    <col min="3338" max="3339" width="14.42578125" style="2640" bestFit="1" customWidth="1"/>
    <col min="3340" max="3340" width="15.42578125" style="2640" bestFit="1" customWidth="1"/>
    <col min="3341" max="3341" width="12.5703125" style="2640" customWidth="1"/>
    <col min="3342" max="3344" width="15.28515625" style="2640" bestFit="1" customWidth="1"/>
    <col min="3345" max="3584" width="9.140625" style="2640"/>
    <col min="3585" max="3585" width="56.5703125" style="2640" customWidth="1"/>
    <col min="3586" max="3586" width="15.85546875" style="2640" customWidth="1"/>
    <col min="3587" max="3587" width="15.42578125" style="2640" customWidth="1"/>
    <col min="3588" max="3588" width="17.140625" style="2640" customWidth="1"/>
    <col min="3589" max="3589" width="21.42578125" style="2640" customWidth="1"/>
    <col min="3590" max="3590" width="29.42578125" style="2640" customWidth="1"/>
    <col min="3591" max="3591" width="16.85546875" style="2640" customWidth="1"/>
    <col min="3592" max="3592" width="14.28515625" style="2640" bestFit="1" customWidth="1"/>
    <col min="3593" max="3593" width="12.7109375" style="2640" bestFit="1" customWidth="1"/>
    <col min="3594" max="3595" width="14.42578125" style="2640" bestFit="1" customWidth="1"/>
    <col min="3596" max="3596" width="15.42578125" style="2640" bestFit="1" customWidth="1"/>
    <col min="3597" max="3597" width="12.5703125" style="2640" customWidth="1"/>
    <col min="3598" max="3600" width="15.28515625" style="2640" bestFit="1" customWidth="1"/>
    <col min="3601" max="3840" width="9.140625" style="2640"/>
    <col min="3841" max="3841" width="56.5703125" style="2640" customWidth="1"/>
    <col min="3842" max="3842" width="15.85546875" style="2640" customWidth="1"/>
    <col min="3843" max="3843" width="15.42578125" style="2640" customWidth="1"/>
    <col min="3844" max="3844" width="17.140625" style="2640" customWidth="1"/>
    <col min="3845" max="3845" width="21.42578125" style="2640" customWidth="1"/>
    <col min="3846" max="3846" width="29.42578125" style="2640" customWidth="1"/>
    <col min="3847" max="3847" width="16.85546875" style="2640" customWidth="1"/>
    <col min="3848" max="3848" width="14.28515625" style="2640" bestFit="1" customWidth="1"/>
    <col min="3849" max="3849" width="12.7109375" style="2640" bestFit="1" customWidth="1"/>
    <col min="3850" max="3851" width="14.42578125" style="2640" bestFit="1" customWidth="1"/>
    <col min="3852" max="3852" width="15.42578125" style="2640" bestFit="1" customWidth="1"/>
    <col min="3853" max="3853" width="12.5703125" style="2640" customWidth="1"/>
    <col min="3854" max="3856" width="15.28515625" style="2640" bestFit="1" customWidth="1"/>
    <col min="3857" max="4096" width="9.140625" style="2640"/>
    <col min="4097" max="4097" width="56.5703125" style="2640" customWidth="1"/>
    <col min="4098" max="4098" width="15.85546875" style="2640" customWidth="1"/>
    <col min="4099" max="4099" width="15.42578125" style="2640" customWidth="1"/>
    <col min="4100" max="4100" width="17.140625" style="2640" customWidth="1"/>
    <col min="4101" max="4101" width="21.42578125" style="2640" customWidth="1"/>
    <col min="4102" max="4102" width="29.42578125" style="2640" customWidth="1"/>
    <col min="4103" max="4103" width="16.85546875" style="2640" customWidth="1"/>
    <col min="4104" max="4104" width="14.28515625" style="2640" bestFit="1" customWidth="1"/>
    <col min="4105" max="4105" width="12.7109375" style="2640" bestFit="1" customWidth="1"/>
    <col min="4106" max="4107" width="14.42578125" style="2640" bestFit="1" customWidth="1"/>
    <col min="4108" max="4108" width="15.42578125" style="2640" bestFit="1" customWidth="1"/>
    <col min="4109" max="4109" width="12.5703125" style="2640" customWidth="1"/>
    <col min="4110" max="4112" width="15.28515625" style="2640" bestFit="1" customWidth="1"/>
    <col min="4113" max="4352" width="9.140625" style="2640"/>
    <col min="4353" max="4353" width="56.5703125" style="2640" customWidth="1"/>
    <col min="4354" max="4354" width="15.85546875" style="2640" customWidth="1"/>
    <col min="4355" max="4355" width="15.42578125" style="2640" customWidth="1"/>
    <col min="4356" max="4356" width="17.140625" style="2640" customWidth="1"/>
    <col min="4357" max="4357" width="21.42578125" style="2640" customWidth="1"/>
    <col min="4358" max="4358" width="29.42578125" style="2640" customWidth="1"/>
    <col min="4359" max="4359" width="16.85546875" style="2640" customWidth="1"/>
    <col min="4360" max="4360" width="14.28515625" style="2640" bestFit="1" customWidth="1"/>
    <col min="4361" max="4361" width="12.7109375" style="2640" bestFit="1" customWidth="1"/>
    <col min="4362" max="4363" width="14.42578125" style="2640" bestFit="1" customWidth="1"/>
    <col min="4364" max="4364" width="15.42578125" style="2640" bestFit="1" customWidth="1"/>
    <col min="4365" max="4365" width="12.5703125" style="2640" customWidth="1"/>
    <col min="4366" max="4368" width="15.28515625" style="2640" bestFit="1" customWidth="1"/>
    <col min="4369" max="4608" width="9.140625" style="2640"/>
    <col min="4609" max="4609" width="56.5703125" style="2640" customWidth="1"/>
    <col min="4610" max="4610" width="15.85546875" style="2640" customWidth="1"/>
    <col min="4611" max="4611" width="15.42578125" style="2640" customWidth="1"/>
    <col min="4612" max="4612" width="17.140625" style="2640" customWidth="1"/>
    <col min="4613" max="4613" width="21.42578125" style="2640" customWidth="1"/>
    <col min="4614" max="4614" width="29.42578125" style="2640" customWidth="1"/>
    <col min="4615" max="4615" width="16.85546875" style="2640" customWidth="1"/>
    <col min="4616" max="4616" width="14.28515625" style="2640" bestFit="1" customWidth="1"/>
    <col min="4617" max="4617" width="12.7109375" style="2640" bestFit="1" customWidth="1"/>
    <col min="4618" max="4619" width="14.42578125" style="2640" bestFit="1" customWidth="1"/>
    <col min="4620" max="4620" width="15.42578125" style="2640" bestFit="1" customWidth="1"/>
    <col min="4621" max="4621" width="12.5703125" style="2640" customWidth="1"/>
    <col min="4622" max="4624" width="15.28515625" style="2640" bestFit="1" customWidth="1"/>
    <col min="4625" max="4864" width="9.140625" style="2640"/>
    <col min="4865" max="4865" width="56.5703125" style="2640" customWidth="1"/>
    <col min="4866" max="4866" width="15.85546875" style="2640" customWidth="1"/>
    <col min="4867" max="4867" width="15.42578125" style="2640" customWidth="1"/>
    <col min="4868" max="4868" width="17.140625" style="2640" customWidth="1"/>
    <col min="4869" max="4869" width="21.42578125" style="2640" customWidth="1"/>
    <col min="4870" max="4870" width="29.42578125" style="2640" customWidth="1"/>
    <col min="4871" max="4871" width="16.85546875" style="2640" customWidth="1"/>
    <col min="4872" max="4872" width="14.28515625" style="2640" bestFit="1" customWidth="1"/>
    <col min="4873" max="4873" width="12.7109375" style="2640" bestFit="1" customWidth="1"/>
    <col min="4874" max="4875" width="14.42578125" style="2640" bestFit="1" customWidth="1"/>
    <col min="4876" max="4876" width="15.42578125" style="2640" bestFit="1" customWidth="1"/>
    <col min="4877" max="4877" width="12.5703125" style="2640" customWidth="1"/>
    <col min="4878" max="4880" width="15.28515625" style="2640" bestFit="1" customWidth="1"/>
    <col min="4881" max="5120" width="9.140625" style="2640"/>
    <col min="5121" max="5121" width="56.5703125" style="2640" customWidth="1"/>
    <col min="5122" max="5122" width="15.85546875" style="2640" customWidth="1"/>
    <col min="5123" max="5123" width="15.42578125" style="2640" customWidth="1"/>
    <col min="5124" max="5124" width="17.140625" style="2640" customWidth="1"/>
    <col min="5125" max="5125" width="21.42578125" style="2640" customWidth="1"/>
    <col min="5126" max="5126" width="29.42578125" style="2640" customWidth="1"/>
    <col min="5127" max="5127" width="16.85546875" style="2640" customWidth="1"/>
    <col min="5128" max="5128" width="14.28515625" style="2640" bestFit="1" customWidth="1"/>
    <col min="5129" max="5129" width="12.7109375" style="2640" bestFit="1" customWidth="1"/>
    <col min="5130" max="5131" width="14.42578125" style="2640" bestFit="1" customWidth="1"/>
    <col min="5132" max="5132" width="15.42578125" style="2640" bestFit="1" customWidth="1"/>
    <col min="5133" max="5133" width="12.5703125" style="2640" customWidth="1"/>
    <col min="5134" max="5136" width="15.28515625" style="2640" bestFit="1" customWidth="1"/>
    <col min="5137" max="5376" width="9.140625" style="2640"/>
    <col min="5377" max="5377" width="56.5703125" style="2640" customWidth="1"/>
    <col min="5378" max="5378" width="15.85546875" style="2640" customWidth="1"/>
    <col min="5379" max="5379" width="15.42578125" style="2640" customWidth="1"/>
    <col min="5380" max="5380" width="17.140625" style="2640" customWidth="1"/>
    <col min="5381" max="5381" width="21.42578125" style="2640" customWidth="1"/>
    <col min="5382" max="5382" width="29.42578125" style="2640" customWidth="1"/>
    <col min="5383" max="5383" width="16.85546875" style="2640" customWidth="1"/>
    <col min="5384" max="5384" width="14.28515625" style="2640" bestFit="1" customWidth="1"/>
    <col min="5385" max="5385" width="12.7109375" style="2640" bestFit="1" customWidth="1"/>
    <col min="5386" max="5387" width="14.42578125" style="2640" bestFit="1" customWidth="1"/>
    <col min="5388" max="5388" width="15.42578125" style="2640" bestFit="1" customWidth="1"/>
    <col min="5389" max="5389" width="12.5703125" style="2640" customWidth="1"/>
    <col min="5390" max="5392" width="15.28515625" style="2640" bestFit="1" customWidth="1"/>
    <col min="5393" max="5632" width="9.140625" style="2640"/>
    <col min="5633" max="5633" width="56.5703125" style="2640" customWidth="1"/>
    <col min="5634" max="5634" width="15.85546875" style="2640" customWidth="1"/>
    <col min="5635" max="5635" width="15.42578125" style="2640" customWidth="1"/>
    <col min="5636" max="5636" width="17.140625" style="2640" customWidth="1"/>
    <col min="5637" max="5637" width="21.42578125" style="2640" customWidth="1"/>
    <col min="5638" max="5638" width="29.42578125" style="2640" customWidth="1"/>
    <col min="5639" max="5639" width="16.85546875" style="2640" customWidth="1"/>
    <col min="5640" max="5640" width="14.28515625" style="2640" bestFit="1" customWidth="1"/>
    <col min="5641" max="5641" width="12.7109375" style="2640" bestFit="1" customWidth="1"/>
    <col min="5642" max="5643" width="14.42578125" style="2640" bestFit="1" customWidth="1"/>
    <col min="5644" max="5644" width="15.42578125" style="2640" bestFit="1" customWidth="1"/>
    <col min="5645" max="5645" width="12.5703125" style="2640" customWidth="1"/>
    <col min="5646" max="5648" width="15.28515625" style="2640" bestFit="1" customWidth="1"/>
    <col min="5649" max="5888" width="9.140625" style="2640"/>
    <col min="5889" max="5889" width="56.5703125" style="2640" customWidth="1"/>
    <col min="5890" max="5890" width="15.85546875" style="2640" customWidth="1"/>
    <col min="5891" max="5891" width="15.42578125" style="2640" customWidth="1"/>
    <col min="5892" max="5892" width="17.140625" style="2640" customWidth="1"/>
    <col min="5893" max="5893" width="21.42578125" style="2640" customWidth="1"/>
    <col min="5894" max="5894" width="29.42578125" style="2640" customWidth="1"/>
    <col min="5895" max="5895" width="16.85546875" style="2640" customWidth="1"/>
    <col min="5896" max="5896" width="14.28515625" style="2640" bestFit="1" customWidth="1"/>
    <col min="5897" max="5897" width="12.7109375" style="2640" bestFit="1" customWidth="1"/>
    <col min="5898" max="5899" width="14.42578125" style="2640" bestFit="1" customWidth="1"/>
    <col min="5900" max="5900" width="15.42578125" style="2640" bestFit="1" customWidth="1"/>
    <col min="5901" max="5901" width="12.5703125" style="2640" customWidth="1"/>
    <col min="5902" max="5904" width="15.28515625" style="2640" bestFit="1" customWidth="1"/>
    <col min="5905" max="6144" width="9.140625" style="2640"/>
    <col min="6145" max="6145" width="56.5703125" style="2640" customWidth="1"/>
    <col min="6146" max="6146" width="15.85546875" style="2640" customWidth="1"/>
    <col min="6147" max="6147" width="15.42578125" style="2640" customWidth="1"/>
    <col min="6148" max="6148" width="17.140625" style="2640" customWidth="1"/>
    <col min="6149" max="6149" width="21.42578125" style="2640" customWidth="1"/>
    <col min="6150" max="6150" width="29.42578125" style="2640" customWidth="1"/>
    <col min="6151" max="6151" width="16.85546875" style="2640" customWidth="1"/>
    <col min="6152" max="6152" width="14.28515625" style="2640" bestFit="1" customWidth="1"/>
    <col min="6153" max="6153" width="12.7109375" style="2640" bestFit="1" customWidth="1"/>
    <col min="6154" max="6155" width="14.42578125" style="2640" bestFit="1" customWidth="1"/>
    <col min="6156" max="6156" width="15.42578125" style="2640" bestFit="1" customWidth="1"/>
    <col min="6157" max="6157" width="12.5703125" style="2640" customWidth="1"/>
    <col min="6158" max="6160" width="15.28515625" style="2640" bestFit="1" customWidth="1"/>
    <col min="6161" max="6400" width="9.140625" style="2640"/>
    <col min="6401" max="6401" width="56.5703125" style="2640" customWidth="1"/>
    <col min="6402" max="6402" width="15.85546875" style="2640" customWidth="1"/>
    <col min="6403" max="6403" width="15.42578125" style="2640" customWidth="1"/>
    <col min="6404" max="6404" width="17.140625" style="2640" customWidth="1"/>
    <col min="6405" max="6405" width="21.42578125" style="2640" customWidth="1"/>
    <col min="6406" max="6406" width="29.42578125" style="2640" customWidth="1"/>
    <col min="6407" max="6407" width="16.85546875" style="2640" customWidth="1"/>
    <col min="6408" max="6408" width="14.28515625" style="2640" bestFit="1" customWidth="1"/>
    <col min="6409" max="6409" width="12.7109375" style="2640" bestFit="1" customWidth="1"/>
    <col min="6410" max="6411" width="14.42578125" style="2640" bestFit="1" customWidth="1"/>
    <col min="6412" max="6412" width="15.42578125" style="2640" bestFit="1" customWidth="1"/>
    <col min="6413" max="6413" width="12.5703125" style="2640" customWidth="1"/>
    <col min="6414" max="6416" width="15.28515625" style="2640" bestFit="1" customWidth="1"/>
    <col min="6417" max="6656" width="9.140625" style="2640"/>
    <col min="6657" max="6657" width="56.5703125" style="2640" customWidth="1"/>
    <col min="6658" max="6658" width="15.85546875" style="2640" customWidth="1"/>
    <col min="6659" max="6659" width="15.42578125" style="2640" customWidth="1"/>
    <col min="6660" max="6660" width="17.140625" style="2640" customWidth="1"/>
    <col min="6661" max="6661" width="21.42578125" style="2640" customWidth="1"/>
    <col min="6662" max="6662" width="29.42578125" style="2640" customWidth="1"/>
    <col min="6663" max="6663" width="16.85546875" style="2640" customWidth="1"/>
    <col min="6664" max="6664" width="14.28515625" style="2640" bestFit="1" customWidth="1"/>
    <col min="6665" max="6665" width="12.7109375" style="2640" bestFit="1" customWidth="1"/>
    <col min="6666" max="6667" width="14.42578125" style="2640" bestFit="1" customWidth="1"/>
    <col min="6668" max="6668" width="15.42578125" style="2640" bestFit="1" customWidth="1"/>
    <col min="6669" max="6669" width="12.5703125" style="2640" customWidth="1"/>
    <col min="6670" max="6672" width="15.28515625" style="2640" bestFit="1" customWidth="1"/>
    <col min="6673" max="6912" width="9.140625" style="2640"/>
    <col min="6913" max="6913" width="56.5703125" style="2640" customWidth="1"/>
    <col min="6914" max="6914" width="15.85546875" style="2640" customWidth="1"/>
    <col min="6915" max="6915" width="15.42578125" style="2640" customWidth="1"/>
    <col min="6916" max="6916" width="17.140625" style="2640" customWidth="1"/>
    <col min="6917" max="6917" width="21.42578125" style="2640" customWidth="1"/>
    <col min="6918" max="6918" width="29.42578125" style="2640" customWidth="1"/>
    <col min="6919" max="6919" width="16.85546875" style="2640" customWidth="1"/>
    <col min="6920" max="6920" width="14.28515625" style="2640" bestFit="1" customWidth="1"/>
    <col min="6921" max="6921" width="12.7109375" style="2640" bestFit="1" customWidth="1"/>
    <col min="6922" max="6923" width="14.42578125" style="2640" bestFit="1" customWidth="1"/>
    <col min="6924" max="6924" width="15.42578125" style="2640" bestFit="1" customWidth="1"/>
    <col min="6925" max="6925" width="12.5703125" style="2640" customWidth="1"/>
    <col min="6926" max="6928" width="15.28515625" style="2640" bestFit="1" customWidth="1"/>
    <col min="6929" max="7168" width="9.140625" style="2640"/>
    <col min="7169" max="7169" width="56.5703125" style="2640" customWidth="1"/>
    <col min="7170" max="7170" width="15.85546875" style="2640" customWidth="1"/>
    <col min="7171" max="7171" width="15.42578125" style="2640" customWidth="1"/>
    <col min="7172" max="7172" width="17.140625" style="2640" customWidth="1"/>
    <col min="7173" max="7173" width="21.42578125" style="2640" customWidth="1"/>
    <col min="7174" max="7174" width="29.42578125" style="2640" customWidth="1"/>
    <col min="7175" max="7175" width="16.85546875" style="2640" customWidth="1"/>
    <col min="7176" max="7176" width="14.28515625" style="2640" bestFit="1" customWidth="1"/>
    <col min="7177" max="7177" width="12.7109375" style="2640" bestFit="1" customWidth="1"/>
    <col min="7178" max="7179" width="14.42578125" style="2640" bestFit="1" customWidth="1"/>
    <col min="7180" max="7180" width="15.42578125" style="2640" bestFit="1" customWidth="1"/>
    <col min="7181" max="7181" width="12.5703125" style="2640" customWidth="1"/>
    <col min="7182" max="7184" width="15.28515625" style="2640" bestFit="1" customWidth="1"/>
    <col min="7185" max="7424" width="9.140625" style="2640"/>
    <col min="7425" max="7425" width="56.5703125" style="2640" customWidth="1"/>
    <col min="7426" max="7426" width="15.85546875" style="2640" customWidth="1"/>
    <col min="7427" max="7427" width="15.42578125" style="2640" customWidth="1"/>
    <col min="7428" max="7428" width="17.140625" style="2640" customWidth="1"/>
    <col min="7429" max="7429" width="21.42578125" style="2640" customWidth="1"/>
    <col min="7430" max="7430" width="29.42578125" style="2640" customWidth="1"/>
    <col min="7431" max="7431" width="16.85546875" style="2640" customWidth="1"/>
    <col min="7432" max="7432" width="14.28515625" style="2640" bestFit="1" customWidth="1"/>
    <col min="7433" max="7433" width="12.7109375" style="2640" bestFit="1" customWidth="1"/>
    <col min="7434" max="7435" width="14.42578125" style="2640" bestFit="1" customWidth="1"/>
    <col min="7436" max="7436" width="15.42578125" style="2640" bestFit="1" customWidth="1"/>
    <col min="7437" max="7437" width="12.5703125" style="2640" customWidth="1"/>
    <col min="7438" max="7440" width="15.28515625" style="2640" bestFit="1" customWidth="1"/>
    <col min="7441" max="7680" width="9.140625" style="2640"/>
    <col min="7681" max="7681" width="56.5703125" style="2640" customWidth="1"/>
    <col min="7682" max="7682" width="15.85546875" style="2640" customWidth="1"/>
    <col min="7683" max="7683" width="15.42578125" style="2640" customWidth="1"/>
    <col min="7684" max="7684" width="17.140625" style="2640" customWidth="1"/>
    <col min="7685" max="7685" width="21.42578125" style="2640" customWidth="1"/>
    <col min="7686" max="7686" width="29.42578125" style="2640" customWidth="1"/>
    <col min="7687" max="7687" width="16.85546875" style="2640" customWidth="1"/>
    <col min="7688" max="7688" width="14.28515625" style="2640" bestFit="1" customWidth="1"/>
    <col min="7689" max="7689" width="12.7109375" style="2640" bestFit="1" customWidth="1"/>
    <col min="7690" max="7691" width="14.42578125" style="2640" bestFit="1" customWidth="1"/>
    <col min="7692" max="7692" width="15.42578125" style="2640" bestFit="1" customWidth="1"/>
    <col min="7693" max="7693" width="12.5703125" style="2640" customWidth="1"/>
    <col min="7694" max="7696" width="15.28515625" style="2640" bestFit="1" customWidth="1"/>
    <col min="7697" max="7936" width="9.140625" style="2640"/>
    <col min="7937" max="7937" width="56.5703125" style="2640" customWidth="1"/>
    <col min="7938" max="7938" width="15.85546875" style="2640" customWidth="1"/>
    <col min="7939" max="7939" width="15.42578125" style="2640" customWidth="1"/>
    <col min="7940" max="7940" width="17.140625" style="2640" customWidth="1"/>
    <col min="7941" max="7941" width="21.42578125" style="2640" customWidth="1"/>
    <col min="7942" max="7942" width="29.42578125" style="2640" customWidth="1"/>
    <col min="7943" max="7943" width="16.85546875" style="2640" customWidth="1"/>
    <col min="7944" max="7944" width="14.28515625" style="2640" bestFit="1" customWidth="1"/>
    <col min="7945" max="7945" width="12.7109375" style="2640" bestFit="1" customWidth="1"/>
    <col min="7946" max="7947" width="14.42578125" style="2640" bestFit="1" customWidth="1"/>
    <col min="7948" max="7948" width="15.42578125" style="2640" bestFit="1" customWidth="1"/>
    <col min="7949" max="7949" width="12.5703125" style="2640" customWidth="1"/>
    <col min="7950" max="7952" width="15.28515625" style="2640" bestFit="1" customWidth="1"/>
    <col min="7953" max="8192" width="9.140625" style="2640"/>
    <col min="8193" max="8193" width="56.5703125" style="2640" customWidth="1"/>
    <col min="8194" max="8194" width="15.85546875" style="2640" customWidth="1"/>
    <col min="8195" max="8195" width="15.42578125" style="2640" customWidth="1"/>
    <col min="8196" max="8196" width="17.140625" style="2640" customWidth="1"/>
    <col min="8197" max="8197" width="21.42578125" style="2640" customWidth="1"/>
    <col min="8198" max="8198" width="29.42578125" style="2640" customWidth="1"/>
    <col min="8199" max="8199" width="16.85546875" style="2640" customWidth="1"/>
    <col min="8200" max="8200" width="14.28515625" style="2640" bestFit="1" customWidth="1"/>
    <col min="8201" max="8201" width="12.7109375" style="2640" bestFit="1" customWidth="1"/>
    <col min="8202" max="8203" width="14.42578125" style="2640" bestFit="1" customWidth="1"/>
    <col min="8204" max="8204" width="15.42578125" style="2640" bestFit="1" customWidth="1"/>
    <col min="8205" max="8205" width="12.5703125" style="2640" customWidth="1"/>
    <col min="8206" max="8208" width="15.28515625" style="2640" bestFit="1" customWidth="1"/>
    <col min="8209" max="8448" width="9.140625" style="2640"/>
    <col min="8449" max="8449" width="56.5703125" style="2640" customWidth="1"/>
    <col min="8450" max="8450" width="15.85546875" style="2640" customWidth="1"/>
    <col min="8451" max="8451" width="15.42578125" style="2640" customWidth="1"/>
    <col min="8452" max="8452" width="17.140625" style="2640" customWidth="1"/>
    <col min="8453" max="8453" width="21.42578125" style="2640" customWidth="1"/>
    <col min="8454" max="8454" width="29.42578125" style="2640" customWidth="1"/>
    <col min="8455" max="8455" width="16.85546875" style="2640" customWidth="1"/>
    <col min="8456" max="8456" width="14.28515625" style="2640" bestFit="1" customWidth="1"/>
    <col min="8457" max="8457" width="12.7109375" style="2640" bestFit="1" customWidth="1"/>
    <col min="8458" max="8459" width="14.42578125" style="2640" bestFit="1" customWidth="1"/>
    <col min="8460" max="8460" width="15.42578125" style="2640" bestFit="1" customWidth="1"/>
    <col min="8461" max="8461" width="12.5703125" style="2640" customWidth="1"/>
    <col min="8462" max="8464" width="15.28515625" style="2640" bestFit="1" customWidth="1"/>
    <col min="8465" max="8704" width="9.140625" style="2640"/>
    <col min="8705" max="8705" width="56.5703125" style="2640" customWidth="1"/>
    <col min="8706" max="8706" width="15.85546875" style="2640" customWidth="1"/>
    <col min="8707" max="8707" width="15.42578125" style="2640" customWidth="1"/>
    <col min="8708" max="8708" width="17.140625" style="2640" customWidth="1"/>
    <col min="8709" max="8709" width="21.42578125" style="2640" customWidth="1"/>
    <col min="8710" max="8710" width="29.42578125" style="2640" customWidth="1"/>
    <col min="8711" max="8711" width="16.85546875" style="2640" customWidth="1"/>
    <col min="8712" max="8712" width="14.28515625" style="2640" bestFit="1" customWidth="1"/>
    <col min="8713" max="8713" width="12.7109375" style="2640" bestFit="1" customWidth="1"/>
    <col min="8714" max="8715" width="14.42578125" style="2640" bestFit="1" customWidth="1"/>
    <col min="8716" max="8716" width="15.42578125" style="2640" bestFit="1" customWidth="1"/>
    <col min="8717" max="8717" width="12.5703125" style="2640" customWidth="1"/>
    <col min="8718" max="8720" width="15.28515625" style="2640" bestFit="1" customWidth="1"/>
    <col min="8721" max="8960" width="9.140625" style="2640"/>
    <col min="8961" max="8961" width="56.5703125" style="2640" customWidth="1"/>
    <col min="8962" max="8962" width="15.85546875" style="2640" customWidth="1"/>
    <col min="8963" max="8963" width="15.42578125" style="2640" customWidth="1"/>
    <col min="8964" max="8964" width="17.140625" style="2640" customWidth="1"/>
    <col min="8965" max="8965" width="21.42578125" style="2640" customWidth="1"/>
    <col min="8966" max="8966" width="29.42578125" style="2640" customWidth="1"/>
    <col min="8967" max="8967" width="16.85546875" style="2640" customWidth="1"/>
    <col min="8968" max="8968" width="14.28515625" style="2640" bestFit="1" customWidth="1"/>
    <col min="8969" max="8969" width="12.7109375" style="2640" bestFit="1" customWidth="1"/>
    <col min="8970" max="8971" width="14.42578125" style="2640" bestFit="1" customWidth="1"/>
    <col min="8972" max="8972" width="15.42578125" style="2640" bestFit="1" customWidth="1"/>
    <col min="8973" max="8973" width="12.5703125" style="2640" customWidth="1"/>
    <col min="8974" max="8976" width="15.28515625" style="2640" bestFit="1" customWidth="1"/>
    <col min="8977" max="9216" width="9.140625" style="2640"/>
    <col min="9217" max="9217" width="56.5703125" style="2640" customWidth="1"/>
    <col min="9218" max="9218" width="15.85546875" style="2640" customWidth="1"/>
    <col min="9219" max="9219" width="15.42578125" style="2640" customWidth="1"/>
    <col min="9220" max="9220" width="17.140625" style="2640" customWidth="1"/>
    <col min="9221" max="9221" width="21.42578125" style="2640" customWidth="1"/>
    <col min="9222" max="9222" width="29.42578125" style="2640" customWidth="1"/>
    <col min="9223" max="9223" width="16.85546875" style="2640" customWidth="1"/>
    <col min="9224" max="9224" width="14.28515625" style="2640" bestFit="1" customWidth="1"/>
    <col min="9225" max="9225" width="12.7109375" style="2640" bestFit="1" customWidth="1"/>
    <col min="9226" max="9227" width="14.42578125" style="2640" bestFit="1" customWidth="1"/>
    <col min="9228" max="9228" width="15.42578125" style="2640" bestFit="1" customWidth="1"/>
    <col min="9229" max="9229" width="12.5703125" style="2640" customWidth="1"/>
    <col min="9230" max="9232" width="15.28515625" style="2640" bestFit="1" customWidth="1"/>
    <col min="9233" max="9472" width="9.140625" style="2640"/>
    <col min="9473" max="9473" width="56.5703125" style="2640" customWidth="1"/>
    <col min="9474" max="9474" width="15.85546875" style="2640" customWidth="1"/>
    <col min="9475" max="9475" width="15.42578125" style="2640" customWidth="1"/>
    <col min="9476" max="9476" width="17.140625" style="2640" customWidth="1"/>
    <col min="9477" max="9477" width="21.42578125" style="2640" customWidth="1"/>
    <col min="9478" max="9478" width="29.42578125" style="2640" customWidth="1"/>
    <col min="9479" max="9479" width="16.85546875" style="2640" customWidth="1"/>
    <col min="9480" max="9480" width="14.28515625" style="2640" bestFit="1" customWidth="1"/>
    <col min="9481" max="9481" width="12.7109375" style="2640" bestFit="1" customWidth="1"/>
    <col min="9482" max="9483" width="14.42578125" style="2640" bestFit="1" customWidth="1"/>
    <col min="9484" max="9484" width="15.42578125" style="2640" bestFit="1" customWidth="1"/>
    <col min="9485" max="9485" width="12.5703125" style="2640" customWidth="1"/>
    <col min="9486" max="9488" width="15.28515625" style="2640" bestFit="1" customWidth="1"/>
    <col min="9489" max="9728" width="9.140625" style="2640"/>
    <col min="9729" max="9729" width="56.5703125" style="2640" customWidth="1"/>
    <col min="9730" max="9730" width="15.85546875" style="2640" customWidth="1"/>
    <col min="9731" max="9731" width="15.42578125" style="2640" customWidth="1"/>
    <col min="9732" max="9732" width="17.140625" style="2640" customWidth="1"/>
    <col min="9733" max="9733" width="21.42578125" style="2640" customWidth="1"/>
    <col min="9734" max="9734" width="29.42578125" style="2640" customWidth="1"/>
    <col min="9735" max="9735" width="16.85546875" style="2640" customWidth="1"/>
    <col min="9736" max="9736" width="14.28515625" style="2640" bestFit="1" customWidth="1"/>
    <col min="9737" max="9737" width="12.7109375" style="2640" bestFit="1" customWidth="1"/>
    <col min="9738" max="9739" width="14.42578125" style="2640" bestFit="1" customWidth="1"/>
    <col min="9740" max="9740" width="15.42578125" style="2640" bestFit="1" customWidth="1"/>
    <col min="9741" max="9741" width="12.5703125" style="2640" customWidth="1"/>
    <col min="9742" max="9744" width="15.28515625" style="2640" bestFit="1" customWidth="1"/>
    <col min="9745" max="9984" width="9.140625" style="2640"/>
    <col min="9985" max="9985" width="56.5703125" style="2640" customWidth="1"/>
    <col min="9986" max="9986" width="15.85546875" style="2640" customWidth="1"/>
    <col min="9987" max="9987" width="15.42578125" style="2640" customWidth="1"/>
    <col min="9988" max="9988" width="17.140625" style="2640" customWidth="1"/>
    <col min="9989" max="9989" width="21.42578125" style="2640" customWidth="1"/>
    <col min="9990" max="9990" width="29.42578125" style="2640" customWidth="1"/>
    <col min="9991" max="9991" width="16.85546875" style="2640" customWidth="1"/>
    <col min="9992" max="9992" width="14.28515625" style="2640" bestFit="1" customWidth="1"/>
    <col min="9993" max="9993" width="12.7109375" style="2640" bestFit="1" customWidth="1"/>
    <col min="9994" max="9995" width="14.42578125" style="2640" bestFit="1" customWidth="1"/>
    <col min="9996" max="9996" width="15.42578125" style="2640" bestFit="1" customWidth="1"/>
    <col min="9997" max="9997" width="12.5703125" style="2640" customWidth="1"/>
    <col min="9998" max="10000" width="15.28515625" style="2640" bestFit="1" customWidth="1"/>
    <col min="10001" max="10240" width="9.140625" style="2640"/>
    <col min="10241" max="10241" width="56.5703125" style="2640" customWidth="1"/>
    <col min="10242" max="10242" width="15.85546875" style="2640" customWidth="1"/>
    <col min="10243" max="10243" width="15.42578125" style="2640" customWidth="1"/>
    <col min="10244" max="10244" width="17.140625" style="2640" customWidth="1"/>
    <col min="10245" max="10245" width="21.42578125" style="2640" customWidth="1"/>
    <col min="10246" max="10246" width="29.42578125" style="2640" customWidth="1"/>
    <col min="10247" max="10247" width="16.85546875" style="2640" customWidth="1"/>
    <col min="10248" max="10248" width="14.28515625" style="2640" bestFit="1" customWidth="1"/>
    <col min="10249" max="10249" width="12.7109375" style="2640" bestFit="1" customWidth="1"/>
    <col min="10250" max="10251" width="14.42578125" style="2640" bestFit="1" customWidth="1"/>
    <col min="10252" max="10252" width="15.42578125" style="2640" bestFit="1" customWidth="1"/>
    <col min="10253" max="10253" width="12.5703125" style="2640" customWidth="1"/>
    <col min="10254" max="10256" width="15.28515625" style="2640" bestFit="1" customWidth="1"/>
    <col min="10257" max="10496" width="9.140625" style="2640"/>
    <col min="10497" max="10497" width="56.5703125" style="2640" customWidth="1"/>
    <col min="10498" max="10498" width="15.85546875" style="2640" customWidth="1"/>
    <col min="10499" max="10499" width="15.42578125" style="2640" customWidth="1"/>
    <col min="10500" max="10500" width="17.140625" style="2640" customWidth="1"/>
    <col min="10501" max="10501" width="21.42578125" style="2640" customWidth="1"/>
    <col min="10502" max="10502" width="29.42578125" style="2640" customWidth="1"/>
    <col min="10503" max="10503" width="16.85546875" style="2640" customWidth="1"/>
    <col min="10504" max="10504" width="14.28515625" style="2640" bestFit="1" customWidth="1"/>
    <col min="10505" max="10505" width="12.7109375" style="2640" bestFit="1" customWidth="1"/>
    <col min="10506" max="10507" width="14.42578125" style="2640" bestFit="1" customWidth="1"/>
    <col min="10508" max="10508" width="15.42578125" style="2640" bestFit="1" customWidth="1"/>
    <col min="10509" max="10509" width="12.5703125" style="2640" customWidth="1"/>
    <col min="10510" max="10512" width="15.28515625" style="2640" bestFit="1" customWidth="1"/>
    <col min="10513" max="10752" width="9.140625" style="2640"/>
    <col min="10753" max="10753" width="56.5703125" style="2640" customWidth="1"/>
    <col min="10754" max="10754" width="15.85546875" style="2640" customWidth="1"/>
    <col min="10755" max="10755" width="15.42578125" style="2640" customWidth="1"/>
    <col min="10756" max="10756" width="17.140625" style="2640" customWidth="1"/>
    <col min="10757" max="10757" width="21.42578125" style="2640" customWidth="1"/>
    <col min="10758" max="10758" width="29.42578125" style="2640" customWidth="1"/>
    <col min="10759" max="10759" width="16.85546875" style="2640" customWidth="1"/>
    <col min="10760" max="10760" width="14.28515625" style="2640" bestFit="1" customWidth="1"/>
    <col min="10761" max="10761" width="12.7109375" style="2640" bestFit="1" customWidth="1"/>
    <col min="10762" max="10763" width="14.42578125" style="2640" bestFit="1" customWidth="1"/>
    <col min="10764" max="10764" width="15.42578125" style="2640" bestFit="1" customWidth="1"/>
    <col min="10765" max="10765" width="12.5703125" style="2640" customWidth="1"/>
    <col min="10766" max="10768" width="15.28515625" style="2640" bestFit="1" customWidth="1"/>
    <col min="10769" max="11008" width="9.140625" style="2640"/>
    <col min="11009" max="11009" width="56.5703125" style="2640" customWidth="1"/>
    <col min="11010" max="11010" width="15.85546875" style="2640" customWidth="1"/>
    <col min="11011" max="11011" width="15.42578125" style="2640" customWidth="1"/>
    <col min="11012" max="11012" width="17.140625" style="2640" customWidth="1"/>
    <col min="11013" max="11013" width="21.42578125" style="2640" customWidth="1"/>
    <col min="11014" max="11014" width="29.42578125" style="2640" customWidth="1"/>
    <col min="11015" max="11015" width="16.85546875" style="2640" customWidth="1"/>
    <col min="11016" max="11016" width="14.28515625" style="2640" bestFit="1" customWidth="1"/>
    <col min="11017" max="11017" width="12.7109375" style="2640" bestFit="1" customWidth="1"/>
    <col min="11018" max="11019" width="14.42578125" style="2640" bestFit="1" customWidth="1"/>
    <col min="11020" max="11020" width="15.42578125" style="2640" bestFit="1" customWidth="1"/>
    <col min="11021" max="11021" width="12.5703125" style="2640" customWidth="1"/>
    <col min="11022" max="11024" width="15.28515625" style="2640" bestFit="1" customWidth="1"/>
    <col min="11025" max="11264" width="9.140625" style="2640"/>
    <col min="11265" max="11265" width="56.5703125" style="2640" customWidth="1"/>
    <col min="11266" max="11266" width="15.85546875" style="2640" customWidth="1"/>
    <col min="11267" max="11267" width="15.42578125" style="2640" customWidth="1"/>
    <col min="11268" max="11268" width="17.140625" style="2640" customWidth="1"/>
    <col min="11269" max="11269" width="21.42578125" style="2640" customWidth="1"/>
    <col min="11270" max="11270" width="29.42578125" style="2640" customWidth="1"/>
    <col min="11271" max="11271" width="16.85546875" style="2640" customWidth="1"/>
    <col min="11272" max="11272" width="14.28515625" style="2640" bestFit="1" customWidth="1"/>
    <col min="11273" max="11273" width="12.7109375" style="2640" bestFit="1" customWidth="1"/>
    <col min="11274" max="11275" width="14.42578125" style="2640" bestFit="1" customWidth="1"/>
    <col min="11276" max="11276" width="15.42578125" style="2640" bestFit="1" customWidth="1"/>
    <col min="11277" max="11277" width="12.5703125" style="2640" customWidth="1"/>
    <col min="11278" max="11280" width="15.28515625" style="2640" bestFit="1" customWidth="1"/>
    <col min="11281" max="11520" width="9.140625" style="2640"/>
    <col min="11521" max="11521" width="56.5703125" style="2640" customWidth="1"/>
    <col min="11522" max="11522" width="15.85546875" style="2640" customWidth="1"/>
    <col min="11523" max="11523" width="15.42578125" style="2640" customWidth="1"/>
    <col min="11524" max="11524" width="17.140625" style="2640" customWidth="1"/>
    <col min="11525" max="11525" width="21.42578125" style="2640" customWidth="1"/>
    <col min="11526" max="11526" width="29.42578125" style="2640" customWidth="1"/>
    <col min="11527" max="11527" width="16.85546875" style="2640" customWidth="1"/>
    <col min="11528" max="11528" width="14.28515625" style="2640" bestFit="1" customWidth="1"/>
    <col min="11529" max="11529" width="12.7109375" style="2640" bestFit="1" customWidth="1"/>
    <col min="11530" max="11531" width="14.42578125" style="2640" bestFit="1" customWidth="1"/>
    <col min="11532" max="11532" width="15.42578125" style="2640" bestFit="1" customWidth="1"/>
    <col min="11533" max="11533" width="12.5703125" style="2640" customWidth="1"/>
    <col min="11534" max="11536" width="15.28515625" style="2640" bestFit="1" customWidth="1"/>
    <col min="11537" max="11776" width="9.140625" style="2640"/>
    <col min="11777" max="11777" width="56.5703125" style="2640" customWidth="1"/>
    <col min="11778" max="11778" width="15.85546875" style="2640" customWidth="1"/>
    <col min="11779" max="11779" width="15.42578125" style="2640" customWidth="1"/>
    <col min="11780" max="11780" width="17.140625" style="2640" customWidth="1"/>
    <col min="11781" max="11781" width="21.42578125" style="2640" customWidth="1"/>
    <col min="11782" max="11782" width="29.42578125" style="2640" customWidth="1"/>
    <col min="11783" max="11783" width="16.85546875" style="2640" customWidth="1"/>
    <col min="11784" max="11784" width="14.28515625" style="2640" bestFit="1" customWidth="1"/>
    <col min="11785" max="11785" width="12.7109375" style="2640" bestFit="1" customWidth="1"/>
    <col min="11786" max="11787" width="14.42578125" style="2640" bestFit="1" customWidth="1"/>
    <col min="11788" max="11788" width="15.42578125" style="2640" bestFit="1" customWidth="1"/>
    <col min="11789" max="11789" width="12.5703125" style="2640" customWidth="1"/>
    <col min="11790" max="11792" width="15.28515625" style="2640" bestFit="1" customWidth="1"/>
    <col min="11793" max="12032" width="9.140625" style="2640"/>
    <col min="12033" max="12033" width="56.5703125" style="2640" customWidth="1"/>
    <col min="12034" max="12034" width="15.85546875" style="2640" customWidth="1"/>
    <col min="12035" max="12035" width="15.42578125" style="2640" customWidth="1"/>
    <col min="12036" max="12036" width="17.140625" style="2640" customWidth="1"/>
    <col min="12037" max="12037" width="21.42578125" style="2640" customWidth="1"/>
    <col min="12038" max="12038" width="29.42578125" style="2640" customWidth="1"/>
    <col min="12039" max="12039" width="16.85546875" style="2640" customWidth="1"/>
    <col min="12040" max="12040" width="14.28515625" style="2640" bestFit="1" customWidth="1"/>
    <col min="12041" max="12041" width="12.7109375" style="2640" bestFit="1" customWidth="1"/>
    <col min="12042" max="12043" width="14.42578125" style="2640" bestFit="1" customWidth="1"/>
    <col min="12044" max="12044" width="15.42578125" style="2640" bestFit="1" customWidth="1"/>
    <col min="12045" max="12045" width="12.5703125" style="2640" customWidth="1"/>
    <col min="12046" max="12048" width="15.28515625" style="2640" bestFit="1" customWidth="1"/>
    <col min="12049" max="12288" width="9.140625" style="2640"/>
    <col min="12289" max="12289" width="56.5703125" style="2640" customWidth="1"/>
    <col min="12290" max="12290" width="15.85546875" style="2640" customWidth="1"/>
    <col min="12291" max="12291" width="15.42578125" style="2640" customWidth="1"/>
    <col min="12292" max="12292" width="17.140625" style="2640" customWidth="1"/>
    <col min="12293" max="12293" width="21.42578125" style="2640" customWidth="1"/>
    <col min="12294" max="12294" width="29.42578125" style="2640" customWidth="1"/>
    <col min="12295" max="12295" width="16.85546875" style="2640" customWidth="1"/>
    <col min="12296" max="12296" width="14.28515625" style="2640" bestFit="1" customWidth="1"/>
    <col min="12297" max="12297" width="12.7109375" style="2640" bestFit="1" customWidth="1"/>
    <col min="12298" max="12299" width="14.42578125" style="2640" bestFit="1" customWidth="1"/>
    <col min="12300" max="12300" width="15.42578125" style="2640" bestFit="1" customWidth="1"/>
    <col min="12301" max="12301" width="12.5703125" style="2640" customWidth="1"/>
    <col min="12302" max="12304" width="15.28515625" style="2640" bestFit="1" customWidth="1"/>
    <col min="12305" max="12544" width="9.140625" style="2640"/>
    <col min="12545" max="12545" width="56.5703125" style="2640" customWidth="1"/>
    <col min="12546" max="12546" width="15.85546875" style="2640" customWidth="1"/>
    <col min="12547" max="12547" width="15.42578125" style="2640" customWidth="1"/>
    <col min="12548" max="12548" width="17.140625" style="2640" customWidth="1"/>
    <col min="12549" max="12549" width="21.42578125" style="2640" customWidth="1"/>
    <col min="12550" max="12550" width="29.42578125" style="2640" customWidth="1"/>
    <col min="12551" max="12551" width="16.85546875" style="2640" customWidth="1"/>
    <col min="12552" max="12552" width="14.28515625" style="2640" bestFit="1" customWidth="1"/>
    <col min="12553" max="12553" width="12.7109375" style="2640" bestFit="1" customWidth="1"/>
    <col min="12554" max="12555" width="14.42578125" style="2640" bestFit="1" customWidth="1"/>
    <col min="12556" max="12556" width="15.42578125" style="2640" bestFit="1" customWidth="1"/>
    <col min="12557" max="12557" width="12.5703125" style="2640" customWidth="1"/>
    <col min="12558" max="12560" width="15.28515625" style="2640" bestFit="1" customWidth="1"/>
    <col min="12561" max="12800" width="9.140625" style="2640"/>
    <col min="12801" max="12801" width="56.5703125" style="2640" customWidth="1"/>
    <col min="12802" max="12802" width="15.85546875" style="2640" customWidth="1"/>
    <col min="12803" max="12803" width="15.42578125" style="2640" customWidth="1"/>
    <col min="12804" max="12804" width="17.140625" style="2640" customWidth="1"/>
    <col min="12805" max="12805" width="21.42578125" style="2640" customWidth="1"/>
    <col min="12806" max="12806" width="29.42578125" style="2640" customWidth="1"/>
    <col min="12807" max="12807" width="16.85546875" style="2640" customWidth="1"/>
    <col min="12808" max="12808" width="14.28515625" style="2640" bestFit="1" customWidth="1"/>
    <col min="12809" max="12809" width="12.7109375" style="2640" bestFit="1" customWidth="1"/>
    <col min="12810" max="12811" width="14.42578125" style="2640" bestFit="1" customWidth="1"/>
    <col min="12812" max="12812" width="15.42578125" style="2640" bestFit="1" customWidth="1"/>
    <col min="12813" max="12813" width="12.5703125" style="2640" customWidth="1"/>
    <col min="12814" max="12816" width="15.28515625" style="2640" bestFit="1" customWidth="1"/>
    <col min="12817" max="13056" width="9.140625" style="2640"/>
    <col min="13057" max="13057" width="56.5703125" style="2640" customWidth="1"/>
    <col min="13058" max="13058" width="15.85546875" style="2640" customWidth="1"/>
    <col min="13059" max="13059" width="15.42578125" style="2640" customWidth="1"/>
    <col min="13060" max="13060" width="17.140625" style="2640" customWidth="1"/>
    <col min="13061" max="13061" width="21.42578125" style="2640" customWidth="1"/>
    <col min="13062" max="13062" width="29.42578125" style="2640" customWidth="1"/>
    <col min="13063" max="13063" width="16.85546875" style="2640" customWidth="1"/>
    <col min="13064" max="13064" width="14.28515625" style="2640" bestFit="1" customWidth="1"/>
    <col min="13065" max="13065" width="12.7109375" style="2640" bestFit="1" customWidth="1"/>
    <col min="13066" max="13067" width="14.42578125" style="2640" bestFit="1" customWidth="1"/>
    <col min="13068" max="13068" width="15.42578125" style="2640" bestFit="1" customWidth="1"/>
    <col min="13069" max="13069" width="12.5703125" style="2640" customWidth="1"/>
    <col min="13070" max="13072" width="15.28515625" style="2640" bestFit="1" customWidth="1"/>
    <col min="13073" max="13312" width="9.140625" style="2640"/>
    <col min="13313" max="13313" width="56.5703125" style="2640" customWidth="1"/>
    <col min="13314" max="13314" width="15.85546875" style="2640" customWidth="1"/>
    <col min="13315" max="13315" width="15.42578125" style="2640" customWidth="1"/>
    <col min="13316" max="13316" width="17.140625" style="2640" customWidth="1"/>
    <col min="13317" max="13317" width="21.42578125" style="2640" customWidth="1"/>
    <col min="13318" max="13318" width="29.42578125" style="2640" customWidth="1"/>
    <col min="13319" max="13319" width="16.85546875" style="2640" customWidth="1"/>
    <col min="13320" max="13320" width="14.28515625" style="2640" bestFit="1" customWidth="1"/>
    <col min="13321" max="13321" width="12.7109375" style="2640" bestFit="1" customWidth="1"/>
    <col min="13322" max="13323" width="14.42578125" style="2640" bestFit="1" customWidth="1"/>
    <col min="13324" max="13324" width="15.42578125" style="2640" bestFit="1" customWidth="1"/>
    <col min="13325" max="13325" width="12.5703125" style="2640" customWidth="1"/>
    <col min="13326" max="13328" width="15.28515625" style="2640" bestFit="1" customWidth="1"/>
    <col min="13329" max="13568" width="9.140625" style="2640"/>
    <col min="13569" max="13569" width="56.5703125" style="2640" customWidth="1"/>
    <col min="13570" max="13570" width="15.85546875" style="2640" customWidth="1"/>
    <col min="13571" max="13571" width="15.42578125" style="2640" customWidth="1"/>
    <col min="13572" max="13572" width="17.140625" style="2640" customWidth="1"/>
    <col min="13573" max="13573" width="21.42578125" style="2640" customWidth="1"/>
    <col min="13574" max="13574" width="29.42578125" style="2640" customWidth="1"/>
    <col min="13575" max="13575" width="16.85546875" style="2640" customWidth="1"/>
    <col min="13576" max="13576" width="14.28515625" style="2640" bestFit="1" customWidth="1"/>
    <col min="13577" max="13577" width="12.7109375" style="2640" bestFit="1" customWidth="1"/>
    <col min="13578" max="13579" width="14.42578125" style="2640" bestFit="1" customWidth="1"/>
    <col min="13580" max="13580" width="15.42578125" style="2640" bestFit="1" customWidth="1"/>
    <col min="13581" max="13581" width="12.5703125" style="2640" customWidth="1"/>
    <col min="13582" max="13584" width="15.28515625" style="2640" bestFit="1" customWidth="1"/>
    <col min="13585" max="13824" width="9.140625" style="2640"/>
    <col min="13825" max="13825" width="56.5703125" style="2640" customWidth="1"/>
    <col min="13826" max="13826" width="15.85546875" style="2640" customWidth="1"/>
    <col min="13827" max="13827" width="15.42578125" style="2640" customWidth="1"/>
    <col min="13828" max="13828" width="17.140625" style="2640" customWidth="1"/>
    <col min="13829" max="13829" width="21.42578125" style="2640" customWidth="1"/>
    <col min="13830" max="13830" width="29.42578125" style="2640" customWidth="1"/>
    <col min="13831" max="13831" width="16.85546875" style="2640" customWidth="1"/>
    <col min="13832" max="13832" width="14.28515625" style="2640" bestFit="1" customWidth="1"/>
    <col min="13833" max="13833" width="12.7109375" style="2640" bestFit="1" customWidth="1"/>
    <col min="13834" max="13835" width="14.42578125" style="2640" bestFit="1" customWidth="1"/>
    <col min="13836" max="13836" width="15.42578125" style="2640" bestFit="1" customWidth="1"/>
    <col min="13837" max="13837" width="12.5703125" style="2640" customWidth="1"/>
    <col min="13838" max="13840" width="15.28515625" style="2640" bestFit="1" customWidth="1"/>
    <col min="13841" max="14080" width="9.140625" style="2640"/>
    <col min="14081" max="14081" width="56.5703125" style="2640" customWidth="1"/>
    <col min="14082" max="14082" width="15.85546875" style="2640" customWidth="1"/>
    <col min="14083" max="14083" width="15.42578125" style="2640" customWidth="1"/>
    <col min="14084" max="14084" width="17.140625" style="2640" customWidth="1"/>
    <col min="14085" max="14085" width="21.42578125" style="2640" customWidth="1"/>
    <col min="14086" max="14086" width="29.42578125" style="2640" customWidth="1"/>
    <col min="14087" max="14087" width="16.85546875" style="2640" customWidth="1"/>
    <col min="14088" max="14088" width="14.28515625" style="2640" bestFit="1" customWidth="1"/>
    <col min="14089" max="14089" width="12.7109375" style="2640" bestFit="1" customWidth="1"/>
    <col min="14090" max="14091" width="14.42578125" style="2640" bestFit="1" customWidth="1"/>
    <col min="14092" max="14092" width="15.42578125" style="2640" bestFit="1" customWidth="1"/>
    <col min="14093" max="14093" width="12.5703125" style="2640" customWidth="1"/>
    <col min="14094" max="14096" width="15.28515625" style="2640" bestFit="1" customWidth="1"/>
    <col min="14097" max="14336" width="9.140625" style="2640"/>
    <col min="14337" max="14337" width="56.5703125" style="2640" customWidth="1"/>
    <col min="14338" max="14338" width="15.85546875" style="2640" customWidth="1"/>
    <col min="14339" max="14339" width="15.42578125" style="2640" customWidth="1"/>
    <col min="14340" max="14340" width="17.140625" style="2640" customWidth="1"/>
    <col min="14341" max="14341" width="21.42578125" style="2640" customWidth="1"/>
    <col min="14342" max="14342" width="29.42578125" style="2640" customWidth="1"/>
    <col min="14343" max="14343" width="16.85546875" style="2640" customWidth="1"/>
    <col min="14344" max="14344" width="14.28515625" style="2640" bestFit="1" customWidth="1"/>
    <col min="14345" max="14345" width="12.7109375" style="2640" bestFit="1" customWidth="1"/>
    <col min="14346" max="14347" width="14.42578125" style="2640" bestFit="1" customWidth="1"/>
    <col min="14348" max="14348" width="15.42578125" style="2640" bestFit="1" customWidth="1"/>
    <col min="14349" max="14349" width="12.5703125" style="2640" customWidth="1"/>
    <col min="14350" max="14352" width="15.28515625" style="2640" bestFit="1" customWidth="1"/>
    <col min="14353" max="14592" width="9.140625" style="2640"/>
    <col min="14593" max="14593" width="56.5703125" style="2640" customWidth="1"/>
    <col min="14594" max="14594" width="15.85546875" style="2640" customWidth="1"/>
    <col min="14595" max="14595" width="15.42578125" style="2640" customWidth="1"/>
    <col min="14596" max="14596" width="17.140625" style="2640" customWidth="1"/>
    <col min="14597" max="14597" width="21.42578125" style="2640" customWidth="1"/>
    <col min="14598" max="14598" width="29.42578125" style="2640" customWidth="1"/>
    <col min="14599" max="14599" width="16.85546875" style="2640" customWidth="1"/>
    <col min="14600" max="14600" width="14.28515625" style="2640" bestFit="1" customWidth="1"/>
    <col min="14601" max="14601" width="12.7109375" style="2640" bestFit="1" customWidth="1"/>
    <col min="14602" max="14603" width="14.42578125" style="2640" bestFit="1" customWidth="1"/>
    <col min="14604" max="14604" width="15.42578125" style="2640" bestFit="1" customWidth="1"/>
    <col min="14605" max="14605" width="12.5703125" style="2640" customWidth="1"/>
    <col min="14606" max="14608" width="15.28515625" style="2640" bestFit="1" customWidth="1"/>
    <col min="14609" max="14848" width="9.140625" style="2640"/>
    <col min="14849" max="14849" width="56.5703125" style="2640" customWidth="1"/>
    <col min="14850" max="14850" width="15.85546875" style="2640" customWidth="1"/>
    <col min="14851" max="14851" width="15.42578125" style="2640" customWidth="1"/>
    <col min="14852" max="14852" width="17.140625" style="2640" customWidth="1"/>
    <col min="14853" max="14853" width="21.42578125" style="2640" customWidth="1"/>
    <col min="14854" max="14854" width="29.42578125" style="2640" customWidth="1"/>
    <col min="14855" max="14855" width="16.85546875" style="2640" customWidth="1"/>
    <col min="14856" max="14856" width="14.28515625" style="2640" bestFit="1" customWidth="1"/>
    <col min="14857" max="14857" width="12.7109375" style="2640" bestFit="1" customWidth="1"/>
    <col min="14858" max="14859" width="14.42578125" style="2640" bestFit="1" customWidth="1"/>
    <col min="14860" max="14860" width="15.42578125" style="2640" bestFit="1" customWidth="1"/>
    <col min="14861" max="14861" width="12.5703125" style="2640" customWidth="1"/>
    <col min="14862" max="14864" width="15.28515625" style="2640" bestFit="1" customWidth="1"/>
    <col min="14865" max="15104" width="9.140625" style="2640"/>
    <col min="15105" max="15105" width="56.5703125" style="2640" customWidth="1"/>
    <col min="15106" max="15106" width="15.85546875" style="2640" customWidth="1"/>
    <col min="15107" max="15107" width="15.42578125" style="2640" customWidth="1"/>
    <col min="15108" max="15108" width="17.140625" style="2640" customWidth="1"/>
    <col min="15109" max="15109" width="21.42578125" style="2640" customWidth="1"/>
    <col min="15110" max="15110" width="29.42578125" style="2640" customWidth="1"/>
    <col min="15111" max="15111" width="16.85546875" style="2640" customWidth="1"/>
    <col min="15112" max="15112" width="14.28515625" style="2640" bestFit="1" customWidth="1"/>
    <col min="15113" max="15113" width="12.7109375" style="2640" bestFit="1" customWidth="1"/>
    <col min="15114" max="15115" width="14.42578125" style="2640" bestFit="1" customWidth="1"/>
    <col min="15116" max="15116" width="15.42578125" style="2640" bestFit="1" customWidth="1"/>
    <col min="15117" max="15117" width="12.5703125" style="2640" customWidth="1"/>
    <col min="15118" max="15120" width="15.28515625" style="2640" bestFit="1" customWidth="1"/>
    <col min="15121" max="15360" width="9.140625" style="2640"/>
    <col min="15361" max="15361" width="56.5703125" style="2640" customWidth="1"/>
    <col min="15362" max="15362" width="15.85546875" style="2640" customWidth="1"/>
    <col min="15363" max="15363" width="15.42578125" style="2640" customWidth="1"/>
    <col min="15364" max="15364" width="17.140625" style="2640" customWidth="1"/>
    <col min="15365" max="15365" width="21.42578125" style="2640" customWidth="1"/>
    <col min="15366" max="15366" width="29.42578125" style="2640" customWidth="1"/>
    <col min="15367" max="15367" width="16.85546875" style="2640" customWidth="1"/>
    <col min="15368" max="15368" width="14.28515625" style="2640" bestFit="1" customWidth="1"/>
    <col min="15369" max="15369" width="12.7109375" style="2640" bestFit="1" customWidth="1"/>
    <col min="15370" max="15371" width="14.42578125" style="2640" bestFit="1" customWidth="1"/>
    <col min="15372" max="15372" width="15.42578125" style="2640" bestFit="1" customWidth="1"/>
    <col min="15373" max="15373" width="12.5703125" style="2640" customWidth="1"/>
    <col min="15374" max="15376" width="15.28515625" style="2640" bestFit="1" customWidth="1"/>
    <col min="15377" max="15616" width="9.140625" style="2640"/>
    <col min="15617" max="15617" width="56.5703125" style="2640" customWidth="1"/>
    <col min="15618" max="15618" width="15.85546875" style="2640" customWidth="1"/>
    <col min="15619" max="15619" width="15.42578125" style="2640" customWidth="1"/>
    <col min="15620" max="15620" width="17.140625" style="2640" customWidth="1"/>
    <col min="15621" max="15621" width="21.42578125" style="2640" customWidth="1"/>
    <col min="15622" max="15622" width="29.42578125" style="2640" customWidth="1"/>
    <col min="15623" max="15623" width="16.85546875" style="2640" customWidth="1"/>
    <col min="15624" max="15624" width="14.28515625" style="2640" bestFit="1" customWidth="1"/>
    <col min="15625" max="15625" width="12.7109375" style="2640" bestFit="1" customWidth="1"/>
    <col min="15626" max="15627" width="14.42578125" style="2640" bestFit="1" customWidth="1"/>
    <col min="15628" max="15628" width="15.42578125" style="2640" bestFit="1" customWidth="1"/>
    <col min="15629" max="15629" width="12.5703125" style="2640" customWidth="1"/>
    <col min="15630" max="15632" width="15.28515625" style="2640" bestFit="1" customWidth="1"/>
    <col min="15633" max="15872" width="9.140625" style="2640"/>
    <col min="15873" max="15873" width="56.5703125" style="2640" customWidth="1"/>
    <col min="15874" max="15874" width="15.85546875" style="2640" customWidth="1"/>
    <col min="15875" max="15875" width="15.42578125" style="2640" customWidth="1"/>
    <col min="15876" max="15876" width="17.140625" style="2640" customWidth="1"/>
    <col min="15877" max="15877" width="21.42578125" style="2640" customWidth="1"/>
    <col min="15878" max="15878" width="29.42578125" style="2640" customWidth="1"/>
    <col min="15879" max="15879" width="16.85546875" style="2640" customWidth="1"/>
    <col min="15880" max="15880" width="14.28515625" style="2640" bestFit="1" customWidth="1"/>
    <col min="15881" max="15881" width="12.7109375" style="2640" bestFit="1" customWidth="1"/>
    <col min="15882" max="15883" width="14.42578125" style="2640" bestFit="1" customWidth="1"/>
    <col min="15884" max="15884" width="15.42578125" style="2640" bestFit="1" customWidth="1"/>
    <col min="15885" max="15885" width="12.5703125" style="2640" customWidth="1"/>
    <col min="15886" max="15888" width="15.28515625" style="2640" bestFit="1" customWidth="1"/>
    <col min="15889" max="16128" width="9.140625" style="2640"/>
    <col min="16129" max="16129" width="56.5703125" style="2640" customWidth="1"/>
    <col min="16130" max="16130" width="15.85546875" style="2640" customWidth="1"/>
    <col min="16131" max="16131" width="15.42578125" style="2640" customWidth="1"/>
    <col min="16132" max="16132" width="17.140625" style="2640" customWidth="1"/>
    <col min="16133" max="16133" width="21.42578125" style="2640" customWidth="1"/>
    <col min="16134" max="16134" width="29.42578125" style="2640" customWidth="1"/>
    <col min="16135" max="16135" width="16.85546875" style="2640" customWidth="1"/>
    <col min="16136" max="16136" width="14.28515625" style="2640" bestFit="1" customWidth="1"/>
    <col min="16137" max="16137" width="12.7109375" style="2640" bestFit="1" customWidth="1"/>
    <col min="16138" max="16139" width="14.42578125" style="2640" bestFit="1" customWidth="1"/>
    <col min="16140" max="16140" width="15.42578125" style="2640" bestFit="1" customWidth="1"/>
    <col min="16141" max="16141" width="12.5703125" style="2640" customWidth="1"/>
    <col min="16142" max="16144" width="15.28515625" style="2640" bestFit="1" customWidth="1"/>
    <col min="16145" max="16384" width="9.140625" style="2640"/>
  </cols>
  <sheetData>
    <row r="1" spans="1:256" ht="15.75" customHeight="1" x14ac:dyDescent="0.25">
      <c r="A1" s="4369" t="s">
        <v>1239</v>
      </c>
      <c r="B1" s="4370"/>
      <c r="C1" s="4370"/>
      <c r="D1" s="4370"/>
      <c r="E1" s="4370"/>
      <c r="F1" s="2638"/>
      <c r="G1" s="2639"/>
    </row>
    <row r="2" spans="1:256" ht="15.75" customHeight="1" x14ac:dyDescent="0.25">
      <c r="A2" s="4371"/>
      <c r="B2" s="4372"/>
      <c r="C2" s="4372"/>
      <c r="D2" s="4372"/>
      <c r="E2" s="4372"/>
      <c r="F2" s="2641"/>
      <c r="G2" s="2642"/>
      <c r="H2" s="2205"/>
      <c r="I2" s="2205"/>
      <c r="J2" s="2205"/>
    </row>
    <row r="3" spans="1:256" ht="15.75" x14ac:dyDescent="0.3">
      <c r="A3" s="2643" t="s">
        <v>1240</v>
      </c>
      <c r="B3" s="4373" t="s">
        <v>35</v>
      </c>
      <c r="C3" s="4373"/>
      <c r="D3" s="2644"/>
      <c r="E3" s="2644" t="s">
        <v>1241</v>
      </c>
      <c r="F3" s="2644"/>
      <c r="G3" s="2645"/>
      <c r="H3" s="2205"/>
      <c r="I3" s="2646"/>
      <c r="J3" s="2646"/>
      <c r="K3" s="2205"/>
    </row>
    <row r="4" spans="1:256" ht="15.75" x14ac:dyDescent="0.3">
      <c r="A4" s="2643"/>
      <c r="B4" s="2644">
        <v>2007</v>
      </c>
      <c r="C4" s="2644">
        <v>2008</v>
      </c>
      <c r="D4" s="2644" t="s">
        <v>347</v>
      </c>
      <c r="E4" s="2644">
        <v>2007</v>
      </c>
      <c r="F4" s="2644">
        <v>2008</v>
      </c>
      <c r="G4" s="2647" t="s">
        <v>69</v>
      </c>
      <c r="H4" s="2211"/>
      <c r="I4" s="2648"/>
      <c r="J4" s="2648"/>
      <c r="K4" s="2205"/>
    </row>
    <row r="5" spans="1:256" ht="18" x14ac:dyDescent="0.3">
      <c r="A5" s="2649" t="s">
        <v>1242</v>
      </c>
      <c r="B5" s="2650">
        <v>15</v>
      </c>
      <c r="C5" s="2650">
        <v>15</v>
      </c>
      <c r="D5" s="2650">
        <f t="shared" ref="D5:D10" si="0">SUM(B5:C5)</f>
        <v>30</v>
      </c>
      <c r="E5" s="2651">
        <v>9330361</v>
      </c>
      <c r="F5" s="2651">
        <v>6577323</v>
      </c>
      <c r="G5" s="2652">
        <f>SUM(E5:F5)</f>
        <v>15907684</v>
      </c>
      <c r="H5" s="2211"/>
      <c r="I5" s="2211"/>
      <c r="J5" s="2211"/>
      <c r="K5" s="2205"/>
    </row>
    <row r="6" spans="1:256" ht="16.5" x14ac:dyDescent="0.3">
      <c r="A6" s="2649" t="s">
        <v>1243</v>
      </c>
      <c r="B6" s="2650">
        <v>7</v>
      </c>
      <c r="C6" s="2650">
        <v>13</v>
      </c>
      <c r="D6" s="2650">
        <f t="shared" si="0"/>
        <v>20</v>
      </c>
      <c r="E6" s="2651">
        <v>5855883</v>
      </c>
      <c r="F6" s="2651">
        <v>2287603</v>
      </c>
      <c r="G6" s="2652">
        <f>SUM(E6:F6)</f>
        <v>8143486</v>
      </c>
      <c r="H6" s="2208"/>
      <c r="I6" s="2211"/>
      <c r="J6" s="2211"/>
      <c r="K6" s="2205"/>
    </row>
    <row r="7" spans="1:256" ht="16.5" x14ac:dyDescent="0.3">
      <c r="A7" s="2649" t="s">
        <v>1244</v>
      </c>
      <c r="B7" s="2650">
        <v>2</v>
      </c>
      <c r="C7" s="2650">
        <v>1</v>
      </c>
      <c r="D7" s="2650">
        <f t="shared" si="0"/>
        <v>3</v>
      </c>
      <c r="E7" s="2651">
        <v>326741</v>
      </c>
      <c r="F7" s="2651">
        <v>293967</v>
      </c>
      <c r="G7" s="2652">
        <f>SUM(E7:F7)</f>
        <v>620708</v>
      </c>
      <c r="H7" s="2208"/>
      <c r="I7" s="75"/>
      <c r="J7" s="2211"/>
      <c r="K7" s="2205"/>
    </row>
    <row r="8" spans="1:256" ht="16.5" x14ac:dyDescent="0.3">
      <c r="A8" s="2649" t="s">
        <v>1245</v>
      </c>
      <c r="B8" s="2650">
        <v>6</v>
      </c>
      <c r="C8" s="2650">
        <v>1</v>
      </c>
      <c r="D8" s="2650">
        <f t="shared" si="0"/>
        <v>7</v>
      </c>
      <c r="E8" s="2651">
        <v>3147737</v>
      </c>
      <c r="F8" s="2651">
        <v>53739</v>
      </c>
      <c r="G8" s="2652">
        <f>SUM(E8:F8)</f>
        <v>3201476</v>
      </c>
      <c r="H8" s="2208"/>
      <c r="I8" s="75"/>
      <c r="J8" s="2211"/>
      <c r="K8" s="2205"/>
    </row>
    <row r="9" spans="1:256" ht="16.5" x14ac:dyDescent="0.3">
      <c r="A9" s="2649" t="s">
        <v>1246</v>
      </c>
      <c r="B9" s="2650">
        <v>2</v>
      </c>
      <c r="C9" s="2650" t="s">
        <v>1247</v>
      </c>
      <c r="D9" s="2650">
        <f t="shared" si="0"/>
        <v>2</v>
      </c>
      <c r="E9" s="2651">
        <v>3186138</v>
      </c>
      <c r="F9" s="2651"/>
      <c r="G9" s="2653"/>
      <c r="H9" s="2208"/>
      <c r="I9" s="75"/>
      <c r="J9" s="2211"/>
      <c r="K9" s="2205"/>
    </row>
    <row r="10" spans="1:256" ht="17.25" thickBot="1" x14ac:dyDescent="0.35">
      <c r="A10" s="2654" t="s">
        <v>1248</v>
      </c>
      <c r="B10" s="2655" t="s">
        <v>1247</v>
      </c>
      <c r="C10" s="2655">
        <v>6</v>
      </c>
      <c r="D10" s="2655">
        <f t="shared" si="0"/>
        <v>6</v>
      </c>
      <c r="E10" s="2656"/>
      <c r="F10" s="2657">
        <v>4046009</v>
      </c>
      <c r="G10" s="2658"/>
      <c r="H10" s="2208"/>
      <c r="I10" s="75"/>
      <c r="J10" s="2211"/>
      <c r="K10" s="2205"/>
    </row>
    <row r="11" spans="1:256" ht="16.5" x14ac:dyDescent="0.3">
      <c r="A11" s="2649"/>
      <c r="B11" s="2650"/>
      <c r="C11" s="2650"/>
      <c r="D11" s="2650"/>
      <c r="E11" s="2651"/>
      <c r="F11" s="2651"/>
      <c r="G11" s="2653"/>
      <c r="H11" s="2208"/>
      <c r="I11" s="75"/>
      <c r="J11" s="2211"/>
      <c r="K11" s="2205"/>
    </row>
    <row r="12" spans="1:256" ht="16.5" x14ac:dyDescent="0.3">
      <c r="A12" s="2649" t="s">
        <v>1249</v>
      </c>
      <c r="B12" s="2650">
        <v>7</v>
      </c>
      <c r="C12" s="2650"/>
      <c r="D12" s="2650"/>
      <c r="E12" s="2651">
        <v>5855883</v>
      </c>
      <c r="F12" s="2651"/>
      <c r="G12" s="2653"/>
      <c r="H12" s="2208"/>
      <c r="I12" s="75"/>
      <c r="J12" s="2211"/>
      <c r="K12" s="2205"/>
    </row>
    <row r="13" spans="1:256" ht="17.25" thickBot="1" x14ac:dyDescent="0.35">
      <c r="A13" s="2654" t="s">
        <v>1250</v>
      </c>
      <c r="B13" s="2655">
        <v>5</v>
      </c>
      <c r="C13" s="2655"/>
      <c r="D13" s="2655"/>
      <c r="E13" s="2656">
        <v>5066140</v>
      </c>
      <c r="F13" s="2656"/>
      <c r="G13" s="2659"/>
      <c r="H13" s="2208"/>
      <c r="I13" s="75"/>
      <c r="J13" s="2211"/>
      <c r="K13" s="2205"/>
    </row>
    <row r="14" spans="1:256" ht="15" customHeight="1" x14ac:dyDescent="0.25">
      <c r="A14" s="4369" t="s">
        <v>1251</v>
      </c>
      <c r="B14" s="4370"/>
      <c r="C14" s="4374"/>
      <c r="D14" s="2660"/>
      <c r="E14" s="4368"/>
      <c r="F14" s="4368"/>
      <c r="G14" s="4368"/>
      <c r="H14" s="4368"/>
      <c r="I14" s="4368"/>
      <c r="J14" s="4368"/>
      <c r="K14" s="4368"/>
      <c r="L14" s="4368"/>
      <c r="M14" s="4368"/>
      <c r="N14" s="4368"/>
      <c r="O14" s="4368"/>
      <c r="P14" s="4368"/>
      <c r="Q14" s="4368"/>
      <c r="R14" s="4368"/>
      <c r="S14" s="4368"/>
      <c r="T14" s="4368"/>
      <c r="U14" s="4368"/>
      <c r="V14" s="4368"/>
      <c r="W14" s="4368"/>
      <c r="X14" s="4368"/>
      <c r="Y14" s="4368"/>
      <c r="Z14" s="4368"/>
      <c r="AA14" s="4368"/>
      <c r="AB14" s="4368"/>
      <c r="AC14" s="4368"/>
      <c r="AD14" s="4368"/>
      <c r="AE14" s="4368"/>
      <c r="AF14" s="4368"/>
      <c r="AG14" s="4368"/>
      <c r="AH14" s="4368"/>
      <c r="AI14" s="4368"/>
      <c r="AJ14" s="4368"/>
      <c r="AK14" s="4368"/>
      <c r="AL14" s="4368"/>
      <c r="AM14" s="4368"/>
      <c r="AN14" s="4368"/>
      <c r="AO14" s="4368"/>
      <c r="AP14" s="4368"/>
      <c r="AQ14" s="4368"/>
      <c r="AR14" s="4368"/>
      <c r="AS14" s="4368"/>
      <c r="AT14" s="4368"/>
      <c r="AU14" s="4368"/>
      <c r="AV14" s="4368"/>
      <c r="AW14" s="4368"/>
      <c r="AX14" s="4368"/>
      <c r="AY14" s="4368"/>
      <c r="AZ14" s="4368"/>
      <c r="BA14" s="4368"/>
      <c r="BB14" s="4368"/>
      <c r="BC14" s="4368"/>
      <c r="BD14" s="4368"/>
      <c r="BE14" s="4368"/>
      <c r="BF14" s="4368"/>
      <c r="BG14" s="4368"/>
      <c r="BH14" s="4368"/>
      <c r="BI14" s="4368"/>
      <c r="BJ14" s="4368"/>
      <c r="BK14" s="4368"/>
      <c r="BL14" s="4368"/>
      <c r="BM14" s="4368"/>
      <c r="BN14" s="4368"/>
      <c r="BO14" s="4368"/>
      <c r="BP14" s="4368"/>
      <c r="BQ14" s="4368"/>
      <c r="BR14" s="4368"/>
      <c r="BS14" s="4368"/>
      <c r="BT14" s="4368"/>
      <c r="BU14" s="4368"/>
      <c r="BV14" s="4368"/>
      <c r="BW14" s="4368"/>
      <c r="BX14" s="4368"/>
      <c r="BY14" s="4368"/>
      <c r="BZ14" s="4368"/>
      <c r="CA14" s="4368"/>
      <c r="CB14" s="4368"/>
      <c r="CC14" s="4368"/>
      <c r="CD14" s="4368"/>
      <c r="CE14" s="4368"/>
      <c r="CF14" s="4368"/>
      <c r="CG14" s="4368"/>
      <c r="CH14" s="4368"/>
      <c r="CI14" s="4368"/>
      <c r="CJ14" s="4368"/>
      <c r="CK14" s="4368"/>
      <c r="CL14" s="4368"/>
      <c r="CM14" s="4368"/>
      <c r="CN14" s="4368"/>
      <c r="CO14" s="4368" t="s">
        <v>1252</v>
      </c>
      <c r="CP14" s="4368"/>
      <c r="CQ14" s="4368"/>
      <c r="CR14" s="4368"/>
      <c r="CS14" s="4368" t="s">
        <v>1252</v>
      </c>
      <c r="CT14" s="4368"/>
      <c r="CU14" s="4368"/>
      <c r="CV14" s="4368"/>
      <c r="CW14" s="4368" t="s">
        <v>1252</v>
      </c>
      <c r="CX14" s="4368"/>
      <c r="CY14" s="4368"/>
      <c r="CZ14" s="4368"/>
      <c r="DA14" s="4368" t="s">
        <v>1252</v>
      </c>
      <c r="DB14" s="4368"/>
      <c r="DC14" s="4368"/>
      <c r="DD14" s="4368"/>
      <c r="DE14" s="4368" t="s">
        <v>1252</v>
      </c>
      <c r="DF14" s="4368"/>
      <c r="DG14" s="4368"/>
      <c r="DH14" s="4368"/>
      <c r="DI14" s="4368" t="s">
        <v>1252</v>
      </c>
      <c r="DJ14" s="4368"/>
      <c r="DK14" s="4368"/>
      <c r="DL14" s="4368"/>
      <c r="DM14" s="4368" t="s">
        <v>1252</v>
      </c>
      <c r="DN14" s="4368"/>
      <c r="DO14" s="4368"/>
      <c r="DP14" s="4368"/>
      <c r="DQ14" s="4368" t="s">
        <v>1252</v>
      </c>
      <c r="DR14" s="4368"/>
      <c r="DS14" s="4368"/>
      <c r="DT14" s="4368"/>
      <c r="DU14" s="4368" t="s">
        <v>1252</v>
      </c>
      <c r="DV14" s="4368"/>
      <c r="DW14" s="4368"/>
      <c r="DX14" s="4368"/>
      <c r="DY14" s="4368" t="s">
        <v>1252</v>
      </c>
      <c r="DZ14" s="4368"/>
      <c r="EA14" s="4368"/>
      <c r="EB14" s="4368"/>
      <c r="EC14" s="4368" t="s">
        <v>1252</v>
      </c>
      <c r="ED14" s="4368"/>
      <c r="EE14" s="4368"/>
      <c r="EF14" s="4368"/>
      <c r="EG14" s="4368" t="s">
        <v>1252</v>
      </c>
      <c r="EH14" s="4368"/>
      <c r="EI14" s="4368"/>
      <c r="EJ14" s="4368"/>
      <c r="EK14" s="4368" t="s">
        <v>1252</v>
      </c>
      <c r="EL14" s="4368"/>
      <c r="EM14" s="4368"/>
      <c r="EN14" s="4368"/>
      <c r="EO14" s="4368" t="s">
        <v>1252</v>
      </c>
      <c r="EP14" s="4368"/>
      <c r="EQ14" s="4368"/>
      <c r="ER14" s="4368"/>
      <c r="ES14" s="4368" t="s">
        <v>1252</v>
      </c>
      <c r="ET14" s="4368"/>
      <c r="EU14" s="4368"/>
      <c r="EV14" s="4368"/>
      <c r="EW14" s="4368" t="s">
        <v>1252</v>
      </c>
      <c r="EX14" s="4368"/>
      <c r="EY14" s="4368"/>
      <c r="EZ14" s="4368"/>
      <c r="FA14" s="4368" t="s">
        <v>1252</v>
      </c>
      <c r="FB14" s="4368"/>
      <c r="FC14" s="4368"/>
      <c r="FD14" s="4368"/>
      <c r="FE14" s="4368" t="s">
        <v>1252</v>
      </c>
      <c r="FF14" s="4368"/>
      <c r="FG14" s="4368"/>
      <c r="FH14" s="4368"/>
      <c r="FI14" s="4368" t="s">
        <v>1252</v>
      </c>
      <c r="FJ14" s="4368"/>
      <c r="FK14" s="4368"/>
      <c r="FL14" s="4368"/>
      <c r="FM14" s="4368" t="s">
        <v>1252</v>
      </c>
      <c r="FN14" s="4368"/>
      <c r="FO14" s="4368"/>
      <c r="FP14" s="4368"/>
      <c r="FQ14" s="4368" t="s">
        <v>1252</v>
      </c>
      <c r="FR14" s="4368"/>
      <c r="FS14" s="4368"/>
      <c r="FT14" s="4368"/>
      <c r="FU14" s="4368" t="s">
        <v>1252</v>
      </c>
      <c r="FV14" s="4368"/>
      <c r="FW14" s="4368"/>
      <c r="FX14" s="4368"/>
      <c r="FY14" s="4368" t="s">
        <v>1252</v>
      </c>
      <c r="FZ14" s="4368"/>
      <c r="GA14" s="4368"/>
      <c r="GB14" s="4368"/>
      <c r="GC14" s="4368" t="s">
        <v>1252</v>
      </c>
      <c r="GD14" s="4368"/>
      <c r="GE14" s="4368"/>
      <c r="GF14" s="4368"/>
      <c r="GG14" s="4368" t="s">
        <v>1252</v>
      </c>
      <c r="GH14" s="4368"/>
      <c r="GI14" s="4368"/>
      <c r="GJ14" s="4368"/>
      <c r="GK14" s="4368" t="s">
        <v>1252</v>
      </c>
      <c r="GL14" s="4368"/>
      <c r="GM14" s="4368"/>
      <c r="GN14" s="4368"/>
      <c r="GO14" s="4368" t="s">
        <v>1252</v>
      </c>
      <c r="GP14" s="4368"/>
      <c r="GQ14" s="4368"/>
      <c r="GR14" s="4368"/>
      <c r="GS14" s="4368" t="s">
        <v>1252</v>
      </c>
      <c r="GT14" s="4368"/>
      <c r="GU14" s="4368"/>
      <c r="GV14" s="4368"/>
      <c r="GW14" s="4368" t="s">
        <v>1252</v>
      </c>
      <c r="GX14" s="4368"/>
      <c r="GY14" s="4368"/>
      <c r="GZ14" s="4368"/>
      <c r="HA14" s="4368" t="s">
        <v>1252</v>
      </c>
      <c r="HB14" s="4368"/>
      <c r="HC14" s="4368"/>
      <c r="HD14" s="4368"/>
      <c r="HE14" s="4368" t="s">
        <v>1252</v>
      </c>
      <c r="HF14" s="4368"/>
      <c r="HG14" s="4368"/>
      <c r="HH14" s="4368"/>
      <c r="HI14" s="4368" t="s">
        <v>1252</v>
      </c>
      <c r="HJ14" s="4368"/>
      <c r="HK14" s="4368"/>
      <c r="HL14" s="4368"/>
      <c r="HM14" s="4368" t="s">
        <v>1252</v>
      </c>
      <c r="HN14" s="4368"/>
      <c r="HO14" s="4368"/>
      <c r="HP14" s="4368"/>
      <c r="HQ14" s="4368" t="s">
        <v>1252</v>
      </c>
      <c r="HR14" s="4368"/>
      <c r="HS14" s="4368"/>
      <c r="HT14" s="4368"/>
      <c r="HU14" s="4368" t="s">
        <v>1252</v>
      </c>
      <c r="HV14" s="4368"/>
      <c r="HW14" s="4368"/>
      <c r="HX14" s="4368"/>
      <c r="HY14" s="4368" t="s">
        <v>1252</v>
      </c>
      <c r="HZ14" s="4368"/>
      <c r="IA14" s="4368"/>
      <c r="IB14" s="4368"/>
      <c r="IC14" s="4368" t="s">
        <v>1252</v>
      </c>
      <c r="ID14" s="4368"/>
      <c r="IE14" s="4368"/>
      <c r="IF14" s="4368"/>
      <c r="IG14" s="4368" t="s">
        <v>1252</v>
      </c>
      <c r="IH14" s="4368"/>
      <c r="II14" s="4368"/>
      <c r="IJ14" s="4368"/>
      <c r="IK14" s="4368" t="s">
        <v>1252</v>
      </c>
      <c r="IL14" s="4368"/>
      <c r="IM14" s="4368"/>
      <c r="IN14" s="4368"/>
      <c r="IO14" s="4368" t="s">
        <v>1252</v>
      </c>
      <c r="IP14" s="4368"/>
      <c r="IQ14" s="4368"/>
      <c r="IR14" s="4368"/>
      <c r="IS14" s="4368" t="s">
        <v>1252</v>
      </c>
      <c r="IT14" s="4368"/>
      <c r="IU14" s="4368"/>
      <c r="IV14" s="4368"/>
    </row>
    <row r="15" spans="1:256" ht="15" customHeight="1" x14ac:dyDescent="0.25">
      <c r="A15" s="4371"/>
      <c r="B15" s="4372"/>
      <c r="C15" s="4375"/>
      <c r="D15" s="2660"/>
      <c r="E15" s="4368"/>
      <c r="F15" s="4368"/>
      <c r="G15" s="4368"/>
      <c r="H15" s="4368"/>
      <c r="I15" s="4368"/>
      <c r="J15" s="4368"/>
      <c r="K15" s="4368"/>
      <c r="L15" s="4368"/>
      <c r="M15" s="4368"/>
      <c r="N15" s="4368"/>
      <c r="O15" s="4368"/>
      <c r="P15" s="4368"/>
      <c r="Q15" s="4368"/>
      <c r="R15" s="4368"/>
      <c r="S15" s="4368"/>
      <c r="T15" s="4368"/>
      <c r="U15" s="4368"/>
      <c r="V15" s="4368"/>
      <c r="W15" s="4368"/>
      <c r="X15" s="4368"/>
      <c r="Y15" s="4368"/>
      <c r="Z15" s="4368"/>
      <c r="AA15" s="4368"/>
      <c r="AB15" s="4368"/>
      <c r="AC15" s="4368"/>
      <c r="AD15" s="4368"/>
      <c r="AE15" s="4368"/>
      <c r="AF15" s="4368"/>
      <c r="AG15" s="4368"/>
      <c r="AH15" s="4368"/>
      <c r="AI15" s="4368"/>
      <c r="AJ15" s="4368"/>
      <c r="AK15" s="4368"/>
      <c r="AL15" s="4368"/>
      <c r="AM15" s="4368"/>
      <c r="AN15" s="4368"/>
      <c r="AO15" s="4368"/>
      <c r="AP15" s="4368"/>
      <c r="AQ15" s="4368"/>
      <c r="AR15" s="4368"/>
      <c r="AS15" s="4368"/>
      <c r="AT15" s="4368"/>
      <c r="AU15" s="4368"/>
      <c r="AV15" s="4368"/>
      <c r="AW15" s="4368"/>
      <c r="AX15" s="4368"/>
      <c r="AY15" s="4368"/>
      <c r="AZ15" s="4368"/>
      <c r="BA15" s="4368"/>
      <c r="BB15" s="4368"/>
      <c r="BC15" s="4368"/>
      <c r="BD15" s="4368"/>
      <c r="BE15" s="4368"/>
      <c r="BF15" s="4368"/>
      <c r="BG15" s="4368"/>
      <c r="BH15" s="4368"/>
      <c r="BI15" s="4368"/>
      <c r="BJ15" s="4368"/>
      <c r="BK15" s="4368"/>
      <c r="BL15" s="4368"/>
      <c r="BM15" s="4368"/>
      <c r="BN15" s="4368"/>
      <c r="BO15" s="4368"/>
      <c r="BP15" s="4368"/>
      <c r="BQ15" s="4368"/>
      <c r="BR15" s="4368"/>
      <c r="BS15" s="4368"/>
      <c r="BT15" s="4368"/>
      <c r="BU15" s="4368"/>
      <c r="BV15" s="4368"/>
      <c r="BW15" s="4368"/>
      <c r="BX15" s="4368"/>
      <c r="BY15" s="4368"/>
      <c r="BZ15" s="4368"/>
      <c r="CA15" s="4368"/>
      <c r="CB15" s="4368"/>
      <c r="CC15" s="4368"/>
      <c r="CD15" s="4368"/>
      <c r="CE15" s="4368"/>
      <c r="CF15" s="4368"/>
      <c r="CG15" s="4368"/>
      <c r="CH15" s="4368"/>
      <c r="CI15" s="4368"/>
      <c r="CJ15" s="4368"/>
      <c r="CK15" s="4368"/>
      <c r="CL15" s="4368"/>
      <c r="CM15" s="4368"/>
      <c r="CN15" s="4368"/>
      <c r="CO15" s="4368"/>
      <c r="CP15" s="4368"/>
      <c r="CQ15" s="4368"/>
      <c r="CR15" s="4368"/>
      <c r="CS15" s="4368"/>
      <c r="CT15" s="4368"/>
      <c r="CU15" s="4368"/>
      <c r="CV15" s="4368"/>
      <c r="CW15" s="4368"/>
      <c r="CX15" s="4368"/>
      <c r="CY15" s="4368"/>
      <c r="CZ15" s="4368"/>
      <c r="DA15" s="4368"/>
      <c r="DB15" s="4368"/>
      <c r="DC15" s="4368"/>
      <c r="DD15" s="4368"/>
      <c r="DE15" s="4368"/>
      <c r="DF15" s="4368"/>
      <c r="DG15" s="4368"/>
      <c r="DH15" s="4368"/>
      <c r="DI15" s="4368"/>
      <c r="DJ15" s="4368"/>
      <c r="DK15" s="4368"/>
      <c r="DL15" s="4368"/>
      <c r="DM15" s="4368"/>
      <c r="DN15" s="4368"/>
      <c r="DO15" s="4368"/>
      <c r="DP15" s="4368"/>
      <c r="DQ15" s="4368"/>
      <c r="DR15" s="4368"/>
      <c r="DS15" s="4368"/>
      <c r="DT15" s="4368"/>
      <c r="DU15" s="4368"/>
      <c r="DV15" s="4368"/>
      <c r="DW15" s="4368"/>
      <c r="DX15" s="4368"/>
      <c r="DY15" s="4368"/>
      <c r="DZ15" s="4368"/>
      <c r="EA15" s="4368"/>
      <c r="EB15" s="4368"/>
      <c r="EC15" s="4368"/>
      <c r="ED15" s="4368"/>
      <c r="EE15" s="4368"/>
      <c r="EF15" s="4368"/>
      <c r="EG15" s="4368"/>
      <c r="EH15" s="4368"/>
      <c r="EI15" s="4368"/>
      <c r="EJ15" s="4368"/>
      <c r="EK15" s="4368"/>
      <c r="EL15" s="4368"/>
      <c r="EM15" s="4368"/>
      <c r="EN15" s="4368"/>
      <c r="EO15" s="4368"/>
      <c r="EP15" s="4368"/>
      <c r="EQ15" s="4368"/>
      <c r="ER15" s="4368"/>
      <c r="ES15" s="4368"/>
      <c r="ET15" s="4368"/>
      <c r="EU15" s="4368"/>
      <c r="EV15" s="4368"/>
      <c r="EW15" s="4368"/>
      <c r="EX15" s="4368"/>
      <c r="EY15" s="4368"/>
      <c r="EZ15" s="4368"/>
      <c r="FA15" s="4368"/>
      <c r="FB15" s="4368"/>
      <c r="FC15" s="4368"/>
      <c r="FD15" s="4368"/>
      <c r="FE15" s="4368"/>
      <c r="FF15" s="4368"/>
      <c r="FG15" s="4368"/>
      <c r="FH15" s="4368"/>
      <c r="FI15" s="4368"/>
      <c r="FJ15" s="4368"/>
      <c r="FK15" s="4368"/>
      <c r="FL15" s="4368"/>
      <c r="FM15" s="4368"/>
      <c r="FN15" s="4368"/>
      <c r="FO15" s="4368"/>
      <c r="FP15" s="4368"/>
      <c r="FQ15" s="4368"/>
      <c r="FR15" s="4368"/>
      <c r="FS15" s="4368"/>
      <c r="FT15" s="4368"/>
      <c r="FU15" s="4368"/>
      <c r="FV15" s="4368"/>
      <c r="FW15" s="4368"/>
      <c r="FX15" s="4368"/>
      <c r="FY15" s="4368"/>
      <c r="FZ15" s="4368"/>
      <c r="GA15" s="4368"/>
      <c r="GB15" s="4368"/>
      <c r="GC15" s="4368"/>
      <c r="GD15" s="4368"/>
      <c r="GE15" s="4368"/>
      <c r="GF15" s="4368"/>
      <c r="GG15" s="4368"/>
      <c r="GH15" s="4368"/>
      <c r="GI15" s="4368"/>
      <c r="GJ15" s="4368"/>
      <c r="GK15" s="4368"/>
      <c r="GL15" s="4368"/>
      <c r="GM15" s="4368"/>
      <c r="GN15" s="4368"/>
      <c r="GO15" s="4368"/>
      <c r="GP15" s="4368"/>
      <c r="GQ15" s="4368"/>
      <c r="GR15" s="4368"/>
      <c r="GS15" s="4368"/>
      <c r="GT15" s="4368"/>
      <c r="GU15" s="4368"/>
      <c r="GV15" s="4368"/>
      <c r="GW15" s="4368"/>
      <c r="GX15" s="4368"/>
      <c r="GY15" s="4368"/>
      <c r="GZ15" s="4368"/>
      <c r="HA15" s="4368"/>
      <c r="HB15" s="4368"/>
      <c r="HC15" s="4368"/>
      <c r="HD15" s="4368"/>
      <c r="HE15" s="4368"/>
      <c r="HF15" s="4368"/>
      <c r="HG15" s="4368"/>
      <c r="HH15" s="4368"/>
      <c r="HI15" s="4368"/>
      <c r="HJ15" s="4368"/>
      <c r="HK15" s="4368"/>
      <c r="HL15" s="4368"/>
      <c r="HM15" s="4368"/>
      <c r="HN15" s="4368"/>
      <c r="HO15" s="4368"/>
      <c r="HP15" s="4368"/>
      <c r="HQ15" s="4368"/>
      <c r="HR15" s="4368"/>
      <c r="HS15" s="4368"/>
      <c r="HT15" s="4368"/>
      <c r="HU15" s="4368"/>
      <c r="HV15" s="4368"/>
      <c r="HW15" s="4368"/>
      <c r="HX15" s="4368"/>
      <c r="HY15" s="4368"/>
      <c r="HZ15" s="4368"/>
      <c r="IA15" s="4368"/>
      <c r="IB15" s="4368"/>
      <c r="IC15" s="4368"/>
      <c r="ID15" s="4368"/>
      <c r="IE15" s="4368"/>
      <c r="IF15" s="4368"/>
      <c r="IG15" s="4368"/>
      <c r="IH15" s="4368"/>
      <c r="II15" s="4368"/>
      <c r="IJ15" s="4368"/>
      <c r="IK15" s="4368"/>
      <c r="IL15" s="4368"/>
      <c r="IM15" s="4368"/>
      <c r="IN15" s="4368"/>
      <c r="IO15" s="4368"/>
      <c r="IP15" s="4368"/>
      <c r="IQ15" s="4368"/>
      <c r="IR15" s="4368"/>
      <c r="IS15" s="4368"/>
      <c r="IT15" s="4368"/>
      <c r="IU15" s="4368"/>
      <c r="IV15" s="4368"/>
    </row>
    <row r="16" spans="1:256" ht="15.75" customHeight="1" x14ac:dyDescent="0.3">
      <c r="A16" s="2643"/>
      <c r="B16" s="2661" t="s">
        <v>308</v>
      </c>
      <c r="C16" s="2662" t="s">
        <v>271</v>
      </c>
      <c r="D16" s="2661"/>
      <c r="F16" s="2663" t="s">
        <v>1253</v>
      </c>
      <c r="G16" s="2211"/>
      <c r="H16" s="2205"/>
      <c r="O16" s="2664" t="s">
        <v>1254</v>
      </c>
    </row>
    <row r="17" spans="1:16" ht="16.5" x14ac:dyDescent="0.3">
      <c r="A17" s="2649" t="s">
        <v>1255</v>
      </c>
      <c r="B17" s="2651">
        <v>1471930.0678101149</v>
      </c>
      <c r="C17" s="2665">
        <f>N51</f>
        <v>1434963.6806076395</v>
      </c>
      <c r="D17" s="2666"/>
      <c r="F17" s="2205"/>
      <c r="G17" s="2210"/>
      <c r="H17" s="2205"/>
      <c r="O17" s="2664" t="s">
        <v>1256</v>
      </c>
    </row>
    <row r="18" spans="1:16" ht="16.5" x14ac:dyDescent="0.3">
      <c r="A18" s="2649" t="s">
        <v>1257</v>
      </c>
      <c r="B18" s="2667">
        <v>163086</v>
      </c>
      <c r="C18" s="2668">
        <v>208653</v>
      </c>
      <c r="D18" s="2669"/>
      <c r="G18" s="2670" t="s">
        <v>128</v>
      </c>
      <c r="H18" s="2671" t="s">
        <v>123</v>
      </c>
      <c r="I18" s="2670" t="s">
        <v>127</v>
      </c>
      <c r="J18" s="2664" t="s">
        <v>125</v>
      </c>
      <c r="K18" s="2672" t="s">
        <v>190</v>
      </c>
      <c r="L18" s="2672" t="s">
        <v>124</v>
      </c>
      <c r="M18" s="2664" t="s">
        <v>129</v>
      </c>
      <c r="O18" s="2664" t="s">
        <v>1258</v>
      </c>
    </row>
    <row r="19" spans="1:16" ht="17.25" x14ac:dyDescent="0.35">
      <c r="A19" s="2673" t="s">
        <v>1259</v>
      </c>
      <c r="B19" s="2674">
        <v>299133.91121530929</v>
      </c>
      <c r="C19" s="2675">
        <v>582792</v>
      </c>
      <c r="D19" s="2676"/>
      <c r="G19" s="2670"/>
      <c r="H19" s="2671"/>
      <c r="I19" s="2670"/>
      <c r="J19" s="2664"/>
      <c r="K19" s="2672"/>
      <c r="L19" s="2672"/>
      <c r="M19" s="2664"/>
      <c r="O19" s="2664"/>
    </row>
    <row r="20" spans="1:16" ht="18" x14ac:dyDescent="0.3">
      <c r="A20" s="2643" t="s">
        <v>1260</v>
      </c>
      <c r="B20" s="2661"/>
      <c r="C20" s="2662"/>
      <c r="D20" s="2661"/>
      <c r="F20" s="2677" t="s">
        <v>1236</v>
      </c>
      <c r="H20" s="2205"/>
      <c r="I20" s="2205"/>
      <c r="J20" s="2211"/>
      <c r="K20" s="2211"/>
      <c r="L20" s="2678"/>
      <c r="O20" s="2664" t="s">
        <v>1261</v>
      </c>
      <c r="P20" s="2664" t="s">
        <v>1262</v>
      </c>
    </row>
    <row r="21" spans="1:16" ht="16.5" x14ac:dyDescent="0.3">
      <c r="A21" s="2649" t="s">
        <v>1263</v>
      </c>
      <c r="B21" s="2679">
        <v>247</v>
      </c>
      <c r="C21" s="2680">
        <f>O21</f>
        <v>258</v>
      </c>
      <c r="D21" s="2681"/>
      <c r="F21" s="2682" t="s">
        <v>98</v>
      </c>
      <c r="G21" s="2211">
        <v>15</v>
      </c>
      <c r="H21" s="2211">
        <v>115</v>
      </c>
      <c r="I21" s="2205">
        <v>17</v>
      </c>
      <c r="J21" s="2640">
        <v>2</v>
      </c>
      <c r="K21" s="2678">
        <v>4</v>
      </c>
      <c r="L21" s="2678">
        <v>13</v>
      </c>
      <c r="M21" s="2640">
        <v>98</v>
      </c>
      <c r="O21" s="2640">
        <f>SUM(G21:I21)+ SUM(L21:M21)</f>
        <v>258</v>
      </c>
      <c r="P21" s="2640">
        <f>SUM(G21:M21)</f>
        <v>264</v>
      </c>
    </row>
    <row r="22" spans="1:16" ht="16.5" x14ac:dyDescent="0.3">
      <c r="A22" s="2649" t="s">
        <v>1264</v>
      </c>
      <c r="B22" s="2683">
        <v>8640859</v>
      </c>
      <c r="C22" s="2684">
        <f>O22</f>
        <v>9763361</v>
      </c>
      <c r="D22" s="2685"/>
      <c r="F22" s="2682" t="s">
        <v>100</v>
      </c>
      <c r="G22" s="75">
        <v>584690</v>
      </c>
      <c r="H22" s="75">
        <v>3964433</v>
      </c>
      <c r="I22" s="315">
        <v>841222</v>
      </c>
      <c r="J22" s="2686">
        <v>94000</v>
      </c>
      <c r="K22" s="2687">
        <v>362881</v>
      </c>
      <c r="L22" s="2687">
        <v>852861</v>
      </c>
      <c r="M22" s="2686">
        <v>3520155</v>
      </c>
      <c r="O22" s="2686">
        <f>SUM(G22:I22)+ SUM(L22:M22)</f>
        <v>9763361</v>
      </c>
      <c r="P22" s="2686">
        <f>SUM(G22:M22)</f>
        <v>10220242</v>
      </c>
    </row>
    <row r="23" spans="1:16" ht="16.5" x14ac:dyDescent="0.3">
      <c r="A23" s="2649" t="s">
        <v>1265</v>
      </c>
      <c r="B23" s="2651">
        <v>37173</v>
      </c>
      <c r="C23" s="2684">
        <f>O23</f>
        <v>44892.190422844724</v>
      </c>
      <c r="D23" s="2685"/>
      <c r="F23" s="2682" t="s">
        <v>1266</v>
      </c>
      <c r="G23" s="75">
        <f t="shared" ref="G23:M23" si="1">G22/G21</f>
        <v>38979.333333333336</v>
      </c>
      <c r="H23" s="75">
        <f t="shared" si="1"/>
        <v>34473.330434782605</v>
      </c>
      <c r="I23" s="75">
        <f t="shared" si="1"/>
        <v>49483.647058823532</v>
      </c>
      <c r="J23" s="2687">
        <f t="shared" si="1"/>
        <v>47000</v>
      </c>
      <c r="K23" s="2687">
        <f t="shared" si="1"/>
        <v>90720.25</v>
      </c>
      <c r="L23" s="2687">
        <f>L22/L21</f>
        <v>65604.692307692312</v>
      </c>
      <c r="M23" s="2687">
        <f t="shared" si="1"/>
        <v>35919.948979591834</v>
      </c>
      <c r="O23" s="2686">
        <f>SUM(G23,H23,I23,L23,M23)/5</f>
        <v>44892.190422844724</v>
      </c>
      <c r="P23" s="2686">
        <f>SUM(G23,H23,I23,J23,K23:L23,M23)/7</f>
        <v>51740.171730603375</v>
      </c>
    </row>
    <row r="24" spans="1:16" ht="16.5" x14ac:dyDescent="0.3">
      <c r="A24" s="2649" t="s">
        <v>1267</v>
      </c>
      <c r="B24" s="2651">
        <v>44979</v>
      </c>
      <c r="C24" s="2684">
        <f>O24</f>
        <v>54019.065141893283</v>
      </c>
      <c r="D24" s="2685"/>
      <c r="F24" s="2682" t="s">
        <v>1268</v>
      </c>
      <c r="G24" s="75">
        <f>G23*1.1</f>
        <v>42877.26666666667</v>
      </c>
      <c r="H24" s="75">
        <f>H23*1.22</f>
        <v>42057.463130434779</v>
      </c>
      <c r="I24" s="75">
        <f>I23*1.14</f>
        <v>56411.357647058823</v>
      </c>
      <c r="J24" s="2687">
        <f>J23*1.36</f>
        <v>63920.000000000007</v>
      </c>
      <c r="K24" s="2688">
        <f>K23*1.59</f>
        <v>144245.19750000001</v>
      </c>
      <c r="L24" s="2687">
        <f>L23*1.3</f>
        <v>85286.1</v>
      </c>
      <c r="M24" s="2687">
        <f>M23*1.21</f>
        <v>43463.138265306115</v>
      </c>
      <c r="O24" s="2686">
        <f>SUM(G24,H24,I24,L24,M24)/5</f>
        <v>54019.065141893283</v>
      </c>
      <c r="P24" s="2686">
        <f>SUM(G24,H24,I24,J24,K24,L24,M24)/7</f>
        <v>68322.931887066617</v>
      </c>
    </row>
    <row r="25" spans="1:16" ht="17.25" thickBot="1" x14ac:dyDescent="0.35">
      <c r="A25" s="2654" t="s">
        <v>1269</v>
      </c>
      <c r="B25" s="2656">
        <f>$O$30</f>
        <v>17445702</v>
      </c>
      <c r="C25" s="2689">
        <f>O25</f>
        <v>17715810</v>
      </c>
      <c r="D25" s="2685"/>
      <c r="F25" s="2682" t="s">
        <v>72</v>
      </c>
      <c r="G25" s="75">
        <v>584551</v>
      </c>
      <c r="H25" s="75">
        <v>274580</v>
      </c>
      <c r="I25" s="75">
        <v>1195466</v>
      </c>
      <c r="J25" s="2687">
        <v>247626</v>
      </c>
      <c r="K25" s="2687">
        <v>4583000</v>
      </c>
      <c r="L25" s="2687">
        <v>291325</v>
      </c>
      <c r="M25" s="2687">
        <f>13677077+1692811</f>
        <v>15369888</v>
      </c>
      <c r="O25" s="2686">
        <f>SUM(G25:I25)+ SUM(L25:M25)</f>
        <v>17715810</v>
      </c>
      <c r="P25" s="2686">
        <f>SUM(G25:M25)</f>
        <v>22546436</v>
      </c>
    </row>
    <row r="26" spans="1:16" ht="16.5" x14ac:dyDescent="0.3">
      <c r="A26" s="2690"/>
      <c r="B26" s="2690"/>
      <c r="C26" s="2691"/>
      <c r="D26" s="2692"/>
      <c r="G26" s="2205"/>
      <c r="H26" s="2205"/>
      <c r="I26" s="2205"/>
      <c r="J26" s="2205"/>
      <c r="O26" s="2698">
        <f>SUM(G25,I25,J25,L25,M25)</f>
        <v>17688856</v>
      </c>
    </row>
    <row r="27" spans="1:16" x14ac:dyDescent="0.25">
      <c r="D27" s="2640"/>
      <c r="F27" s="2693"/>
    </row>
    <row r="28" spans="1:16" x14ac:dyDescent="0.25">
      <c r="D28" s="2640"/>
      <c r="F28" s="2694" t="s">
        <v>1270</v>
      </c>
      <c r="G28" s="2640">
        <v>10</v>
      </c>
      <c r="H28" s="2640">
        <v>108</v>
      </c>
      <c r="I28" s="2640">
        <v>18</v>
      </c>
      <c r="J28" s="2220">
        <v>3</v>
      </c>
      <c r="K28" s="2695">
        <v>20</v>
      </c>
      <c r="L28" s="2640">
        <v>10</v>
      </c>
      <c r="M28" s="2640">
        <v>101</v>
      </c>
      <c r="O28" s="2696">
        <f>SUM(G28:I28)+ SUM(L28:M28)</f>
        <v>247</v>
      </c>
      <c r="P28" s="2640">
        <f>SUM(G28:M28)</f>
        <v>270</v>
      </c>
    </row>
    <row r="29" spans="1:16" x14ac:dyDescent="0.25">
      <c r="D29" s="2640"/>
      <c r="F29" s="2694" t="s">
        <v>1271</v>
      </c>
      <c r="G29" s="2686">
        <v>329280</v>
      </c>
      <c r="H29" s="2686">
        <v>3862631</v>
      </c>
      <c r="I29" s="2686">
        <v>623440</v>
      </c>
      <c r="J29" s="2686">
        <v>137800</v>
      </c>
      <c r="K29" s="2686">
        <v>760000</v>
      </c>
      <c r="L29" s="2686">
        <v>450000</v>
      </c>
      <c r="M29" s="2686">
        <v>3375508</v>
      </c>
      <c r="O29" s="2686">
        <f>SUM(G29:I29)+ SUM(L29:M29)</f>
        <v>8640859</v>
      </c>
      <c r="P29" s="2686">
        <f>SUM(G29:M29)</f>
        <v>9538659</v>
      </c>
    </row>
    <row r="30" spans="1:16" x14ac:dyDescent="0.25">
      <c r="D30" s="2640"/>
      <c r="F30" s="2694" t="s">
        <v>1272</v>
      </c>
      <c r="G30" s="2686">
        <v>540000</v>
      </c>
      <c r="H30" s="2686">
        <v>250000</v>
      </c>
      <c r="I30" s="2686">
        <v>978625</v>
      </c>
      <c r="J30" s="2686">
        <v>100000</v>
      </c>
      <c r="K30" s="2686">
        <v>5680000</v>
      </c>
      <c r="L30" s="2686">
        <v>2000000</v>
      </c>
      <c r="M30" s="2686">
        <v>13677077</v>
      </c>
      <c r="O30" s="2686">
        <f>SUM(G30:I30)+ SUM(L30:M30)</f>
        <v>17445702</v>
      </c>
      <c r="P30" s="2686">
        <f>SUM(G30:M30)</f>
        <v>23225702</v>
      </c>
    </row>
    <row r="31" spans="1:16" x14ac:dyDescent="0.25">
      <c r="D31" s="2640"/>
    </row>
    <row r="32" spans="1:16" x14ac:dyDescent="0.25">
      <c r="F32" s="2694" t="s">
        <v>1273</v>
      </c>
      <c r="G32" s="2640">
        <f t="shared" ref="G32:M33" si="2">G21-G28</f>
        <v>5</v>
      </c>
      <c r="H32" s="2640">
        <f t="shared" si="2"/>
        <v>7</v>
      </c>
      <c r="I32" s="2640">
        <f t="shared" si="2"/>
        <v>-1</v>
      </c>
      <c r="J32" s="2640">
        <f t="shared" si="2"/>
        <v>-1</v>
      </c>
      <c r="K32" s="2640">
        <f t="shared" si="2"/>
        <v>-16</v>
      </c>
      <c r="L32" s="2640">
        <f t="shared" si="2"/>
        <v>3</v>
      </c>
      <c r="M32" s="2640">
        <f t="shared" si="2"/>
        <v>-3</v>
      </c>
      <c r="P32" s="2640">
        <f>SUM(G32:M32)</f>
        <v>-6</v>
      </c>
    </row>
    <row r="33" spans="1:16" x14ac:dyDescent="0.25">
      <c r="F33" s="2694" t="s">
        <v>1274</v>
      </c>
      <c r="G33" s="2698">
        <f t="shared" si="2"/>
        <v>255410</v>
      </c>
      <c r="H33" s="2698">
        <f t="shared" si="2"/>
        <v>101802</v>
      </c>
      <c r="I33" s="2698">
        <f t="shared" si="2"/>
        <v>217782</v>
      </c>
      <c r="J33" s="2698">
        <f t="shared" si="2"/>
        <v>-43800</v>
      </c>
      <c r="K33" s="2698">
        <f t="shared" si="2"/>
        <v>-397119</v>
      </c>
      <c r="L33" s="2698">
        <f t="shared" si="2"/>
        <v>402861</v>
      </c>
      <c r="M33" s="2698">
        <f t="shared" si="2"/>
        <v>144647</v>
      </c>
      <c r="P33" s="2686">
        <f>SUM(G33:M33)</f>
        <v>681583</v>
      </c>
    </row>
    <row r="34" spans="1:16" x14ac:dyDescent="0.25">
      <c r="F34" s="2694" t="s">
        <v>1275</v>
      </c>
      <c r="G34" s="2698">
        <f t="shared" ref="G34:M34" si="3">G25-G30</f>
        <v>44551</v>
      </c>
      <c r="H34" s="2698">
        <f t="shared" si="3"/>
        <v>24580</v>
      </c>
      <c r="I34" s="2698">
        <f t="shared" si="3"/>
        <v>216841</v>
      </c>
      <c r="J34" s="2698">
        <f t="shared" si="3"/>
        <v>147626</v>
      </c>
      <c r="K34" s="2698">
        <f t="shared" si="3"/>
        <v>-1097000</v>
      </c>
      <c r="L34" s="2698">
        <f t="shared" si="3"/>
        <v>-1708675</v>
      </c>
      <c r="M34" s="2698">
        <f t="shared" si="3"/>
        <v>1692811</v>
      </c>
      <c r="P34" s="2686">
        <f>SUM(G34:M34)</f>
        <v>-679266</v>
      </c>
    </row>
    <row r="36" spans="1:16" x14ac:dyDescent="0.25">
      <c r="F36" s="2694" t="s">
        <v>1276</v>
      </c>
      <c r="G36" s="2664" t="s">
        <v>1277</v>
      </c>
      <c r="H36" s="2664" t="s">
        <v>1277</v>
      </c>
      <c r="I36" s="2664" t="s">
        <v>1277</v>
      </c>
      <c r="J36" s="2664" t="s">
        <v>1278</v>
      </c>
      <c r="K36" s="2664" t="s">
        <v>1278</v>
      </c>
      <c r="L36" s="2664" t="s">
        <v>1277</v>
      </c>
      <c r="M36" s="2664" t="s">
        <v>1277</v>
      </c>
    </row>
    <row r="37" spans="1:16" x14ac:dyDescent="0.25">
      <c r="F37" s="2694" t="s">
        <v>1279</v>
      </c>
      <c r="G37" s="2664" t="s">
        <v>1277</v>
      </c>
      <c r="H37" s="2664" t="s">
        <v>1277</v>
      </c>
      <c r="I37" s="2664" t="s">
        <v>1278</v>
      </c>
      <c r="J37" s="2664" t="s">
        <v>1278</v>
      </c>
      <c r="K37" s="2664" t="s">
        <v>1278</v>
      </c>
      <c r="L37" s="2664" t="s">
        <v>1277</v>
      </c>
      <c r="M37" s="2664" t="s">
        <v>1278</v>
      </c>
    </row>
    <row r="38" spans="1:16" x14ac:dyDescent="0.25">
      <c r="F38" s="2694" t="s">
        <v>1280</v>
      </c>
      <c r="G38" s="2664" t="s">
        <v>1277</v>
      </c>
      <c r="H38" s="2664" t="s">
        <v>1277</v>
      </c>
      <c r="I38" s="2664" t="s">
        <v>1277</v>
      </c>
      <c r="J38" s="2664" t="s">
        <v>1277</v>
      </c>
      <c r="K38" s="2664" t="s">
        <v>1278</v>
      </c>
      <c r="L38" s="2664" t="s">
        <v>1278</v>
      </c>
      <c r="M38" s="2664" t="s">
        <v>1277</v>
      </c>
    </row>
    <row r="39" spans="1:16" x14ac:dyDescent="0.25">
      <c r="F39" s="2694" t="s">
        <v>1281</v>
      </c>
      <c r="G39" s="2664" t="s">
        <v>1277</v>
      </c>
      <c r="H39" s="2664" t="s">
        <v>1277</v>
      </c>
      <c r="I39" s="2664" t="s">
        <v>1277</v>
      </c>
      <c r="J39" s="2664" t="s">
        <v>1278</v>
      </c>
      <c r="K39" s="2664" t="s">
        <v>1278</v>
      </c>
      <c r="L39" s="2664" t="s">
        <v>1277</v>
      </c>
      <c r="M39" s="2664" t="s">
        <v>1277</v>
      </c>
    </row>
    <row r="40" spans="1:16" x14ac:dyDescent="0.25">
      <c r="F40" s="2694" t="s">
        <v>1282</v>
      </c>
      <c r="G40" s="2664" t="s">
        <v>1277</v>
      </c>
      <c r="H40" s="2664" t="s">
        <v>1277</v>
      </c>
      <c r="I40" s="2664" t="s">
        <v>1277</v>
      </c>
      <c r="J40" s="2664" t="s">
        <v>1278</v>
      </c>
      <c r="K40" s="2664" t="s">
        <v>1278</v>
      </c>
      <c r="L40" s="2664" t="s">
        <v>1277</v>
      </c>
      <c r="M40" s="2664" t="s">
        <v>1277</v>
      </c>
    </row>
    <row r="41" spans="1:16" x14ac:dyDescent="0.25">
      <c r="F41" s="2694"/>
      <c r="G41" s="2664"/>
      <c r="H41" s="2664"/>
      <c r="I41" s="2664"/>
      <c r="J41" s="2664"/>
      <c r="K41" s="2664"/>
      <c r="L41" s="2664"/>
      <c r="M41" s="2664"/>
      <c r="N41" s="2664" t="s">
        <v>357</v>
      </c>
    </row>
    <row r="42" spans="1:16" x14ac:dyDescent="0.25">
      <c r="F42" s="2694" t="s">
        <v>101</v>
      </c>
      <c r="G42" s="2699">
        <v>7903</v>
      </c>
      <c r="H42" s="2699">
        <v>158368</v>
      </c>
      <c r="I42" s="2699">
        <v>24035</v>
      </c>
      <c r="J42" s="2699">
        <v>14796</v>
      </c>
      <c r="K42" s="2699">
        <v>162528</v>
      </c>
      <c r="L42" s="2699">
        <v>1165852</v>
      </c>
      <c r="M42" s="2699">
        <v>1012505</v>
      </c>
    </row>
    <row r="43" spans="1:16" x14ac:dyDescent="0.25">
      <c r="F43" s="2694" t="s">
        <v>1283</v>
      </c>
      <c r="G43" s="2699">
        <f t="shared" ref="G43:M43" si="4">G29-G42</f>
        <v>321377</v>
      </c>
      <c r="H43" s="2699">
        <f t="shared" si="4"/>
        <v>3704263</v>
      </c>
      <c r="I43" s="2699">
        <f t="shared" si="4"/>
        <v>599405</v>
      </c>
      <c r="J43" s="2699">
        <f t="shared" si="4"/>
        <v>123004</v>
      </c>
      <c r="K43" s="2699">
        <f t="shared" si="4"/>
        <v>597472</v>
      </c>
      <c r="L43" s="2699">
        <f t="shared" si="4"/>
        <v>-715852</v>
      </c>
      <c r="M43" s="2699">
        <f t="shared" si="4"/>
        <v>2363003</v>
      </c>
    </row>
    <row r="44" spans="1:16" x14ac:dyDescent="0.25">
      <c r="F44" s="2694" t="s">
        <v>1284</v>
      </c>
      <c r="G44" s="2700">
        <v>0.24127370012795166</v>
      </c>
      <c r="H44" s="2700">
        <v>0.17913382869586583</v>
      </c>
      <c r="I44" s="2700">
        <v>0.28900707158771677</v>
      </c>
      <c r="J44" s="2700">
        <v>0.14187861611207378</v>
      </c>
      <c r="K44" s="2700">
        <v>0.39414184873949581</v>
      </c>
      <c r="L44" s="2700">
        <v>0.2057677268673134</v>
      </c>
      <c r="M44" s="2700">
        <v>0.26176752014367277</v>
      </c>
    </row>
    <row r="45" spans="1:16" x14ac:dyDescent="0.25">
      <c r="F45" s="2694" t="s">
        <v>1285</v>
      </c>
      <c r="G45" s="2699">
        <f>G43*G44</f>
        <v>77539.817926020725</v>
      </c>
      <c r="H45" s="2699">
        <f t="shared" ref="H45:M45" si="5">H43*H44</f>
        <v>663558.81368643406</v>
      </c>
      <c r="I45" s="2699">
        <f t="shared" si="5"/>
        <v>173232.28374503538</v>
      </c>
      <c r="J45" s="2699">
        <f t="shared" si="5"/>
        <v>17451.637296249522</v>
      </c>
      <c r="K45" s="2699">
        <f t="shared" si="5"/>
        <v>235488.71865008405</v>
      </c>
      <c r="L45" s="2699">
        <v>0</v>
      </c>
      <c r="M45" s="2699">
        <f t="shared" si="5"/>
        <v>618557.43540205923</v>
      </c>
      <c r="N45" s="2698">
        <f>SUM(G45,I45,M45)</f>
        <v>869329.53707311535</v>
      </c>
    </row>
    <row r="46" spans="1:16" x14ac:dyDescent="0.25">
      <c r="F46" s="2694" t="s">
        <v>1286</v>
      </c>
      <c r="G46" s="2699">
        <f>G45/5</f>
        <v>15507.963585204145</v>
      </c>
      <c r="H46" s="2699">
        <f t="shared" ref="H46:M46" si="6">H45/5</f>
        <v>132711.7627372868</v>
      </c>
      <c r="I46" s="2699">
        <f t="shared" si="6"/>
        <v>34646.456749007077</v>
      </c>
      <c r="J46" s="2699">
        <f t="shared" si="6"/>
        <v>3490.3274592499047</v>
      </c>
      <c r="K46" s="2699">
        <v>17143</v>
      </c>
      <c r="L46" s="2699">
        <f t="shared" si="6"/>
        <v>0</v>
      </c>
      <c r="M46" s="2699">
        <f t="shared" si="6"/>
        <v>123711.48708041184</v>
      </c>
    </row>
    <row r="47" spans="1:16" x14ac:dyDescent="0.25">
      <c r="A47" s="2694"/>
      <c r="F47" s="2694"/>
      <c r="G47" s="2664"/>
      <c r="H47" s="2664"/>
      <c r="I47" s="2664"/>
      <c r="J47" s="2664"/>
      <c r="K47" s="2664"/>
      <c r="L47" s="2664"/>
      <c r="M47" s="2664"/>
    </row>
    <row r="48" spans="1:16" x14ac:dyDescent="0.25">
      <c r="F48" s="2694" t="s">
        <v>1287</v>
      </c>
      <c r="G48" s="2686">
        <v>9046</v>
      </c>
      <c r="H48" s="2686">
        <v>99534</v>
      </c>
      <c r="I48" s="2686">
        <v>11549</v>
      </c>
      <c r="J48" s="2686">
        <v>291</v>
      </c>
      <c r="K48" s="2686">
        <v>1429</v>
      </c>
      <c r="L48" s="2686">
        <v>0</v>
      </c>
      <c r="M48" s="2686">
        <v>41237</v>
      </c>
      <c r="N48" s="2698">
        <f>SUM(G48:M48)</f>
        <v>163086</v>
      </c>
    </row>
    <row r="49" spans="6:15" x14ac:dyDescent="0.25">
      <c r="F49" s="2694" t="s">
        <v>1288</v>
      </c>
      <c r="G49" s="2686">
        <v>12904</v>
      </c>
      <c r="H49" s="2686">
        <v>132613</v>
      </c>
      <c r="I49" s="2686">
        <v>9418</v>
      </c>
      <c r="J49" s="2686">
        <v>0</v>
      </c>
      <c r="K49" s="2686">
        <v>0</v>
      </c>
      <c r="L49" s="2686">
        <v>0</v>
      </c>
      <c r="M49" s="2686">
        <v>53718</v>
      </c>
      <c r="N49" s="2698">
        <f>SUM(G49:M49)</f>
        <v>208653</v>
      </c>
    </row>
    <row r="51" spans="6:15" x14ac:dyDescent="0.25">
      <c r="F51" s="2694" t="s">
        <v>1289</v>
      </c>
      <c r="G51" s="2686">
        <f>(G46*4)+G49</f>
        <v>74935.854340816586</v>
      </c>
      <c r="H51" s="2686">
        <f t="shared" ref="H51:M51" si="7">(H46*4)+H49</f>
        <v>663460.0509491472</v>
      </c>
      <c r="I51" s="2686">
        <f t="shared" si="7"/>
        <v>148003.82699602831</v>
      </c>
      <c r="J51" s="2686">
        <v>0</v>
      </c>
      <c r="K51" s="2686">
        <v>0</v>
      </c>
      <c r="L51" s="2686">
        <f t="shared" si="7"/>
        <v>0</v>
      </c>
      <c r="M51" s="2686">
        <f t="shared" si="7"/>
        <v>548563.94832164736</v>
      </c>
      <c r="N51" s="2698">
        <f>SUM(G51:M51)</f>
        <v>1434963.6806076395</v>
      </c>
    </row>
    <row r="52" spans="6:15" x14ac:dyDescent="0.25">
      <c r="F52" s="2694" t="s">
        <v>1290</v>
      </c>
    </row>
    <row r="54" spans="6:15" x14ac:dyDescent="0.25">
      <c r="F54" s="2694" t="s">
        <v>1291</v>
      </c>
      <c r="G54" s="2701">
        <v>0.4</v>
      </c>
      <c r="H54" s="2701">
        <v>0.8</v>
      </c>
      <c r="I54" s="2701">
        <v>0.95</v>
      </c>
      <c r="J54" s="2701">
        <v>0.78</v>
      </c>
      <c r="K54" s="2701">
        <v>1</v>
      </c>
      <c r="L54" s="2701">
        <v>1</v>
      </c>
      <c r="M54" s="2701">
        <v>1</v>
      </c>
      <c r="N54" s="2701">
        <f>AVERAGE(G54:M54)</f>
        <v>0.8471428571428572</v>
      </c>
    </row>
    <row r="55" spans="6:15" x14ac:dyDescent="0.25">
      <c r="F55" s="2694" t="s">
        <v>1292</v>
      </c>
      <c r="G55" s="2701">
        <v>0.24</v>
      </c>
      <c r="H55" s="2701">
        <v>0.7</v>
      </c>
      <c r="I55" s="2701">
        <v>1</v>
      </c>
      <c r="J55" s="2701">
        <v>1</v>
      </c>
      <c r="K55" s="2701">
        <v>1</v>
      </c>
      <c r="L55" s="2701">
        <v>0.6</v>
      </c>
      <c r="M55" s="2701">
        <v>1</v>
      </c>
      <c r="N55" s="2701">
        <f>AVERAGE(G55:M55)</f>
        <v>0.79142857142857148</v>
      </c>
    </row>
    <row r="56" spans="6:15" x14ac:dyDescent="0.25">
      <c r="F56" s="2694"/>
      <c r="G56" s="2701"/>
      <c r="H56" s="2701"/>
      <c r="I56" s="2701"/>
      <c r="J56" s="2701"/>
      <c r="K56" s="2701"/>
      <c r="L56" s="2701"/>
      <c r="M56" s="2701"/>
      <c r="N56" s="2701"/>
    </row>
    <row r="57" spans="6:15" x14ac:dyDescent="0.25">
      <c r="F57" s="2694" t="s">
        <v>1293</v>
      </c>
      <c r="G57" s="2701">
        <v>0.13</v>
      </c>
      <c r="H57" s="2701">
        <v>0.23</v>
      </c>
      <c r="I57" s="2701">
        <v>0.26</v>
      </c>
      <c r="J57" s="2701">
        <v>0.42</v>
      </c>
      <c r="K57" s="2701">
        <v>0.59</v>
      </c>
      <c r="L57" s="2701">
        <v>0.2</v>
      </c>
      <c r="M57" s="2701">
        <v>0.21</v>
      </c>
      <c r="N57" s="2701">
        <f>AVERAGE(G57:M57)</f>
        <v>0.29142857142857143</v>
      </c>
    </row>
    <row r="58" spans="6:15" x14ac:dyDescent="0.25">
      <c r="F58" s="2694" t="s">
        <v>1294</v>
      </c>
      <c r="G58" s="2701">
        <v>0.11</v>
      </c>
      <c r="H58" s="2701">
        <v>0.22</v>
      </c>
      <c r="I58" s="2701">
        <v>0.14000000000000001</v>
      </c>
      <c r="J58" s="2701">
        <v>0.36</v>
      </c>
      <c r="K58" s="2701">
        <v>0.59</v>
      </c>
      <c r="L58" s="2701">
        <v>0.3</v>
      </c>
      <c r="M58" s="2701">
        <v>0.21</v>
      </c>
      <c r="N58" s="2701">
        <f>AVERAGE(G58:M58)</f>
        <v>0.27571428571428569</v>
      </c>
    </row>
    <row r="60" spans="6:15" x14ac:dyDescent="0.25">
      <c r="F60" s="2694" t="s">
        <v>1295</v>
      </c>
      <c r="G60" s="2701">
        <v>0.33</v>
      </c>
      <c r="H60" s="2701">
        <v>0.8</v>
      </c>
      <c r="I60" s="2701">
        <v>0.5</v>
      </c>
      <c r="J60" s="2701">
        <v>0.8</v>
      </c>
      <c r="K60" s="2701">
        <v>0.59</v>
      </c>
      <c r="L60" s="2701">
        <v>0.65</v>
      </c>
      <c r="M60" s="2701">
        <v>0.8</v>
      </c>
      <c r="N60" s="2701">
        <f>AVERAGE(G60:M60)</f>
        <v>0.63857142857142857</v>
      </c>
      <c r="O60" s="2702">
        <f>SUM(G60,H60,I60,L60,M60)/5</f>
        <v>0.61599999999999999</v>
      </c>
    </row>
    <row r="61" spans="6:15" x14ac:dyDescent="0.25">
      <c r="F61" s="2694" t="s">
        <v>1296</v>
      </c>
      <c r="G61" s="2701">
        <v>0.33</v>
      </c>
      <c r="H61" s="2701">
        <v>0.75</v>
      </c>
      <c r="I61" s="2701">
        <v>0.5</v>
      </c>
      <c r="J61" s="2701">
        <v>0.9</v>
      </c>
      <c r="K61" s="2701">
        <v>0.6</v>
      </c>
      <c r="L61" s="2701">
        <v>0.7</v>
      </c>
      <c r="M61" s="2701">
        <v>0.9</v>
      </c>
      <c r="N61" s="2701">
        <f>AVERAGE(G61:M61)</f>
        <v>0.66857142857142871</v>
      </c>
    </row>
    <row r="63" spans="6:15" x14ac:dyDescent="0.25">
      <c r="G63" s="2670" t="s">
        <v>128</v>
      </c>
      <c r="H63" s="2671" t="s">
        <v>123</v>
      </c>
      <c r="I63" s="2670" t="s">
        <v>127</v>
      </c>
      <c r="J63" s="2664" t="s">
        <v>125</v>
      </c>
      <c r="K63" s="2672" t="s">
        <v>190</v>
      </c>
      <c r="L63" s="2672" t="s">
        <v>124</v>
      </c>
      <c r="M63" s="2664" t="s">
        <v>129</v>
      </c>
    </row>
    <row r="65" spans="6:15" x14ac:dyDescent="0.25">
      <c r="F65" s="2677" t="s">
        <v>1297</v>
      </c>
      <c r="G65" s="2686"/>
      <c r="H65" s="2686"/>
      <c r="I65" s="2686"/>
      <c r="J65" s="2686"/>
      <c r="K65" s="2686"/>
      <c r="L65" s="2686"/>
      <c r="M65" s="2686"/>
      <c r="N65" s="2686"/>
      <c r="O65" s="2686"/>
    </row>
    <row r="66" spans="6:15" x14ac:dyDescent="0.25">
      <c r="F66" s="2677" t="s">
        <v>1298</v>
      </c>
      <c r="G66" s="2703">
        <f t="shared" ref="G66:N66" si="8">SUM(G68,G75)</f>
        <v>584550.78</v>
      </c>
      <c r="H66" s="2703">
        <f t="shared" si="8"/>
        <v>274579.99</v>
      </c>
      <c r="I66" s="2703">
        <f t="shared" si="8"/>
        <v>1195467.55</v>
      </c>
      <c r="J66" s="2703">
        <f t="shared" si="8"/>
        <v>247626</v>
      </c>
      <c r="K66" s="2703">
        <f t="shared" si="8"/>
        <v>4583000</v>
      </c>
      <c r="L66" s="2703">
        <f t="shared" si="8"/>
        <v>6574199.75</v>
      </c>
      <c r="M66" s="2703">
        <f t="shared" si="8"/>
        <v>15369888</v>
      </c>
      <c r="N66" s="2703">
        <f t="shared" si="8"/>
        <v>28829312.07</v>
      </c>
      <c r="O66" s="2686"/>
    </row>
    <row r="67" spans="6:15" x14ac:dyDescent="0.25">
      <c r="F67" s="2677"/>
      <c r="G67" s="2703"/>
      <c r="H67" s="2703"/>
      <c r="I67" s="2703"/>
      <c r="J67" s="2703"/>
      <c r="K67" s="2703"/>
      <c r="L67" s="2703"/>
      <c r="M67" s="2703"/>
      <c r="N67" s="2703"/>
      <c r="O67" s="2686"/>
    </row>
    <row r="68" spans="6:15" x14ac:dyDescent="0.25">
      <c r="F68" s="2704" t="s">
        <v>1299</v>
      </c>
      <c r="G68" s="2703">
        <f>SUM(G69:G72)</f>
        <v>584550.78</v>
      </c>
      <c r="H68" s="2703">
        <f t="shared" ref="H68:M68" si="9">SUM(H69:H72)</f>
        <v>274579.99</v>
      </c>
      <c r="I68" s="2703">
        <f t="shared" si="9"/>
        <v>1195467.55</v>
      </c>
      <c r="J68" s="2703">
        <f t="shared" si="9"/>
        <v>247626</v>
      </c>
      <c r="K68" s="2703">
        <f t="shared" si="9"/>
        <v>4583000</v>
      </c>
      <c r="L68" s="2703">
        <f t="shared" si="9"/>
        <v>291324.71000000002</v>
      </c>
      <c r="M68" s="2703">
        <f t="shared" si="9"/>
        <v>15369888</v>
      </c>
      <c r="N68" s="2703">
        <f>SUM(G68:M68)</f>
        <v>22546437.030000001</v>
      </c>
      <c r="O68" s="2686"/>
    </row>
    <row r="69" spans="6:15" x14ac:dyDescent="0.25">
      <c r="F69" s="2694" t="s">
        <v>1300</v>
      </c>
      <c r="G69" s="2686">
        <v>474372.10000000003</v>
      </c>
      <c r="H69" s="2686">
        <v>200647.39</v>
      </c>
      <c r="I69" s="2686">
        <v>545786.55000000005</v>
      </c>
      <c r="J69" s="2686"/>
      <c r="K69" s="2686">
        <v>4583000</v>
      </c>
      <c r="L69" s="2686"/>
      <c r="M69" s="2686">
        <v>13500000</v>
      </c>
      <c r="N69" s="2686"/>
      <c r="O69" s="2686"/>
    </row>
    <row r="70" spans="6:15" x14ac:dyDescent="0.25">
      <c r="F70" s="2694" t="s">
        <v>1301</v>
      </c>
      <c r="G70" s="2686"/>
      <c r="H70" s="2686"/>
      <c r="I70" s="2686"/>
      <c r="J70" s="2686">
        <v>200000</v>
      </c>
      <c r="K70" s="2686"/>
      <c r="L70" s="2686"/>
      <c r="M70" s="2686"/>
      <c r="N70" s="2686"/>
      <c r="O70" s="2686"/>
    </row>
    <row r="71" spans="6:15" x14ac:dyDescent="0.25">
      <c r="F71" s="2694" t="s">
        <v>1302</v>
      </c>
      <c r="G71" s="2686"/>
      <c r="H71" s="2686"/>
      <c r="I71" s="2686"/>
      <c r="J71" s="2686"/>
      <c r="K71" s="2686"/>
      <c r="L71" s="2686"/>
      <c r="M71" s="2686"/>
      <c r="N71" s="2686"/>
      <c r="O71" s="2686"/>
    </row>
    <row r="72" spans="6:15" x14ac:dyDescent="0.25">
      <c r="F72" s="2694" t="s">
        <v>1303</v>
      </c>
      <c r="G72" s="2686">
        <v>110178.68</v>
      </c>
      <c r="H72" s="2686">
        <v>73932.600000000006</v>
      </c>
      <c r="I72" s="2686">
        <v>649681</v>
      </c>
      <c r="J72" s="2686">
        <v>47626</v>
      </c>
      <c r="K72" s="2686"/>
      <c r="L72" s="2686">
        <v>291324.71000000002</v>
      </c>
      <c r="M72" s="2686">
        <v>1869888</v>
      </c>
      <c r="N72" s="2686"/>
      <c r="O72" s="2686"/>
    </row>
    <row r="73" spans="6:15" x14ac:dyDescent="0.25">
      <c r="F73" s="2694"/>
      <c r="G73" s="2686"/>
      <c r="H73" s="2686"/>
      <c r="I73" s="2686"/>
      <c r="J73" s="2686"/>
      <c r="K73" s="2686"/>
      <c r="L73" s="2686"/>
      <c r="M73" s="2686"/>
      <c r="N73" s="2686"/>
      <c r="O73" s="2686"/>
    </row>
    <row r="74" spans="6:15" x14ac:dyDescent="0.25">
      <c r="G74" s="2686"/>
      <c r="H74" s="2686"/>
      <c r="I74" s="2686"/>
      <c r="J74" s="2686"/>
      <c r="K74" s="2686"/>
      <c r="L74" s="2686"/>
      <c r="M74" s="2686"/>
      <c r="N74" s="2686"/>
      <c r="O74" s="2686"/>
    </row>
    <row r="75" spans="6:15" x14ac:dyDescent="0.25">
      <c r="F75" s="2677" t="s">
        <v>1304</v>
      </c>
      <c r="G75" s="2703">
        <f>SUM(G76:G79)</f>
        <v>0</v>
      </c>
      <c r="H75" s="2703">
        <f t="shared" ref="H75:M75" si="10">SUM(H76:H79)</f>
        <v>0</v>
      </c>
      <c r="I75" s="2703">
        <f t="shared" si="10"/>
        <v>0</v>
      </c>
      <c r="J75" s="2703">
        <f t="shared" si="10"/>
        <v>0</v>
      </c>
      <c r="K75" s="2703">
        <f t="shared" si="10"/>
        <v>0</v>
      </c>
      <c r="L75" s="2703">
        <f t="shared" si="10"/>
        <v>6282875.04</v>
      </c>
      <c r="M75" s="2703">
        <f t="shared" si="10"/>
        <v>0</v>
      </c>
      <c r="N75" s="2703">
        <f>SUM(G75:M75)</f>
        <v>6282875.04</v>
      </c>
      <c r="O75" s="2686"/>
    </row>
    <row r="76" spans="6:15" x14ac:dyDescent="0.25">
      <c r="F76" s="2694" t="s">
        <v>1305</v>
      </c>
      <c r="O76" s="2686"/>
    </row>
    <row r="77" spans="6:15" x14ac:dyDescent="0.25">
      <c r="F77" s="2694" t="s">
        <v>1306</v>
      </c>
      <c r="G77" s="2686"/>
      <c r="H77" s="2686"/>
      <c r="I77" s="2686"/>
      <c r="J77" s="2686"/>
      <c r="K77" s="2686"/>
      <c r="L77" s="2686">
        <v>4582875.04</v>
      </c>
      <c r="M77" s="2686"/>
      <c r="N77" s="2686"/>
      <c r="O77" s="2686"/>
    </row>
    <row r="78" spans="6:15" x14ac:dyDescent="0.25">
      <c r="F78" s="2694" t="s">
        <v>1307</v>
      </c>
      <c r="G78" s="2686"/>
      <c r="H78" s="2686"/>
      <c r="I78" s="2686"/>
      <c r="J78" s="2686"/>
      <c r="K78" s="2686"/>
      <c r="L78" s="2686">
        <v>1700000</v>
      </c>
      <c r="M78" s="2686"/>
      <c r="N78" s="2686"/>
      <c r="O78" s="2686"/>
    </row>
    <row r="79" spans="6:15" x14ac:dyDescent="0.25">
      <c r="G79" s="2686"/>
      <c r="H79" s="2686"/>
      <c r="I79" s="2686"/>
      <c r="J79" s="2686"/>
      <c r="K79" s="2686"/>
      <c r="L79" s="2686"/>
      <c r="M79" s="2686"/>
      <c r="N79" s="2686"/>
      <c r="O79" s="2686"/>
    </row>
    <row r="80" spans="6:15" x14ac:dyDescent="0.25">
      <c r="F80" s="2677" t="s">
        <v>1308</v>
      </c>
      <c r="G80" s="2705">
        <f>SUM(G81:G85)</f>
        <v>1</v>
      </c>
      <c r="H80" s="2705">
        <f t="shared" ref="H80:M80" si="11">SUM(H81:H85)</f>
        <v>1</v>
      </c>
      <c r="I80" s="2705">
        <f t="shared" si="11"/>
        <v>1</v>
      </c>
      <c r="J80" s="2705">
        <f t="shared" si="11"/>
        <v>1</v>
      </c>
      <c r="K80" s="2705">
        <f t="shared" si="11"/>
        <v>0</v>
      </c>
      <c r="L80" s="2705">
        <f t="shared" si="11"/>
        <v>1</v>
      </c>
      <c r="M80" s="2705">
        <f t="shared" si="11"/>
        <v>1</v>
      </c>
      <c r="N80" s="2702"/>
      <c r="O80" s="2686"/>
    </row>
    <row r="81" spans="6:15" x14ac:dyDescent="0.25">
      <c r="F81" s="2694" t="s">
        <v>1309</v>
      </c>
      <c r="G81" s="2702">
        <v>1</v>
      </c>
      <c r="H81" s="2702">
        <v>1</v>
      </c>
      <c r="I81" s="2702">
        <v>0.75</v>
      </c>
      <c r="J81" s="2702">
        <v>1</v>
      </c>
      <c r="K81" s="2702"/>
      <c r="L81" s="2702"/>
      <c r="M81" s="2702">
        <v>0.5</v>
      </c>
      <c r="N81" s="2702"/>
      <c r="O81" s="2686"/>
    </row>
    <row r="82" spans="6:15" x14ac:dyDescent="0.25">
      <c r="F82" s="2694" t="s">
        <v>1310</v>
      </c>
      <c r="G82" s="2702"/>
      <c r="H82" s="2702"/>
      <c r="I82" s="2702"/>
      <c r="J82" s="2702"/>
      <c r="K82" s="2702"/>
      <c r="L82" s="2702"/>
      <c r="M82" s="2702">
        <v>0.05</v>
      </c>
      <c r="N82" s="2702"/>
      <c r="O82" s="2686"/>
    </row>
    <row r="83" spans="6:15" x14ac:dyDescent="0.25">
      <c r="F83" s="2694" t="s">
        <v>1311</v>
      </c>
      <c r="G83" s="2702"/>
      <c r="H83" s="2702"/>
      <c r="I83" s="2702">
        <v>0.15</v>
      </c>
      <c r="J83" s="2702"/>
      <c r="K83" s="2702"/>
      <c r="L83" s="2702">
        <v>1</v>
      </c>
      <c r="M83" s="2702">
        <v>0.1</v>
      </c>
      <c r="N83" s="2702"/>
      <c r="O83" s="2686"/>
    </row>
    <row r="84" spans="6:15" x14ac:dyDescent="0.25">
      <c r="F84" s="2694" t="s">
        <v>1312</v>
      </c>
      <c r="G84" s="2702"/>
      <c r="H84" s="2702"/>
      <c r="I84" s="2702">
        <v>0.1</v>
      </c>
      <c r="J84" s="2702"/>
      <c r="K84" s="2702"/>
      <c r="L84" s="2702"/>
      <c r="M84" s="2702">
        <v>0.35</v>
      </c>
      <c r="N84" s="2702"/>
      <c r="O84" s="2686"/>
    </row>
    <row r="85" spans="6:15" x14ac:dyDescent="0.25">
      <c r="F85" s="2694" t="s">
        <v>1313</v>
      </c>
      <c r="G85" s="2702"/>
      <c r="H85" s="2702"/>
      <c r="I85" s="2702"/>
      <c r="J85" s="2702"/>
      <c r="K85" s="2702"/>
      <c r="L85" s="2702"/>
      <c r="M85" s="2702"/>
      <c r="N85" s="2702"/>
      <c r="O85" s="2686"/>
    </row>
    <row r="86" spans="6:15" x14ac:dyDescent="0.25">
      <c r="G86" s="2686"/>
      <c r="H86" s="2686"/>
      <c r="I86" s="2686"/>
      <c r="J86" s="2686"/>
      <c r="K86" s="2686"/>
      <c r="L86" s="2686"/>
      <c r="M86" s="2686"/>
      <c r="N86" s="2686"/>
      <c r="O86" s="2686"/>
    </row>
    <row r="87" spans="6:15" x14ac:dyDescent="0.25">
      <c r="G87" s="2686"/>
      <c r="H87" s="2686"/>
      <c r="I87" s="2686"/>
      <c r="J87" s="2686"/>
      <c r="K87" s="2686"/>
      <c r="L87" s="2686"/>
      <c r="M87" s="2686"/>
      <c r="N87" s="2686"/>
      <c r="O87" s="2686"/>
    </row>
    <row r="88" spans="6:15" x14ac:dyDescent="0.25">
      <c r="G88" s="2686"/>
      <c r="H88" s="2686"/>
      <c r="I88" s="2686"/>
      <c r="J88" s="2686"/>
      <c r="K88" s="2686"/>
      <c r="L88" s="2686"/>
      <c r="M88" s="2686"/>
      <c r="N88" s="2686"/>
      <c r="O88" s="2686"/>
    </row>
    <row r="89" spans="6:15" x14ac:dyDescent="0.25">
      <c r="G89" s="2686"/>
      <c r="H89" s="2686"/>
      <c r="I89" s="2686"/>
      <c r="J89" s="2686"/>
      <c r="K89" s="2686"/>
      <c r="L89" s="2686"/>
      <c r="M89" s="2686"/>
      <c r="N89" s="2686"/>
      <c r="O89" s="2686"/>
    </row>
  </sheetData>
  <mergeCells count="66">
    <mergeCell ref="M14:P15"/>
    <mergeCell ref="A1:E2"/>
    <mergeCell ref="B3:C3"/>
    <mergeCell ref="A14:C15"/>
    <mergeCell ref="E14:H15"/>
    <mergeCell ref="I14:L15"/>
    <mergeCell ref="BI14:BL15"/>
    <mergeCell ref="Q14:T15"/>
    <mergeCell ref="U14:X15"/>
    <mergeCell ref="Y14:AB15"/>
    <mergeCell ref="AC14:AF15"/>
    <mergeCell ref="AG14:AJ15"/>
    <mergeCell ref="AK14:AN15"/>
    <mergeCell ref="AO14:AR15"/>
    <mergeCell ref="AS14:AV15"/>
    <mergeCell ref="AW14:AZ15"/>
    <mergeCell ref="BA14:BD15"/>
    <mergeCell ref="BE14:BH15"/>
    <mergeCell ref="DE14:DH15"/>
    <mergeCell ref="BM14:BP15"/>
    <mergeCell ref="BQ14:BT15"/>
    <mergeCell ref="BU14:BX15"/>
    <mergeCell ref="BY14:CB15"/>
    <mergeCell ref="CC14:CF15"/>
    <mergeCell ref="CG14:CJ15"/>
    <mergeCell ref="CK14:CN15"/>
    <mergeCell ref="CO14:CR15"/>
    <mergeCell ref="CS14:CV15"/>
    <mergeCell ref="CW14:CZ15"/>
    <mergeCell ref="DA14:DD15"/>
    <mergeCell ref="FA14:FD15"/>
    <mergeCell ref="DI14:DL15"/>
    <mergeCell ref="DM14:DP15"/>
    <mergeCell ref="DQ14:DT15"/>
    <mergeCell ref="DU14:DX15"/>
    <mergeCell ref="DY14:EB15"/>
    <mergeCell ref="EC14:EF15"/>
    <mergeCell ref="EG14:EJ15"/>
    <mergeCell ref="EK14:EN15"/>
    <mergeCell ref="EO14:ER15"/>
    <mergeCell ref="ES14:EV15"/>
    <mergeCell ref="EW14:EZ15"/>
    <mergeCell ref="GW14:GZ15"/>
    <mergeCell ref="FE14:FH15"/>
    <mergeCell ref="FI14:FL15"/>
    <mergeCell ref="FM14:FP15"/>
    <mergeCell ref="FQ14:FT15"/>
    <mergeCell ref="FU14:FX15"/>
    <mergeCell ref="FY14:GB15"/>
    <mergeCell ref="GC14:GF15"/>
    <mergeCell ref="GG14:GJ15"/>
    <mergeCell ref="GK14:GN15"/>
    <mergeCell ref="GO14:GR15"/>
    <mergeCell ref="GS14:GV15"/>
    <mergeCell ref="IS14:IV15"/>
    <mergeCell ref="HA14:HD15"/>
    <mergeCell ref="HE14:HH15"/>
    <mergeCell ref="HI14:HL15"/>
    <mergeCell ref="HM14:HP15"/>
    <mergeCell ref="HQ14:HT15"/>
    <mergeCell ref="HU14:HX15"/>
    <mergeCell ref="HY14:IB15"/>
    <mergeCell ref="IC14:IF15"/>
    <mergeCell ref="IG14:IJ15"/>
    <mergeCell ref="IK14:IN15"/>
    <mergeCell ref="IO14:IR1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Q75"/>
  <sheetViews>
    <sheetView workbookViewId="0">
      <selection activeCell="K2" sqref="K2:Q6"/>
    </sheetView>
  </sheetViews>
  <sheetFormatPr defaultRowHeight="12.75" x14ac:dyDescent="0.2"/>
  <cols>
    <col min="1" max="1" width="3.7109375" customWidth="1"/>
    <col min="2" max="2" width="23.28515625" customWidth="1"/>
    <col min="3" max="3" width="17.140625" customWidth="1"/>
    <col min="4" max="4" width="9.85546875" customWidth="1"/>
    <col min="5" max="5" width="3.85546875" customWidth="1"/>
    <col min="6" max="6" width="23.28515625" customWidth="1"/>
    <col min="7" max="7" width="17.140625" customWidth="1"/>
    <col min="8" max="8" width="9.85546875" customWidth="1"/>
  </cols>
  <sheetData>
    <row r="1" spans="2:17" ht="20.25" x14ac:dyDescent="0.2">
      <c r="B1" s="4113" t="s">
        <v>1686</v>
      </c>
      <c r="C1" s="4114"/>
      <c r="D1" s="4114"/>
      <c r="E1" s="4114"/>
      <c r="F1" s="4114"/>
      <c r="G1" s="4114"/>
      <c r="H1" s="4115"/>
      <c r="I1" s="3135"/>
      <c r="J1" s="3135"/>
      <c r="K1" s="3135"/>
      <c r="L1" s="3135"/>
      <c r="M1" s="3135"/>
      <c r="N1" s="3135"/>
      <c r="O1" s="3135"/>
      <c r="P1" s="3135"/>
    </row>
    <row r="2" spans="2:17" ht="15.75" customHeight="1" x14ac:dyDescent="0.2">
      <c r="B2" s="4091" t="s">
        <v>1735</v>
      </c>
      <c r="C2" s="4092"/>
      <c r="D2" s="4092"/>
      <c r="E2" s="4092"/>
      <c r="F2" s="4092"/>
      <c r="G2" s="4092"/>
      <c r="H2" s="4093"/>
      <c r="I2" s="3136"/>
      <c r="J2" s="3136"/>
      <c r="K2" s="3136"/>
      <c r="L2" s="3136"/>
      <c r="M2" s="3136"/>
      <c r="N2" s="3136"/>
      <c r="O2" s="3136"/>
      <c r="P2" s="3136"/>
      <c r="Q2" s="82"/>
    </row>
    <row r="3" spans="2:17" ht="15.75" customHeight="1" thickBot="1" x14ac:dyDescent="0.25">
      <c r="B3" s="4116" t="s">
        <v>1736</v>
      </c>
      <c r="C3" s="4117"/>
      <c r="D3" s="4117"/>
      <c r="E3" s="4117"/>
      <c r="F3" s="4117"/>
      <c r="G3" s="4117"/>
      <c r="H3" s="4118"/>
      <c r="I3" s="3136"/>
      <c r="J3" s="3136"/>
      <c r="K3" s="3703"/>
      <c r="L3" s="3703"/>
      <c r="M3" s="3703"/>
      <c r="N3" s="3136"/>
      <c r="O3" s="3136"/>
      <c r="P3" s="3136"/>
      <c r="Q3" s="82"/>
    </row>
    <row r="4" spans="2:17" s="39" customFormat="1" ht="15.75" customHeight="1" thickBot="1" x14ac:dyDescent="0.25">
      <c r="B4" s="3638"/>
      <c r="C4" s="3638"/>
      <c r="D4" s="3638"/>
      <c r="E4" s="3638"/>
      <c r="F4" s="3638"/>
      <c r="G4" s="3638"/>
      <c r="H4" s="3638"/>
      <c r="I4" s="3136"/>
      <c r="J4" s="3136"/>
      <c r="K4" s="3136"/>
      <c r="L4" s="3136"/>
      <c r="M4" s="3136"/>
      <c r="N4" s="3136"/>
      <c r="O4" s="3136"/>
      <c r="P4" s="3136"/>
      <c r="Q4" s="82"/>
    </row>
    <row r="5" spans="2:17" ht="18.75" thickTop="1" thickBot="1" x14ac:dyDescent="0.3">
      <c r="B5" s="3728" t="s">
        <v>1654</v>
      </c>
      <c r="C5" s="3729"/>
      <c r="D5" s="3730" t="s">
        <v>78</v>
      </c>
      <c r="E5" s="3731"/>
      <c r="F5" s="3732" t="s">
        <v>1666</v>
      </c>
      <c r="G5" s="3733"/>
      <c r="H5" s="3730" t="s">
        <v>78</v>
      </c>
      <c r="K5" s="4391"/>
      <c r="L5" s="4391"/>
      <c r="M5" s="4391"/>
      <c r="N5" s="4391"/>
      <c r="O5" s="4391"/>
      <c r="P5" s="4391"/>
      <c r="Q5" s="82"/>
    </row>
    <row r="6" spans="2:17" ht="15" thickTop="1" x14ac:dyDescent="0.2">
      <c r="B6" s="3749" t="s">
        <v>1655</v>
      </c>
      <c r="C6" s="3751">
        <v>10000000</v>
      </c>
      <c r="D6" s="3752"/>
      <c r="E6" s="3735"/>
      <c r="F6" s="3749" t="s">
        <v>1655</v>
      </c>
      <c r="G6" s="3751">
        <v>1000000</v>
      </c>
      <c r="H6" s="3752"/>
      <c r="K6" s="82"/>
      <c r="L6" s="82"/>
      <c r="M6" s="82"/>
      <c r="N6" s="82"/>
      <c r="O6" s="82"/>
      <c r="P6" s="82"/>
      <c r="Q6" s="82"/>
    </row>
    <row r="7" spans="2:17" ht="14.25" x14ac:dyDescent="0.2">
      <c r="B7" s="3736" t="s">
        <v>1738</v>
      </c>
      <c r="C7" s="3737">
        <f>'[1]4.CapInfo'!$J$4</f>
        <v>4078156</v>
      </c>
      <c r="D7" s="3738">
        <f>C7/C6</f>
        <v>0.4078156</v>
      </c>
      <c r="E7" s="3735"/>
      <c r="F7" s="3736" t="s">
        <v>1656</v>
      </c>
      <c r="G7" s="3737">
        <f>'[1]4.CapInfo'!$N$4</f>
        <v>0</v>
      </c>
      <c r="H7" s="3738">
        <f>G7/G6</f>
        <v>0</v>
      </c>
    </row>
    <row r="8" spans="2:17" ht="14.25" x14ac:dyDescent="0.2">
      <c r="B8" s="3736" t="s">
        <v>1739</v>
      </c>
      <c r="C8" s="3737">
        <f>'[1]4.CapInfo'!$J$5</f>
        <v>6830959</v>
      </c>
      <c r="D8" s="3738">
        <f>C8/C6</f>
        <v>0.68309589999999998</v>
      </c>
      <c r="E8" s="3735"/>
      <c r="F8" s="3736" t="s">
        <v>1507</v>
      </c>
      <c r="G8" s="3737">
        <f>'[1]4.CapInfo'!$N$5</f>
        <v>1000000</v>
      </c>
      <c r="H8" s="3738">
        <f>G8/G6</f>
        <v>1</v>
      </c>
    </row>
    <row r="9" spans="2:17" ht="14.25" x14ac:dyDescent="0.2">
      <c r="B9" s="3736" t="s">
        <v>1740</v>
      </c>
      <c r="C9" s="3737">
        <f>'[1]4.CapInfo'!$J$6</f>
        <v>1786828</v>
      </c>
      <c r="D9" s="3738">
        <f>C9/C6</f>
        <v>0.1786828</v>
      </c>
      <c r="E9" s="3735"/>
      <c r="F9" s="3736" t="s">
        <v>44</v>
      </c>
      <c r="G9" s="3737">
        <f>'[1]4.CapInfo'!$N$6</f>
        <v>0</v>
      </c>
      <c r="H9" s="3738">
        <f>G9/G6</f>
        <v>0</v>
      </c>
    </row>
    <row r="10" spans="2:17" ht="15" thickBot="1" x14ac:dyDescent="0.25">
      <c r="B10" s="3739" t="s">
        <v>1657</v>
      </c>
      <c r="C10" s="3740">
        <f>C6-C9</f>
        <v>8213172</v>
      </c>
      <c r="D10" s="3741">
        <f>C10/C6</f>
        <v>0.82131719999999997</v>
      </c>
      <c r="E10" s="3735"/>
      <c r="F10" s="3739" t="s">
        <v>1657</v>
      </c>
      <c r="G10" s="3740">
        <f>G6-G9</f>
        <v>1000000</v>
      </c>
      <c r="H10" s="3741">
        <f>G10/G6</f>
        <v>1</v>
      </c>
    </row>
    <row r="11" spans="2:17" ht="14.25" x14ac:dyDescent="0.2">
      <c r="B11" s="3734" t="s">
        <v>1658</v>
      </c>
      <c r="C11" s="3753">
        <v>10000000</v>
      </c>
      <c r="D11" s="3754"/>
      <c r="E11" s="3735"/>
      <c r="F11" s="3734" t="s">
        <v>1658</v>
      </c>
      <c r="G11" s="3753">
        <v>1000000</v>
      </c>
      <c r="H11" s="3754"/>
    </row>
    <row r="12" spans="2:17" ht="14.25" x14ac:dyDescent="0.2">
      <c r="B12" s="3736" t="s">
        <v>1738</v>
      </c>
      <c r="C12" s="3737">
        <f>'[1]4.CapInfo'!$J$9</f>
        <v>4809164</v>
      </c>
      <c r="D12" s="3738">
        <f>C12/C11</f>
        <v>0.48091640000000002</v>
      </c>
      <c r="E12" s="3735"/>
      <c r="F12" s="3736" t="s">
        <v>1656</v>
      </c>
      <c r="G12" s="3737">
        <f>'[1]4.CapInfo'!$N$9</f>
        <v>0</v>
      </c>
      <c r="H12" s="3738">
        <f>G12/G11</f>
        <v>0</v>
      </c>
    </row>
    <row r="13" spans="2:17" ht="14.25" x14ac:dyDescent="0.2">
      <c r="B13" s="3736" t="s">
        <v>1739</v>
      </c>
      <c r="C13" s="3737">
        <f>'[1]4.CapInfo'!$J$10</f>
        <v>2183738</v>
      </c>
      <c r="D13" s="3738">
        <f>C13/C11</f>
        <v>0.21837380000000001</v>
      </c>
      <c r="E13" s="3735"/>
      <c r="F13" s="3736" t="s">
        <v>1507</v>
      </c>
      <c r="G13" s="3737">
        <f>'[1]4.CapInfo'!$N$10</f>
        <v>1000000</v>
      </c>
      <c r="H13" s="3738">
        <f>G13/G11</f>
        <v>1</v>
      </c>
    </row>
    <row r="14" spans="2:17" ht="14.25" x14ac:dyDescent="0.2">
      <c r="B14" s="3736" t="s">
        <v>1741</v>
      </c>
      <c r="C14" s="3737">
        <f>'[1]4.CapInfo'!$J$11</f>
        <v>206737</v>
      </c>
      <c r="D14" s="3738">
        <f>C14/C11</f>
        <v>2.06737E-2</v>
      </c>
      <c r="E14" s="3735"/>
      <c r="F14" s="3736" t="s">
        <v>44</v>
      </c>
      <c r="G14" s="3737">
        <f>'[1]4.CapInfo'!$N$11</f>
        <v>0</v>
      </c>
      <c r="H14" s="3738">
        <f>G14/G11</f>
        <v>0</v>
      </c>
    </row>
    <row r="15" spans="2:17" ht="15" thickBot="1" x14ac:dyDescent="0.25">
      <c r="B15" s="3739" t="s">
        <v>1657</v>
      </c>
      <c r="C15" s="3740">
        <f>C11-C14</f>
        <v>9793263</v>
      </c>
      <c r="D15" s="3741">
        <f>C15/C11</f>
        <v>0.97932629999999998</v>
      </c>
      <c r="E15" s="3735"/>
      <c r="F15" s="3739" t="s">
        <v>1657</v>
      </c>
      <c r="G15" s="3740">
        <f>G11-G14</f>
        <v>1000000</v>
      </c>
      <c r="H15" s="3741">
        <f>G15/G11</f>
        <v>1</v>
      </c>
    </row>
    <row r="16" spans="2:17" ht="14.25" x14ac:dyDescent="0.2">
      <c r="B16" s="3734" t="s">
        <v>1659</v>
      </c>
      <c r="C16" s="3753">
        <v>10000000</v>
      </c>
      <c r="D16" s="3754"/>
      <c r="E16" s="3735"/>
      <c r="F16" s="3734" t="s">
        <v>1659</v>
      </c>
      <c r="G16" s="3753">
        <v>1000000</v>
      </c>
      <c r="H16" s="3754"/>
    </row>
    <row r="17" spans="2:8" ht="14.25" x14ac:dyDescent="0.2">
      <c r="B17" s="3736" t="s">
        <v>1738</v>
      </c>
      <c r="C17" s="3737">
        <f>'[1]4.CapInfo'!$J$14</f>
        <v>5425247</v>
      </c>
      <c r="D17" s="3738">
        <f>C17/C16</f>
        <v>0.54252469999999997</v>
      </c>
      <c r="E17" s="3735"/>
      <c r="F17" s="3736" t="s">
        <v>1656</v>
      </c>
      <c r="G17" s="3737">
        <f>'[1]4.CapInfo'!$N$14</f>
        <v>0</v>
      </c>
      <c r="H17" s="3738">
        <f>G17/G16</f>
        <v>0</v>
      </c>
    </row>
    <row r="18" spans="2:8" ht="14.25" x14ac:dyDescent="0.2">
      <c r="B18" s="3736" t="s">
        <v>1739</v>
      </c>
      <c r="C18" s="3737">
        <f>'[1]4.CapInfo'!$J$15</f>
        <v>5539089</v>
      </c>
      <c r="D18" s="3738">
        <f>C18/C16</f>
        <v>0.55390890000000004</v>
      </c>
      <c r="E18" s="3735"/>
      <c r="F18" s="3736" t="s">
        <v>1507</v>
      </c>
      <c r="G18" s="3737">
        <f>'[1]4.CapInfo'!$N$15</f>
        <v>1000000</v>
      </c>
      <c r="H18" s="3738">
        <f>G18/G16</f>
        <v>1</v>
      </c>
    </row>
    <row r="19" spans="2:8" ht="14.25" x14ac:dyDescent="0.2">
      <c r="B19" s="3736" t="s">
        <v>1740</v>
      </c>
      <c r="C19" s="3737">
        <f>'[1]4.CapInfo'!$J$16</f>
        <v>2124320</v>
      </c>
      <c r="D19" s="3738">
        <f>C19/C16</f>
        <v>0.21243200000000001</v>
      </c>
      <c r="E19" s="3735"/>
      <c r="F19" s="3736" t="s">
        <v>44</v>
      </c>
      <c r="G19" s="3737">
        <f>'[1]4.CapInfo'!$N$16</f>
        <v>0</v>
      </c>
      <c r="H19" s="3738">
        <f>G19/G16</f>
        <v>0</v>
      </c>
    </row>
    <row r="20" spans="2:8" ht="15" thickBot="1" x14ac:dyDescent="0.25">
      <c r="B20" s="3739" t="s">
        <v>1657</v>
      </c>
      <c r="C20" s="3740">
        <f>C16-C19</f>
        <v>7875680</v>
      </c>
      <c r="D20" s="3741">
        <f>C20/C16</f>
        <v>0.78756800000000005</v>
      </c>
      <c r="E20" s="3735"/>
      <c r="F20" s="3739" t="s">
        <v>1657</v>
      </c>
      <c r="G20" s="3740">
        <f>G16-G19</f>
        <v>1000000</v>
      </c>
      <c r="H20" s="3741">
        <f>G20/G16</f>
        <v>1</v>
      </c>
    </row>
    <row r="21" spans="2:8" ht="14.25" x14ac:dyDescent="0.2">
      <c r="B21" s="3734" t="s">
        <v>1742</v>
      </c>
      <c r="C21" s="3753">
        <v>23000000</v>
      </c>
      <c r="D21" s="3754"/>
      <c r="E21" s="3735"/>
      <c r="F21" s="3734" t="s">
        <v>1660</v>
      </c>
      <c r="G21" s="3753">
        <v>1000000</v>
      </c>
      <c r="H21" s="3754"/>
    </row>
    <row r="22" spans="2:8" ht="14.25" x14ac:dyDescent="0.2">
      <c r="B22" s="3736" t="s">
        <v>1738</v>
      </c>
      <c r="C22" s="3737">
        <f>'[1]4.CapInfo'!$J$19</f>
        <v>8566823</v>
      </c>
      <c r="D22" s="3738">
        <f>C22/C21</f>
        <v>0.3724705652173913</v>
      </c>
      <c r="E22" s="3735"/>
      <c r="F22" s="3736" t="s">
        <v>1656</v>
      </c>
      <c r="G22" s="3737">
        <f>'[1]4.CapInfo'!$N$19</f>
        <v>228459</v>
      </c>
      <c r="H22" s="3738">
        <f>G22/G21</f>
        <v>0.228459</v>
      </c>
    </row>
    <row r="23" spans="2:8" ht="14.25" x14ac:dyDescent="0.2">
      <c r="B23" s="3736" t="s">
        <v>1739</v>
      </c>
      <c r="C23" s="3737">
        <f>'[1]4.CapInfo'!$J$20</f>
        <v>10360059</v>
      </c>
      <c r="D23" s="3738">
        <f>C23/C21</f>
        <v>0.45043734782608696</v>
      </c>
      <c r="E23" s="3735"/>
      <c r="F23" s="3736" t="s">
        <v>1507</v>
      </c>
      <c r="G23" s="3737">
        <f>'[1]4.CapInfo'!$N$20</f>
        <v>771541</v>
      </c>
      <c r="H23" s="3738">
        <f>G23/G21</f>
        <v>0.77154100000000003</v>
      </c>
    </row>
    <row r="24" spans="2:8" ht="14.25" x14ac:dyDescent="0.2">
      <c r="B24" s="3736" t="s">
        <v>1740</v>
      </c>
      <c r="C24" s="3737">
        <f>'[1]4.CapInfo'!$J$21</f>
        <v>5450915</v>
      </c>
      <c r="D24" s="3738">
        <f>C24/C21</f>
        <v>0.23699630434782609</v>
      </c>
      <c r="E24" s="3735"/>
      <c r="F24" s="3736" t="s">
        <v>44</v>
      </c>
      <c r="G24" s="3737">
        <f>'[1]4.CapInfo'!$N$21</f>
        <v>0</v>
      </c>
      <c r="H24" s="3738">
        <f>G24/G21</f>
        <v>0</v>
      </c>
    </row>
    <row r="25" spans="2:8" ht="15" thickBot="1" x14ac:dyDescent="0.25">
      <c r="B25" s="3739" t="s">
        <v>1657</v>
      </c>
      <c r="C25" s="3740">
        <f>C21-C24</f>
        <v>17549085</v>
      </c>
      <c r="D25" s="3741">
        <f>C25/C21</f>
        <v>0.76300369565217396</v>
      </c>
      <c r="E25" s="3735"/>
      <c r="F25" s="3739" t="s">
        <v>1657</v>
      </c>
      <c r="G25" s="3740">
        <f>G21-G24</f>
        <v>1000000</v>
      </c>
      <c r="H25" s="3741">
        <f>G25/G21</f>
        <v>1</v>
      </c>
    </row>
    <row r="26" spans="2:8" ht="14.25" x14ac:dyDescent="0.2">
      <c r="B26" s="3734" t="s">
        <v>1743</v>
      </c>
      <c r="C26" s="3755">
        <v>18000000</v>
      </c>
      <c r="D26" s="3754"/>
      <c r="E26" s="3735"/>
      <c r="F26" s="3734" t="s">
        <v>1661</v>
      </c>
      <c r="G26" s="3753">
        <v>1000000</v>
      </c>
      <c r="H26" s="3754"/>
    </row>
    <row r="27" spans="2:8" ht="14.25" x14ac:dyDescent="0.2">
      <c r="B27" s="3736" t="s">
        <v>1738</v>
      </c>
      <c r="C27" s="3742">
        <f>'[1]4.CapInfo'!$J$24</f>
        <v>14532959</v>
      </c>
      <c r="D27" s="3738">
        <f>C27/C26</f>
        <v>0.8073866111111111</v>
      </c>
      <c r="E27" s="3735"/>
      <c r="F27" s="3736" t="s">
        <v>1656</v>
      </c>
      <c r="G27" s="3737">
        <f>'[1]4.CapInfo'!$N$24</f>
        <v>322655</v>
      </c>
      <c r="H27" s="3738">
        <f>G27/G26</f>
        <v>0.32265500000000003</v>
      </c>
    </row>
    <row r="28" spans="2:8" ht="14.25" x14ac:dyDescent="0.2">
      <c r="B28" s="3736" t="s">
        <v>1739</v>
      </c>
      <c r="C28" s="3742">
        <f>'[1]4.CapInfo'!$J$25</f>
        <v>8322697</v>
      </c>
      <c r="D28" s="3738">
        <f>C28/C26</f>
        <v>0.46237205555555555</v>
      </c>
      <c r="E28" s="3735"/>
      <c r="F28" s="3736" t="s">
        <v>1507</v>
      </c>
      <c r="G28" s="3737">
        <f>'[1]4.CapInfo'!$N$25</f>
        <v>677345</v>
      </c>
      <c r="H28" s="3738">
        <f>G28/G26</f>
        <v>0.67734499999999997</v>
      </c>
    </row>
    <row r="29" spans="2:8" ht="14.25" x14ac:dyDescent="0.2">
      <c r="B29" s="3736" t="s">
        <v>1740</v>
      </c>
      <c r="C29" s="3742">
        <f>'[1]4.CapInfo'!$J$26</f>
        <v>5832519</v>
      </c>
      <c r="D29" s="3738">
        <f>C29/C26</f>
        <v>0.32402883333333332</v>
      </c>
      <c r="E29" s="3735"/>
      <c r="F29" s="3736" t="s">
        <v>44</v>
      </c>
      <c r="G29" s="3737">
        <f>'[1]4.CapInfo'!$N$26</f>
        <v>322655</v>
      </c>
      <c r="H29" s="3738">
        <f>G29/G26</f>
        <v>0.32265500000000003</v>
      </c>
    </row>
    <row r="30" spans="2:8" ht="15" thickBot="1" x14ac:dyDescent="0.25">
      <c r="B30" s="3739" t="s">
        <v>1657</v>
      </c>
      <c r="C30" s="3743">
        <f>C26-C29</f>
        <v>12167481</v>
      </c>
      <c r="D30" s="3741">
        <f>C30/C26</f>
        <v>0.67597116666666668</v>
      </c>
      <c r="E30" s="3735"/>
      <c r="F30" s="3739" t="s">
        <v>1657</v>
      </c>
      <c r="G30" s="3740">
        <f>G26-G29</f>
        <v>677345</v>
      </c>
      <c r="H30" s="3741">
        <f>G30/G26</f>
        <v>0.67734499999999997</v>
      </c>
    </row>
    <row r="31" spans="2:8" ht="14.25" x14ac:dyDescent="0.2">
      <c r="B31" s="3734" t="s">
        <v>1744</v>
      </c>
      <c r="C31" s="3755">
        <v>12000000</v>
      </c>
      <c r="D31" s="3754"/>
      <c r="E31" s="3735"/>
      <c r="F31" s="3734" t="s">
        <v>1662</v>
      </c>
      <c r="G31" s="3753">
        <v>1000000</v>
      </c>
      <c r="H31" s="3754"/>
    </row>
    <row r="32" spans="2:8" ht="14.25" x14ac:dyDescent="0.2">
      <c r="B32" s="3736" t="s">
        <v>1738</v>
      </c>
      <c r="C32" s="3742">
        <f>'[1]4.CapInfo'!$J$29</f>
        <v>8127120</v>
      </c>
      <c r="D32" s="3738">
        <f>C32/C31</f>
        <v>0.67725999999999997</v>
      </c>
      <c r="E32" s="3735"/>
      <c r="F32" s="3736" t="s">
        <v>1656</v>
      </c>
      <c r="G32" s="3737">
        <f>'[1]4.CapInfo'!$N$29</f>
        <v>313144</v>
      </c>
      <c r="H32" s="3738">
        <f>G32/G31</f>
        <v>0.31314399999999998</v>
      </c>
    </row>
    <row r="33" spans="2:8" ht="14.25" x14ac:dyDescent="0.2">
      <c r="B33" s="3736" t="s">
        <v>1739</v>
      </c>
      <c r="C33" s="3742">
        <f>'[1]4.CapInfo'!$J$30</f>
        <v>7358936</v>
      </c>
      <c r="D33" s="3738">
        <f>C33/C31</f>
        <v>0.61324466666666666</v>
      </c>
      <c r="E33" s="3735"/>
      <c r="F33" s="3736" t="s">
        <v>1507</v>
      </c>
      <c r="G33" s="3737">
        <f>'[1]4.CapInfo'!$N$30</f>
        <v>686856</v>
      </c>
      <c r="H33" s="3738">
        <f>G33/G31</f>
        <v>0.68685600000000002</v>
      </c>
    </row>
    <row r="34" spans="2:8" ht="14.25" x14ac:dyDescent="0.2">
      <c r="B34" s="3736" t="s">
        <v>1740</v>
      </c>
      <c r="C34" s="3742">
        <f>'[1]4.CapInfo'!$J$31</f>
        <v>7358936</v>
      </c>
      <c r="D34" s="3738">
        <f>C34/C31</f>
        <v>0.61324466666666666</v>
      </c>
      <c r="E34" s="3735"/>
      <c r="F34" s="3736" t="s">
        <v>44</v>
      </c>
      <c r="G34" s="3737">
        <f>'[1]4.CapInfo'!$N$31</f>
        <v>247632</v>
      </c>
      <c r="H34" s="3738">
        <f>G34/G31</f>
        <v>0.24763199999999999</v>
      </c>
    </row>
    <row r="35" spans="2:8" ht="15" thickBot="1" x14ac:dyDescent="0.25">
      <c r="B35" s="3739" t="s">
        <v>1657</v>
      </c>
      <c r="C35" s="3743">
        <f>C31-C34</f>
        <v>4641064</v>
      </c>
      <c r="D35" s="3741">
        <f>C35/C31</f>
        <v>0.38675533333333334</v>
      </c>
      <c r="E35" s="3735"/>
      <c r="F35" s="3739" t="s">
        <v>1657</v>
      </c>
      <c r="G35" s="3740">
        <f>G31-G34</f>
        <v>752368</v>
      </c>
      <c r="H35" s="3741">
        <f>G35/G31</f>
        <v>0.75236800000000004</v>
      </c>
    </row>
    <row r="36" spans="2:8" ht="14.25" x14ac:dyDescent="0.2">
      <c r="B36" s="3734" t="s">
        <v>1663</v>
      </c>
      <c r="C36" s="3755">
        <v>10000000</v>
      </c>
      <c r="D36" s="3754"/>
      <c r="E36" s="3735"/>
      <c r="F36" s="3734" t="s">
        <v>1663</v>
      </c>
      <c r="G36" s="3753">
        <v>1000000</v>
      </c>
      <c r="H36" s="3754"/>
    </row>
    <row r="37" spans="2:8" ht="14.25" x14ac:dyDescent="0.2">
      <c r="B37" s="3736" t="s">
        <v>1738</v>
      </c>
      <c r="C37" s="3742">
        <f>'[1]4.CapInfo'!$J$34</f>
        <v>4391060</v>
      </c>
      <c r="D37" s="3738">
        <f>C37/C36</f>
        <v>0.439106</v>
      </c>
      <c r="E37" s="3735"/>
      <c r="F37" s="3736" t="s">
        <v>1656</v>
      </c>
      <c r="G37" s="3737">
        <f>'[1]4.CapInfo'!$N$34</f>
        <v>133606</v>
      </c>
      <c r="H37" s="3738">
        <f>G37/G36</f>
        <v>0.133606</v>
      </c>
    </row>
    <row r="38" spans="2:8" ht="14.25" x14ac:dyDescent="0.2">
      <c r="B38" s="3736" t="s">
        <v>1739</v>
      </c>
      <c r="C38" s="3742">
        <f>'[1]4.CapInfo'!$J$35</f>
        <v>2542897</v>
      </c>
      <c r="D38" s="3738">
        <f>C38/C36</f>
        <v>0.25428970000000001</v>
      </c>
      <c r="E38" s="3735"/>
      <c r="F38" s="3736" t="s">
        <v>1507</v>
      </c>
      <c r="G38" s="3737">
        <f>'[1]4.CapInfo'!$N$35</f>
        <v>866394</v>
      </c>
      <c r="H38" s="3738">
        <f>G38/G36</f>
        <v>0.866394</v>
      </c>
    </row>
    <row r="39" spans="2:8" ht="14.25" x14ac:dyDescent="0.2">
      <c r="B39" s="3736" t="s">
        <v>1740</v>
      </c>
      <c r="C39" s="3742">
        <f>'[1]4.CapInfo'!$J$36</f>
        <v>2284379</v>
      </c>
      <c r="D39" s="3738">
        <f>C39/C36</f>
        <v>0.2284379</v>
      </c>
      <c r="E39" s="3735"/>
      <c r="F39" s="3736" t="s">
        <v>44</v>
      </c>
      <c r="G39" s="3737">
        <f>'[1]4.CapInfo'!$N$36</f>
        <v>57074</v>
      </c>
      <c r="H39" s="3738">
        <f>G39/G36</f>
        <v>5.7074E-2</v>
      </c>
    </row>
    <row r="40" spans="2:8" ht="15" thickBot="1" x14ac:dyDescent="0.25">
      <c r="B40" s="3739" t="s">
        <v>1657</v>
      </c>
      <c r="C40" s="3743">
        <f>C36-C39</f>
        <v>7715621</v>
      </c>
      <c r="D40" s="3741">
        <f>C40/C36</f>
        <v>0.77156210000000003</v>
      </c>
      <c r="E40" s="3735"/>
      <c r="F40" s="3739" t="s">
        <v>1657</v>
      </c>
      <c r="G40" s="3740">
        <f>G36-G39</f>
        <v>942926</v>
      </c>
      <c r="H40" s="3741">
        <f>G40/G36</f>
        <v>0.94292600000000004</v>
      </c>
    </row>
    <row r="41" spans="2:8" ht="14.25" x14ac:dyDescent="0.2">
      <c r="B41" s="3734" t="s">
        <v>1664</v>
      </c>
      <c r="C41" s="3755">
        <v>10000000</v>
      </c>
      <c r="D41" s="3754"/>
      <c r="E41" s="3735"/>
      <c r="F41" s="3734" t="s">
        <v>1664</v>
      </c>
      <c r="G41" s="3753">
        <v>1000000</v>
      </c>
      <c r="H41" s="3754"/>
    </row>
    <row r="42" spans="2:8" ht="14.25" x14ac:dyDescent="0.2">
      <c r="B42" s="3736" t="s">
        <v>1738</v>
      </c>
      <c r="C42" s="3742">
        <f>'[1]4.CapInfo'!$J$39</f>
        <v>4381342</v>
      </c>
      <c r="D42" s="3738">
        <f>C42/C41</f>
        <v>0.43813419999999997</v>
      </c>
      <c r="E42" s="3735"/>
      <c r="F42" s="3736" t="s">
        <v>1656</v>
      </c>
      <c r="G42" s="3737">
        <f>'[1]4.CapInfo'!$N$39</f>
        <v>90833</v>
      </c>
      <c r="H42" s="3738">
        <f>G42/G41</f>
        <v>9.0832999999999997E-2</v>
      </c>
    </row>
    <row r="43" spans="2:8" ht="14.25" x14ac:dyDescent="0.2">
      <c r="B43" s="3736" t="s">
        <v>1739</v>
      </c>
      <c r="C43" s="3742">
        <f>'[1]4.CapInfo'!$J$40</f>
        <v>2490968</v>
      </c>
      <c r="D43" s="3738">
        <f>C43/C41</f>
        <v>0.24909680000000001</v>
      </c>
      <c r="E43" s="3735"/>
      <c r="F43" s="3736" t="s">
        <v>1507</v>
      </c>
      <c r="G43" s="3737">
        <f>'[1]4.CapInfo'!$N$40</f>
        <v>909167</v>
      </c>
      <c r="H43" s="3738">
        <f>G43/G41</f>
        <v>0.90916699999999995</v>
      </c>
    </row>
    <row r="44" spans="2:8" ht="14.25" x14ac:dyDescent="0.2">
      <c r="B44" s="3736" t="s">
        <v>1740</v>
      </c>
      <c r="C44" s="3742">
        <f>'[1]4.CapInfo'!$J$41</f>
        <v>2490968</v>
      </c>
      <c r="D44" s="3738">
        <f>C44/C41</f>
        <v>0.24909680000000001</v>
      </c>
      <c r="E44" s="3735"/>
      <c r="F44" s="3736" t="s">
        <v>44</v>
      </c>
      <c r="G44" s="3737">
        <f>'[1]4.CapInfo'!$N$41</f>
        <v>90833</v>
      </c>
      <c r="H44" s="3738">
        <f>G44/G41</f>
        <v>9.0832999999999997E-2</v>
      </c>
    </row>
    <row r="45" spans="2:8" ht="15" thickBot="1" x14ac:dyDescent="0.25">
      <c r="B45" s="3739" t="s">
        <v>1657</v>
      </c>
      <c r="C45" s="3743">
        <f>C41-C44</f>
        <v>7509032</v>
      </c>
      <c r="D45" s="3741">
        <f>C45/C41</f>
        <v>0.75090319999999999</v>
      </c>
      <c r="E45" s="3735"/>
      <c r="F45" s="3739" t="s">
        <v>1657</v>
      </c>
      <c r="G45" s="3740">
        <f>G41-G44</f>
        <v>909167</v>
      </c>
      <c r="H45" s="3741">
        <f>G45/G41</f>
        <v>0.90916699999999995</v>
      </c>
    </row>
    <row r="46" spans="2:8" ht="14.25" x14ac:dyDescent="0.2">
      <c r="B46" s="3734" t="s">
        <v>1745</v>
      </c>
      <c r="C46" s="3755">
        <v>15000000</v>
      </c>
      <c r="D46" s="3754"/>
      <c r="E46" s="3735"/>
      <c r="F46" s="3734" t="s">
        <v>1746</v>
      </c>
      <c r="G46" s="3753">
        <v>1200000</v>
      </c>
      <c r="H46" s="3754"/>
    </row>
    <row r="47" spans="2:8" ht="14.25" x14ac:dyDescent="0.2">
      <c r="B47" s="3736" t="s">
        <v>1738</v>
      </c>
      <c r="C47" s="3742">
        <f>'[1]4.CapInfo'!$J$44</f>
        <v>4331442</v>
      </c>
      <c r="D47" s="3738">
        <f>C47/C46</f>
        <v>0.28876279999999999</v>
      </c>
      <c r="E47" s="3735"/>
      <c r="F47" s="3736" t="s">
        <v>1656</v>
      </c>
      <c r="G47" s="3737">
        <f>'[1]4.CapInfo'!$N$44</f>
        <v>946733</v>
      </c>
      <c r="H47" s="3738">
        <f>G47/G46</f>
        <v>0.78894416666666667</v>
      </c>
    </row>
    <row r="48" spans="2:8" ht="14.25" x14ac:dyDescent="0.2">
      <c r="B48" s="3736" t="s">
        <v>1739</v>
      </c>
      <c r="C48" s="3742">
        <f>'[1]4.CapInfo'!$J$45</f>
        <v>4344838</v>
      </c>
      <c r="D48" s="3738">
        <f>C48/C46</f>
        <v>0.28965586666666665</v>
      </c>
      <c r="E48" s="3735"/>
      <c r="F48" s="3736" t="s">
        <v>1507</v>
      </c>
      <c r="G48" s="3737">
        <f>'[1]4.CapInfo'!$N$45</f>
        <v>253267</v>
      </c>
      <c r="H48" s="3738">
        <f>G48/G46</f>
        <v>0.21105583333333333</v>
      </c>
    </row>
    <row r="49" spans="2:8" ht="14.25" x14ac:dyDescent="0.2">
      <c r="B49" s="3736" t="s">
        <v>1740</v>
      </c>
      <c r="C49" s="3744">
        <f>'[1]4.CapInfo'!$J$46</f>
        <v>4344838</v>
      </c>
      <c r="D49" s="3738">
        <f>C49/C46</f>
        <v>0.28965586666666665</v>
      </c>
      <c r="E49" s="3735"/>
      <c r="F49" s="3736" t="s">
        <v>44</v>
      </c>
      <c r="G49" s="3737">
        <f>'[1]4.CapInfo'!$N$46</f>
        <v>946733</v>
      </c>
      <c r="H49" s="3738">
        <f>G49/G46</f>
        <v>0.78894416666666667</v>
      </c>
    </row>
    <row r="50" spans="2:8" ht="15" thickBot="1" x14ac:dyDescent="0.25">
      <c r="B50" s="3739" t="s">
        <v>1657</v>
      </c>
      <c r="C50" s="3743">
        <f>C46-C49</f>
        <v>10655162</v>
      </c>
      <c r="D50" s="3741">
        <f>C50/C46</f>
        <v>0.71034413333333335</v>
      </c>
      <c r="E50" s="3735"/>
      <c r="F50" s="3739" t="s">
        <v>1657</v>
      </c>
      <c r="G50" s="3740">
        <f>G46-G49</f>
        <v>253267</v>
      </c>
      <c r="H50" s="3741">
        <f>G50/G46</f>
        <v>0.21105583333333333</v>
      </c>
    </row>
    <row r="51" spans="2:8" ht="14.25" x14ac:dyDescent="0.2">
      <c r="B51" s="3734" t="s">
        <v>1665</v>
      </c>
      <c r="C51" s="3755">
        <v>10000000</v>
      </c>
      <c r="D51" s="3754"/>
      <c r="E51" s="3735"/>
      <c r="F51" s="3734" t="s">
        <v>1747</v>
      </c>
      <c r="G51" s="3753">
        <v>1500000</v>
      </c>
      <c r="H51" s="3754"/>
    </row>
    <row r="52" spans="2:8" ht="14.25" x14ac:dyDescent="0.2">
      <c r="B52" s="3736" t="s">
        <v>1738</v>
      </c>
      <c r="C52" s="3742">
        <f>'[1]4.CapInfo'!$J$49</f>
        <v>6058943</v>
      </c>
      <c r="D52" s="3738">
        <f>C52/C51</f>
        <v>0.6058943</v>
      </c>
      <c r="E52" s="3735"/>
      <c r="F52" s="3736" t="s">
        <v>1656</v>
      </c>
      <c r="G52" s="3737">
        <f>'[1]4.CapInfo'!$N$49</f>
        <v>1359763</v>
      </c>
      <c r="H52" s="3738">
        <f>G52/G51</f>
        <v>0.90650866666666663</v>
      </c>
    </row>
    <row r="53" spans="2:8" ht="14.25" x14ac:dyDescent="0.2">
      <c r="B53" s="3736" t="s">
        <v>1739</v>
      </c>
      <c r="C53" s="3742">
        <f>'[1]4.CapInfo'!$J$50</f>
        <v>4880102</v>
      </c>
      <c r="D53" s="3738">
        <f>C53/C51</f>
        <v>0.48801020000000001</v>
      </c>
      <c r="E53" s="3735"/>
      <c r="F53" s="3736" t="s">
        <v>1507</v>
      </c>
      <c r="G53" s="3737">
        <f>'[1]4.CapInfo'!$N$50</f>
        <v>140237</v>
      </c>
      <c r="H53" s="3738">
        <f>G53/G51</f>
        <v>9.3491333333333329E-2</v>
      </c>
    </row>
    <row r="54" spans="2:8" ht="14.25" x14ac:dyDescent="0.2">
      <c r="B54" s="3736" t="s">
        <v>1740</v>
      </c>
      <c r="C54" s="3744">
        <f>'[1]4.CapInfo'!$J$51</f>
        <v>4880103</v>
      </c>
      <c r="D54" s="3738">
        <f>C54/C51</f>
        <v>0.48801030000000001</v>
      </c>
      <c r="E54" s="3735"/>
      <c r="F54" s="3736" t="s">
        <v>44</v>
      </c>
      <c r="G54" s="3737">
        <f>'[1]4.CapInfo'!$N$51</f>
        <v>1359763</v>
      </c>
      <c r="H54" s="3738">
        <f>G54/G51</f>
        <v>0.90650866666666663</v>
      </c>
    </row>
    <row r="55" spans="2:8" ht="15" thickBot="1" x14ac:dyDescent="0.25">
      <c r="B55" s="3891" t="s">
        <v>1657</v>
      </c>
      <c r="C55" s="3892">
        <f>C51-C54</f>
        <v>5119897</v>
      </c>
      <c r="D55" s="3893">
        <f>C55/C51</f>
        <v>0.51198969999999999</v>
      </c>
      <c r="E55" s="3735"/>
      <c r="F55" s="3891" t="s">
        <v>1657</v>
      </c>
      <c r="G55" s="3894">
        <f>G51-G54</f>
        <v>140237</v>
      </c>
      <c r="H55" s="3893">
        <f>G55/G51</f>
        <v>9.3491333333333329E-2</v>
      </c>
    </row>
    <row r="56" spans="2:8" ht="14.25" x14ac:dyDescent="0.2">
      <c r="B56" s="3734" t="s">
        <v>1737</v>
      </c>
      <c r="C56" s="3755">
        <v>10000000</v>
      </c>
      <c r="D56" s="3754"/>
      <c r="E56" s="3735"/>
      <c r="F56" s="3734" t="s">
        <v>1737</v>
      </c>
      <c r="G56" s="3753">
        <v>1000000</v>
      </c>
      <c r="H56" s="3754"/>
    </row>
    <row r="57" spans="2:8" ht="14.25" x14ac:dyDescent="0.2">
      <c r="B57" s="3736" t="s">
        <v>1738</v>
      </c>
      <c r="C57" s="3742">
        <f>'[1]4.CapInfo'!$J$54</f>
        <v>1485723</v>
      </c>
      <c r="D57" s="3738">
        <f>C57/C56</f>
        <v>0.14857229999999999</v>
      </c>
      <c r="E57" s="3735"/>
      <c r="F57" s="3736" t="s">
        <v>1656</v>
      </c>
      <c r="G57" s="3737">
        <f>'[1]4.CapInfo'!$N$54</f>
        <v>166324</v>
      </c>
      <c r="H57" s="3738">
        <f>G57/G56</f>
        <v>0.166324</v>
      </c>
    </row>
    <row r="58" spans="2:8" ht="14.25" x14ac:dyDescent="0.2">
      <c r="B58" s="3736" t="s">
        <v>1739</v>
      </c>
      <c r="C58" s="3742">
        <f>'[1]4.CapInfo'!$J$55</f>
        <v>0</v>
      </c>
      <c r="D58" s="3738">
        <f>C58/C56</f>
        <v>0</v>
      </c>
      <c r="E58" s="3735"/>
      <c r="F58" s="3736" t="s">
        <v>1507</v>
      </c>
      <c r="G58" s="3737">
        <f>'[1]4.CapInfo'!$N$55</f>
        <v>833676</v>
      </c>
      <c r="H58" s="3738">
        <f>G58/G56</f>
        <v>0.83367599999999997</v>
      </c>
    </row>
    <row r="59" spans="2:8" ht="14.25" x14ac:dyDescent="0.2">
      <c r="B59" s="3736" t="s">
        <v>1740</v>
      </c>
      <c r="C59" s="3744">
        <f>'[1]4.CapInfo'!$J$56</f>
        <v>1485723</v>
      </c>
      <c r="D59" s="3738">
        <f>C59/C56</f>
        <v>0.14857229999999999</v>
      </c>
      <c r="E59" s="3735"/>
      <c r="F59" s="3736" t="s">
        <v>44</v>
      </c>
      <c r="G59" s="3737">
        <f>'[1]4.CapInfo'!$N$56</f>
        <v>166324</v>
      </c>
      <c r="H59" s="3738">
        <f>G59/G56</f>
        <v>0.166324</v>
      </c>
    </row>
    <row r="60" spans="2:8" ht="15" thickBot="1" x14ac:dyDescent="0.25">
      <c r="B60" s="3745" t="s">
        <v>1657</v>
      </c>
      <c r="C60" s="3746">
        <f>C56-C59</f>
        <v>8514277</v>
      </c>
      <c r="D60" s="3747">
        <f>C60/C56</f>
        <v>0.85142770000000001</v>
      </c>
      <c r="E60" s="3735"/>
      <c r="F60" s="3745" t="s">
        <v>1657</v>
      </c>
      <c r="G60" s="3748">
        <f>G56-G59</f>
        <v>833676</v>
      </c>
      <c r="H60" s="3747">
        <f>G60/G56</f>
        <v>0.83367599999999997</v>
      </c>
    </row>
    <row r="61" spans="2:8" ht="13.5" thickTop="1" x14ac:dyDescent="0.2">
      <c r="B61" s="413"/>
      <c r="D61" s="3633"/>
      <c r="H61" s="3633"/>
    </row>
    <row r="62" spans="2:8" x14ac:dyDescent="0.2">
      <c r="B62" s="413"/>
      <c r="D62" s="3633"/>
      <c r="H62" s="3633"/>
    </row>
    <row r="63" spans="2:8" x14ac:dyDescent="0.2">
      <c r="B63" s="408" t="s">
        <v>1748</v>
      </c>
      <c r="C63" s="413"/>
      <c r="D63" s="3895"/>
      <c r="E63" s="413"/>
      <c r="F63" s="413"/>
      <c r="G63" s="413"/>
      <c r="H63" s="3895"/>
    </row>
    <row r="64" spans="2:8" x14ac:dyDescent="0.2">
      <c r="B64" s="1877" t="s">
        <v>1749</v>
      </c>
      <c r="C64" s="3896"/>
      <c r="D64" s="3895"/>
      <c r="E64" s="413"/>
      <c r="F64" s="3897"/>
      <c r="G64" s="3898"/>
      <c r="H64" s="3895"/>
    </row>
    <row r="65" spans="2:8" x14ac:dyDescent="0.2">
      <c r="B65" s="3899" t="s">
        <v>1750</v>
      </c>
      <c r="C65" s="1747"/>
      <c r="D65" s="3895"/>
      <c r="E65" s="413"/>
      <c r="F65" s="413"/>
      <c r="G65" s="413"/>
      <c r="H65" s="3895"/>
    </row>
    <row r="66" spans="2:8" x14ac:dyDescent="0.2">
      <c r="B66" s="413" t="s">
        <v>1751</v>
      </c>
      <c r="D66" s="3633"/>
      <c r="H66" s="3633"/>
    </row>
    <row r="67" spans="2:8" x14ac:dyDescent="0.2">
      <c r="B67" s="413" t="s">
        <v>1752</v>
      </c>
      <c r="D67" s="3633"/>
      <c r="H67" s="3633"/>
    </row>
    <row r="68" spans="2:8" x14ac:dyDescent="0.2">
      <c r="B68" s="413" t="s">
        <v>1753</v>
      </c>
      <c r="D68" s="3633"/>
      <c r="H68" s="3633"/>
    </row>
    <row r="69" spans="2:8" x14ac:dyDescent="0.2">
      <c r="B69" s="413"/>
      <c r="D69" s="3633"/>
      <c r="H69" s="3633"/>
    </row>
    <row r="70" spans="2:8" x14ac:dyDescent="0.2">
      <c r="B70" s="4119" t="s">
        <v>1754</v>
      </c>
      <c r="C70" s="4119"/>
      <c r="D70" s="4119"/>
      <c r="E70" s="4119"/>
      <c r="F70" s="4119"/>
      <c r="G70" s="4119"/>
      <c r="H70" s="4119"/>
    </row>
    <row r="71" spans="2:8" x14ac:dyDescent="0.2">
      <c r="B71" s="77" t="s">
        <v>1755</v>
      </c>
      <c r="D71" s="3633"/>
      <c r="H71" s="3633"/>
    </row>
    <row r="72" spans="2:8" x14ac:dyDescent="0.2">
      <c r="B72" s="3900" t="s">
        <v>1756</v>
      </c>
      <c r="C72" s="413" t="s">
        <v>1656</v>
      </c>
      <c r="D72" s="3633">
        <f>AVERAGE(D8,D13,D18,D23,D28,D33,D38,D43,D48,D53)</f>
        <v>0.42624852367149763</v>
      </c>
      <c r="F72" s="3900" t="s">
        <v>1757</v>
      </c>
      <c r="G72" s="413" t="s">
        <v>1656</v>
      </c>
      <c r="H72" s="3633">
        <f>AVERAGE(H8,H13,H18,H23,H28,H33,H38,H43,H48,H53,H58)</f>
        <v>0.73177510606060603</v>
      </c>
    </row>
    <row r="73" spans="2:8" x14ac:dyDescent="0.2">
      <c r="B73" s="3900" t="s">
        <v>1756</v>
      </c>
      <c r="C73" s="413" t="s">
        <v>1321</v>
      </c>
      <c r="D73" s="3633">
        <f>AVERAGE(D10,D15,D20,D25,D30,D35,D40,D45,D50,D55)</f>
        <v>0.7158740828985507</v>
      </c>
      <c r="F73" s="3900" t="s">
        <v>1757</v>
      </c>
      <c r="G73" s="413" t="s">
        <v>1321</v>
      </c>
      <c r="H73" s="3633">
        <f>AVERAGE(H10,H15,H20,H25,H30,H35,H40,H45,H50,H55,H60)</f>
        <v>0.76545719696969694</v>
      </c>
    </row>
    <row r="74" spans="2:8" x14ac:dyDescent="0.2">
      <c r="D74" s="3633"/>
      <c r="F74" s="3900" t="s">
        <v>1758</v>
      </c>
      <c r="G74" s="413" t="s">
        <v>1656</v>
      </c>
      <c r="H74" s="3633">
        <f>AVERAGE(H23,H28,H33,H38,H43,H48,H53)</f>
        <v>0.60226430952380949</v>
      </c>
    </row>
    <row r="75" spans="2:8" x14ac:dyDescent="0.2">
      <c r="D75" s="3633"/>
      <c r="F75" s="3900" t="s">
        <v>1758</v>
      </c>
      <c r="G75" s="413" t="s">
        <v>1321</v>
      </c>
      <c r="H75" s="3633">
        <f>AVERAGE(H25,H30,H35,H40,H45,H50,H55)</f>
        <v>0.6551933095238095</v>
      </c>
    </row>
  </sheetData>
  <mergeCells count="4">
    <mergeCell ref="B2:H2"/>
    <mergeCell ref="B1:H1"/>
    <mergeCell ref="B3:H3"/>
    <mergeCell ref="B70:H70"/>
  </mergeCells>
  <pageMargins left="0.7" right="0.7" top="0.75" bottom="0.75" header="0.3" footer="0.3"/>
  <pageSetup scale="9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B1:T27"/>
  <sheetViews>
    <sheetView workbookViewId="0">
      <selection activeCell="N22" sqref="N22"/>
    </sheetView>
  </sheetViews>
  <sheetFormatPr defaultRowHeight="12.75" x14ac:dyDescent="0.2"/>
  <cols>
    <col min="1" max="1" width="5.28515625" customWidth="1"/>
    <col min="2" max="2" width="46.7109375" customWidth="1"/>
    <col min="3" max="8" width="16.7109375" hidden="1" customWidth="1"/>
    <col min="9" max="10" width="16.7109375" customWidth="1"/>
    <col min="11" max="11" width="16.7109375" bestFit="1" customWidth="1"/>
    <col min="12" max="12" width="15" customWidth="1"/>
    <col min="13" max="13" width="16.7109375" bestFit="1" customWidth="1"/>
    <col min="14" max="14" width="15" customWidth="1"/>
    <col min="15" max="15" width="16.7109375" bestFit="1" customWidth="1"/>
    <col min="16" max="16" width="15" customWidth="1"/>
    <col min="17" max="17" width="16.7109375" bestFit="1" customWidth="1"/>
    <col min="18" max="18" width="15" customWidth="1"/>
    <col min="19" max="19" width="15.42578125" bestFit="1" customWidth="1"/>
    <col min="20" max="20" width="11.140625" bestFit="1" customWidth="1"/>
  </cols>
  <sheetData>
    <row r="1" spans="2:20" ht="13.5" thickBot="1" x14ac:dyDescent="0.25"/>
    <row r="2" spans="2:20" ht="18.75" thickTop="1" x14ac:dyDescent="0.2">
      <c r="B2" s="4378" t="s">
        <v>1793</v>
      </c>
      <c r="C2" s="4382">
        <v>2010</v>
      </c>
      <c r="D2" s="4383"/>
      <c r="E2" s="4384">
        <v>2011</v>
      </c>
      <c r="F2" s="4385"/>
      <c r="G2" s="4382">
        <v>2012</v>
      </c>
      <c r="H2" s="4386"/>
      <c r="I2" s="4380">
        <v>2013</v>
      </c>
      <c r="J2" s="4381"/>
      <c r="K2" s="4376">
        <v>2014</v>
      </c>
      <c r="L2" s="4387"/>
      <c r="M2" s="4380">
        <v>2015</v>
      </c>
      <c r="N2" s="4381"/>
      <c r="O2" s="4376">
        <v>2016</v>
      </c>
      <c r="P2" s="4377"/>
      <c r="Q2" s="4376">
        <v>2017</v>
      </c>
      <c r="R2" s="4377"/>
      <c r="S2" s="4376">
        <v>2018</v>
      </c>
      <c r="T2" s="4377"/>
    </row>
    <row r="3" spans="2:20" ht="21.75" thickBot="1" x14ac:dyDescent="0.25">
      <c r="B3" s="4379"/>
      <c r="C3" s="2952" t="s">
        <v>1380</v>
      </c>
      <c r="D3" s="2951" t="s">
        <v>271</v>
      </c>
      <c r="E3" s="2952" t="s">
        <v>1380</v>
      </c>
      <c r="F3" s="2951" t="s">
        <v>271</v>
      </c>
      <c r="G3" s="2952" t="s">
        <v>1380</v>
      </c>
      <c r="H3" s="2987" t="s">
        <v>271</v>
      </c>
      <c r="I3" s="2952" t="s">
        <v>1380</v>
      </c>
      <c r="J3" s="2951" t="s">
        <v>271</v>
      </c>
      <c r="K3" s="3415" t="s">
        <v>1380</v>
      </c>
      <c r="L3" s="2987" t="s">
        <v>271</v>
      </c>
      <c r="M3" s="2952" t="s">
        <v>1380</v>
      </c>
      <c r="N3" s="2951" t="s">
        <v>271</v>
      </c>
      <c r="O3" s="3415" t="s">
        <v>1380</v>
      </c>
      <c r="P3" s="2954" t="s">
        <v>1668</v>
      </c>
      <c r="Q3" s="3415" t="s">
        <v>1380</v>
      </c>
      <c r="R3" s="2954" t="s">
        <v>1668</v>
      </c>
      <c r="S3" s="3415" t="s">
        <v>1380</v>
      </c>
      <c r="T3" s="2954" t="s">
        <v>1668</v>
      </c>
    </row>
    <row r="4" spans="2:20" ht="25.5" customHeight="1" thickTop="1" thickBot="1" x14ac:dyDescent="0.3">
      <c r="B4" s="2947" t="s">
        <v>1386</v>
      </c>
      <c r="C4" s="2994" t="s">
        <v>1381</v>
      </c>
      <c r="D4" s="2950"/>
      <c r="E4" s="2953"/>
      <c r="F4" s="2948"/>
      <c r="G4" s="2948"/>
      <c r="H4" s="2948"/>
      <c r="I4" s="2953"/>
      <c r="J4" s="3790"/>
      <c r="K4" s="2948"/>
      <c r="L4" s="2948"/>
      <c r="M4" s="2953"/>
      <c r="N4" s="3790"/>
      <c r="O4" s="2948"/>
      <c r="P4" s="2949"/>
      <c r="Q4" s="2948"/>
      <c r="R4" s="2949"/>
      <c r="S4" s="2948"/>
      <c r="T4" s="2949"/>
    </row>
    <row r="5" spans="2:20" ht="16.5" thickTop="1" x14ac:dyDescent="0.25">
      <c r="B5" s="2955" t="s">
        <v>1382</v>
      </c>
      <c r="C5" s="2959">
        <f>'TABLE 6'!$F$19</f>
        <v>1031380.1147205125</v>
      </c>
      <c r="D5" s="2960">
        <f>'TABLE 6'!$F$27</f>
        <v>1249733</v>
      </c>
      <c r="E5" s="2961">
        <f>'TABLE 6'!$G$19</f>
        <v>1590095.7920605591</v>
      </c>
      <c r="F5" s="2960">
        <f>'TABLE 6'!$G$27</f>
        <v>1852263</v>
      </c>
      <c r="G5" s="2959">
        <f>'TABLE 6'!$H$19</f>
        <v>3016478.6456820588</v>
      </c>
      <c r="H5" s="2988">
        <f>'TABLE 6'!$H$27</f>
        <v>2903935</v>
      </c>
      <c r="I5" s="3975">
        <f>'TABLE 6'!I19</f>
        <v>4137979.6190983797</v>
      </c>
      <c r="J5" s="3976">
        <f>'TABLE 6'!I27</f>
        <v>3751728</v>
      </c>
      <c r="K5" s="3977">
        <f>'TABLE 6'!J19</f>
        <v>4573359.4865829833</v>
      </c>
      <c r="L5" s="3978">
        <f>'TABLE 6'!J27</f>
        <v>4217057</v>
      </c>
      <c r="M5" s="3975">
        <f>'TABLE 6'!K19</f>
        <v>4625032.1902715806</v>
      </c>
      <c r="N5" s="3976">
        <f>'TABLE 6'!K27</f>
        <v>3473616</v>
      </c>
      <c r="O5" s="3977">
        <f>'[1]20.AggregateData'!$L$23</f>
        <v>4665662.9279001951</v>
      </c>
      <c r="P5" s="3979"/>
      <c r="Q5" s="3977">
        <f>'[1]20.AggregateData'!$M$23</f>
        <v>3773150.2503777565</v>
      </c>
      <c r="R5" s="3979"/>
      <c r="S5" s="3977">
        <f>'[1]20.AggregateData'!$N$23</f>
        <v>2802616.5965585536</v>
      </c>
      <c r="T5" s="3979"/>
    </row>
    <row r="6" spans="2:20" ht="15.75" x14ac:dyDescent="0.25">
      <c r="B6" s="2956" t="s">
        <v>1383</v>
      </c>
      <c r="C6" s="2962">
        <f>'TABLE 6'!F15</f>
        <v>220</v>
      </c>
      <c r="D6" s="2963">
        <f>'TABLE 6'!F23</f>
        <v>606</v>
      </c>
      <c r="E6" s="2964">
        <f>'TABLE 6'!G15</f>
        <v>361</v>
      </c>
      <c r="F6" s="2963">
        <f>'TABLE 6'!G23</f>
        <v>844</v>
      </c>
      <c r="G6" s="3801">
        <f>'TABLE 6'!H15</f>
        <v>548</v>
      </c>
      <c r="H6" s="3802">
        <f>'TABLE 6'!H23</f>
        <v>806</v>
      </c>
      <c r="I6" s="3980">
        <f>'TABLE 6'!I15</f>
        <v>414</v>
      </c>
      <c r="J6" s="3981">
        <f>'TABLE 6'!I23</f>
        <v>859</v>
      </c>
      <c r="K6" s="3982">
        <f>'TABLE 6'!J15</f>
        <v>327</v>
      </c>
      <c r="L6" s="3983">
        <f>'TABLE 6'!J23</f>
        <v>853</v>
      </c>
      <c r="M6" s="3980">
        <f>'TABLE 6'!K15</f>
        <v>278</v>
      </c>
      <c r="N6" s="3981">
        <f>'TABLE 6'!K23</f>
        <v>773</v>
      </c>
      <c r="O6" s="3982">
        <f>'[1]20.AggregateData'!K32</f>
        <v>195</v>
      </c>
      <c r="P6" s="3984"/>
      <c r="Q6" s="3982">
        <f>'[1]20.AggregateData'!L32</f>
        <v>193</v>
      </c>
      <c r="R6" s="3984"/>
      <c r="S6" s="3982">
        <f>'[1]20.AggregateData'!M32</f>
        <v>196</v>
      </c>
      <c r="T6" s="3984"/>
    </row>
    <row r="7" spans="2:20" ht="15.75" x14ac:dyDescent="0.25">
      <c r="B7" s="2956" t="s">
        <v>1232</v>
      </c>
      <c r="C7" s="2965">
        <f>'TABLE 6'!F16</f>
        <v>12703748</v>
      </c>
      <c r="D7" s="2966">
        <f>'TABLE 6'!F24</f>
        <v>34555726</v>
      </c>
      <c r="E7" s="2967">
        <f>'TABLE 6'!G16</f>
        <v>16659450</v>
      </c>
      <c r="F7" s="2966">
        <f>'TABLE 6'!G24</f>
        <v>54269760</v>
      </c>
      <c r="G7" s="2965">
        <f>'TABLE 6'!H16</f>
        <v>26325908</v>
      </c>
      <c r="H7" s="2989">
        <f>'TABLE 6'!H24</f>
        <v>62298865</v>
      </c>
      <c r="I7" s="3985">
        <f>'TABLE 6'!I16</f>
        <v>18791423</v>
      </c>
      <c r="J7" s="3986">
        <f>'TABLE 6'!I24</f>
        <v>55490232</v>
      </c>
      <c r="K7" s="3987">
        <f>'TABLE 6'!J16</f>
        <v>14482251</v>
      </c>
      <c r="L7" s="3988">
        <f>'TABLE 6'!J24</f>
        <v>50955135</v>
      </c>
      <c r="M7" s="3985">
        <f>'[5]11. Aggregate'!$J$33</f>
        <v>13672683</v>
      </c>
      <c r="N7" s="3986">
        <f>'TABLE 6'!K24</f>
        <v>39177270</v>
      </c>
      <c r="O7" s="3987">
        <f>'[1]20.AggregateData'!K33</f>
        <v>9422086</v>
      </c>
      <c r="P7" s="3989"/>
      <c r="Q7" s="3987">
        <f>'[1]20.AggregateData'!L33</f>
        <v>8415275</v>
      </c>
      <c r="R7" s="3989"/>
      <c r="S7" s="3987">
        <f>'[1]20.AggregateData'!M33</f>
        <v>6779631</v>
      </c>
      <c r="T7" s="3989"/>
    </row>
    <row r="8" spans="2:20" ht="15.75" x14ac:dyDescent="0.25">
      <c r="B8" s="2956" t="s">
        <v>1395</v>
      </c>
      <c r="C8" s="2965">
        <f>'TABLE 6'!F18</f>
        <v>20763000</v>
      </c>
      <c r="D8" s="2966">
        <f>'TABLE 6'!F26</f>
        <v>47475449</v>
      </c>
      <c r="E8" s="2967">
        <f>'TABLE 6'!G18</f>
        <v>63192599</v>
      </c>
      <c r="F8" s="2966">
        <f>'TABLE 6'!G26</f>
        <v>121412913</v>
      </c>
      <c r="G8" s="2965">
        <f>'TABLE 6'!H18</f>
        <v>166153840</v>
      </c>
      <c r="H8" s="2989">
        <f>'TABLE 6'!H26</f>
        <v>262489273</v>
      </c>
      <c r="I8" s="3985">
        <f>'TABLE 6'!I18</f>
        <v>133237344</v>
      </c>
      <c r="J8" s="3986">
        <f>'TABLE 6'!I26</f>
        <v>128030075</v>
      </c>
      <c r="K8" s="3987">
        <f>'TABLE 6'!J18</f>
        <v>128593320</v>
      </c>
      <c r="L8" s="3988">
        <f>'TABLE 6'!J26</f>
        <v>59241141</v>
      </c>
      <c r="M8" s="3985">
        <f>'[5]11. Aggregate'!$J$34</f>
        <v>28711664</v>
      </c>
      <c r="N8" s="3986">
        <f>'TABLE 6'!K26</f>
        <v>88946890</v>
      </c>
      <c r="O8" s="3987">
        <f>'[1]20.AggregateData'!K34</f>
        <v>51885184</v>
      </c>
      <c r="P8" s="3989"/>
      <c r="Q8" s="3987">
        <f>'[1]20.AggregateData'!L34</f>
        <v>50214260</v>
      </c>
      <c r="R8" s="3989"/>
      <c r="S8" s="3987">
        <f>'[1]20.AggregateData'!M34</f>
        <v>35067500</v>
      </c>
      <c r="T8" s="3989"/>
    </row>
    <row r="9" spans="2:20" ht="16.5" thickBot="1" x14ac:dyDescent="0.3">
      <c r="B9" s="2957" t="s">
        <v>1384</v>
      </c>
      <c r="C9" s="2983">
        <f>'TABLE 6'!$F$20</f>
        <v>2122358.2250572033</v>
      </c>
      <c r="D9" s="3045">
        <f>'TABLE 6'!$F$28</f>
        <v>1643100</v>
      </c>
      <c r="E9" s="2969">
        <f>'TABLE 6'!$G$20</f>
        <v>3456467.5083639743</v>
      </c>
      <c r="F9" s="3046">
        <f>'TABLE 6'!$G$28</f>
        <v>2580700</v>
      </c>
      <c r="G9" s="2968">
        <f>'TABLE 6'!$H$20</f>
        <v>5575626.7407451198</v>
      </c>
      <c r="H9" s="2990">
        <f>'TABLE 6'!$H$28</f>
        <v>6282691</v>
      </c>
      <c r="I9" s="3990">
        <f>'TABLE 6'!I20</f>
        <v>5034123.0920713646</v>
      </c>
      <c r="J9" s="3991">
        <f>'TABLE 6'!I28</f>
        <v>8785291</v>
      </c>
      <c r="K9" s="3992">
        <f>'TABLE 6'!J20</f>
        <v>3814927.6281367047</v>
      </c>
      <c r="L9" s="3993">
        <f>'TABLE 6'!J28</f>
        <v>7769527</v>
      </c>
      <c r="M9" s="3990">
        <f>'[1]20.AggregateData'!$K$12</f>
        <v>2441259.4044725145</v>
      </c>
      <c r="N9" s="3994">
        <f>'TABLE 6'!K28</f>
        <v>6546164</v>
      </c>
      <c r="O9" s="3992">
        <f>'[1]20.AggregateData'!$L$12</f>
        <v>2026856.9309129831</v>
      </c>
      <c r="P9" s="3995"/>
      <c r="Q9" s="3992">
        <f>'[1]20.AggregateData'!$M$12</f>
        <v>2180285.455610957</v>
      </c>
      <c r="R9" s="3995"/>
      <c r="S9" s="3992">
        <f>'[1]20.AggregateData'!$N$12</f>
        <v>1803926.8085292366</v>
      </c>
      <c r="T9" s="3995"/>
    </row>
    <row r="10" spans="2:20" ht="19.5" thickTop="1" thickBot="1" x14ac:dyDescent="0.3">
      <c r="B10" s="2947" t="s">
        <v>1385</v>
      </c>
      <c r="C10" s="2948"/>
      <c r="D10" s="2948"/>
      <c r="E10" s="2948"/>
      <c r="F10" s="2948"/>
      <c r="G10" s="2948"/>
      <c r="H10" s="2948"/>
      <c r="I10" s="3996"/>
      <c r="J10" s="3997"/>
      <c r="K10" s="3998"/>
      <c r="L10" s="3998"/>
      <c r="M10" s="3996"/>
      <c r="N10" s="3997"/>
      <c r="O10" s="3998"/>
      <c r="P10" s="3999"/>
      <c r="Q10" s="3998"/>
      <c r="R10" s="3999"/>
      <c r="S10" s="3998"/>
      <c r="T10" s="3999"/>
    </row>
    <row r="11" spans="2:20" ht="16.5" thickTop="1" x14ac:dyDescent="0.25">
      <c r="B11" s="2958" t="s">
        <v>1387</v>
      </c>
      <c r="C11" s="2984">
        <f t="shared" ref="C11:H11" si="0">C9/C6</f>
        <v>9647.0828411691054</v>
      </c>
      <c r="D11" s="2985">
        <f t="shared" si="0"/>
        <v>2711.3861386138615</v>
      </c>
      <c r="E11" s="2961">
        <f t="shared" si="0"/>
        <v>9574.7022392353865</v>
      </c>
      <c r="F11" s="2960">
        <f t="shared" si="0"/>
        <v>3057.7014218009481</v>
      </c>
      <c r="G11" s="2959">
        <f t="shared" si="0"/>
        <v>10174.501351724672</v>
      </c>
      <c r="H11" s="2988">
        <f t="shared" si="0"/>
        <v>7794.9019851116627</v>
      </c>
      <c r="I11" s="4000">
        <f t="shared" ref="I11:O11" si="1">I9/I6</f>
        <v>12159.717613698949</v>
      </c>
      <c r="J11" s="4001">
        <f t="shared" si="1"/>
        <v>10227.346915017462</v>
      </c>
      <c r="K11" s="4002">
        <f t="shared" si="1"/>
        <v>11666.445345983806</v>
      </c>
      <c r="L11" s="4003">
        <f t="shared" si="1"/>
        <v>9108.4724501758501</v>
      </c>
      <c r="M11" s="4000">
        <f t="shared" si="1"/>
        <v>8781.5086491817074</v>
      </c>
      <c r="N11" s="4004">
        <f t="shared" si="1"/>
        <v>8468.5174644243216</v>
      </c>
      <c r="O11" s="4002">
        <f t="shared" si="1"/>
        <v>10394.138107246068</v>
      </c>
      <c r="P11" s="4005"/>
      <c r="Q11" s="4002">
        <f>Q9/Q6</f>
        <v>11296.815832181124</v>
      </c>
      <c r="R11" s="4005"/>
      <c r="S11" s="4002">
        <f>S9/S6</f>
        <v>9203.7082067818192</v>
      </c>
      <c r="T11" s="4005"/>
    </row>
    <row r="12" spans="2:20" ht="16.5" thickBot="1" x14ac:dyDescent="0.3">
      <c r="B12" s="2957" t="s">
        <v>1388</v>
      </c>
      <c r="C12" s="3047">
        <v>22</v>
      </c>
      <c r="D12" s="3048">
        <v>23</v>
      </c>
      <c r="E12" s="3049">
        <v>25</v>
      </c>
      <c r="F12" s="3048">
        <v>22</v>
      </c>
      <c r="G12" s="3799">
        <v>30</v>
      </c>
      <c r="H12" s="3800">
        <v>9</v>
      </c>
      <c r="I12" s="4006">
        <v>32</v>
      </c>
      <c r="J12" s="4007">
        <v>9</v>
      </c>
      <c r="K12" s="4008">
        <v>33</v>
      </c>
      <c r="L12" s="4009">
        <v>8</v>
      </c>
      <c r="M12" s="4006">
        <v>34</v>
      </c>
      <c r="N12" s="4007">
        <v>10</v>
      </c>
      <c r="O12" s="4008">
        <v>25</v>
      </c>
      <c r="P12" s="4010">
        <v>11</v>
      </c>
      <c r="Q12" s="4008">
        <v>20</v>
      </c>
      <c r="R12" s="4010"/>
      <c r="S12" s="4008">
        <v>20</v>
      </c>
      <c r="T12" s="4010"/>
    </row>
    <row r="13" spans="2:20" ht="19.5" thickTop="1" thickBot="1" x14ac:dyDescent="0.3">
      <c r="B13" s="2947" t="s">
        <v>1389</v>
      </c>
      <c r="C13" s="2948"/>
      <c r="D13" s="2948"/>
      <c r="E13" s="2948"/>
      <c r="F13" s="2948"/>
      <c r="G13" s="2948"/>
      <c r="H13" s="2948"/>
      <c r="I13" s="3996"/>
      <c r="J13" s="3997"/>
      <c r="K13" s="3998"/>
      <c r="L13" s="3998"/>
      <c r="M13" s="3996"/>
      <c r="N13" s="3997"/>
      <c r="O13" s="3998"/>
      <c r="P13" s="3999"/>
      <c r="Q13" s="3998"/>
      <c r="R13" s="3999"/>
      <c r="S13" s="3998"/>
      <c r="T13" s="3999"/>
    </row>
    <row r="14" spans="2:20" ht="16.5" thickTop="1" x14ac:dyDescent="0.25">
      <c r="B14" s="2958" t="s">
        <v>1390</v>
      </c>
      <c r="C14" s="2959">
        <v>509</v>
      </c>
      <c r="D14" s="2960">
        <v>380</v>
      </c>
      <c r="E14" s="2961">
        <v>476</v>
      </c>
      <c r="F14" s="2960">
        <f>180000/844</f>
        <v>213.27014218009478</v>
      </c>
      <c r="G14" s="2959">
        <v>422</v>
      </c>
      <c r="H14" s="2988">
        <f>180000/H6</f>
        <v>223.32506203473946</v>
      </c>
      <c r="I14" s="4000">
        <v>425</v>
      </c>
      <c r="J14" s="4011">
        <f>180000/J6</f>
        <v>209.54598370197905</v>
      </c>
      <c r="K14" s="4000">
        <v>350</v>
      </c>
      <c r="L14" s="4004">
        <f>180000/L6</f>
        <v>211.01992966002345</v>
      </c>
      <c r="M14" s="4000">
        <v>425</v>
      </c>
      <c r="N14" s="4004">
        <f>180000/N6</f>
        <v>232.85899094437258</v>
      </c>
      <c r="O14" s="4000">
        <v>425</v>
      </c>
      <c r="P14" s="4005"/>
      <c r="Q14" s="4000">
        <v>425</v>
      </c>
      <c r="R14" s="4005"/>
      <c r="S14" s="4000">
        <v>425</v>
      </c>
      <c r="T14" s="4005"/>
    </row>
    <row r="15" spans="2:20" ht="15.75" x14ac:dyDescent="0.25">
      <c r="B15" s="3792" t="s">
        <v>1694</v>
      </c>
      <c r="C15" s="3793"/>
      <c r="D15" s="3793"/>
      <c r="E15" s="3793"/>
      <c r="F15" s="3794"/>
      <c r="G15" s="3795" t="s">
        <v>454</v>
      </c>
      <c r="H15" s="3796" t="s">
        <v>454</v>
      </c>
      <c r="I15" s="4012" t="s">
        <v>454</v>
      </c>
      <c r="J15" s="4013" t="s">
        <v>454</v>
      </c>
      <c r="K15" s="4012" t="s">
        <v>454</v>
      </c>
      <c r="L15" s="4013" t="s">
        <v>454</v>
      </c>
      <c r="M15" s="4014" t="s">
        <v>454</v>
      </c>
      <c r="N15" s="4015">
        <v>0.3</v>
      </c>
      <c r="O15" s="4016">
        <v>0.35</v>
      </c>
      <c r="P15" s="4017">
        <v>0.27</v>
      </c>
      <c r="Q15" s="4016"/>
      <c r="R15" s="4017"/>
      <c r="S15" s="4016"/>
      <c r="T15" s="4017"/>
    </row>
    <row r="16" spans="2:20" ht="16.5" thickBot="1" x14ac:dyDescent="0.3">
      <c r="B16" s="3791" t="s">
        <v>1695</v>
      </c>
      <c r="C16" s="291"/>
      <c r="D16" s="291"/>
      <c r="E16" s="291"/>
      <c r="F16" s="291"/>
      <c r="G16" s="3797" t="s">
        <v>454</v>
      </c>
      <c r="H16" s="3798" t="s">
        <v>454</v>
      </c>
      <c r="I16" s="4018" t="s">
        <v>454</v>
      </c>
      <c r="J16" s="4019" t="s">
        <v>454</v>
      </c>
      <c r="K16" s="4018" t="s">
        <v>454</v>
      </c>
      <c r="L16" s="4019" t="s">
        <v>454</v>
      </c>
      <c r="M16" s="4020" t="s">
        <v>454</v>
      </c>
      <c r="N16" s="4021">
        <v>0.12</v>
      </c>
      <c r="O16" s="4022">
        <v>0.15</v>
      </c>
      <c r="P16" s="4023">
        <v>0.12</v>
      </c>
      <c r="Q16" s="4022"/>
      <c r="R16" s="4023"/>
      <c r="S16" s="4022"/>
      <c r="T16" s="4023"/>
    </row>
    <row r="17" spans="9:17" ht="13.5" thickTop="1" x14ac:dyDescent="0.2">
      <c r="J17" s="3934"/>
    </row>
    <row r="18" spans="9:17" x14ac:dyDescent="0.2">
      <c r="I18" s="5"/>
      <c r="J18" s="3936"/>
      <c r="K18" s="5"/>
      <c r="L18" s="5"/>
      <c r="M18" s="5"/>
      <c r="O18" s="5"/>
      <c r="Q18" s="5"/>
    </row>
    <row r="19" spans="9:17" x14ac:dyDescent="0.2">
      <c r="I19" s="5"/>
      <c r="J19" s="3936"/>
      <c r="K19" s="3604"/>
      <c r="L19" s="388"/>
      <c r="M19" s="5"/>
      <c r="O19" s="5"/>
      <c r="Q19" s="5"/>
    </row>
    <row r="20" spans="9:17" x14ac:dyDescent="0.2">
      <c r="I20" s="5"/>
      <c r="J20" s="1710"/>
      <c r="K20" s="3604"/>
      <c r="L20" s="388"/>
      <c r="M20" s="5"/>
      <c r="O20" s="5"/>
      <c r="Q20" s="5"/>
    </row>
    <row r="21" spans="9:17" x14ac:dyDescent="0.2">
      <c r="I21" s="5"/>
      <c r="J21" s="1710"/>
      <c r="K21" s="3604"/>
      <c r="L21" s="388"/>
      <c r="M21" s="5"/>
      <c r="O21" s="5"/>
      <c r="Q21" s="5"/>
    </row>
    <row r="22" spans="9:17" x14ac:dyDescent="0.2">
      <c r="I22" s="5"/>
      <c r="J22" s="1710"/>
      <c r="K22" s="3604"/>
      <c r="L22" s="388"/>
      <c r="M22" s="5"/>
      <c r="O22" s="5"/>
      <c r="Q22" s="5"/>
    </row>
    <row r="23" spans="9:17" x14ac:dyDescent="0.2">
      <c r="I23" s="5"/>
      <c r="J23" s="1710"/>
      <c r="K23" s="3604"/>
      <c r="L23" s="388"/>
      <c r="M23" s="5"/>
      <c r="O23" s="5"/>
      <c r="Q23" s="5"/>
    </row>
    <row r="24" spans="9:17" x14ac:dyDescent="0.2">
      <c r="I24" s="5"/>
      <c r="J24" s="1710"/>
      <c r="K24" s="3604"/>
      <c r="L24" s="388"/>
      <c r="M24" s="5"/>
      <c r="O24" s="5"/>
      <c r="Q24" s="5"/>
    </row>
    <row r="25" spans="9:17" x14ac:dyDescent="0.2">
      <c r="I25" s="5"/>
      <c r="J25" s="3605"/>
      <c r="K25" s="3604"/>
      <c r="L25" s="388"/>
      <c r="M25" s="5"/>
      <c r="O25" s="5"/>
      <c r="Q25" s="5"/>
    </row>
    <row r="26" spans="9:17" x14ac:dyDescent="0.2">
      <c r="I26" s="5"/>
      <c r="J26" s="1710"/>
      <c r="K26" s="3604"/>
      <c r="L26" s="388"/>
      <c r="M26" s="5"/>
      <c r="O26" s="5"/>
      <c r="Q26" s="5"/>
    </row>
    <row r="27" spans="9:17" x14ac:dyDescent="0.2">
      <c r="I27" s="5"/>
      <c r="J27" s="1710"/>
      <c r="K27" s="3604"/>
      <c r="L27" s="5"/>
      <c r="M27" s="5"/>
      <c r="O27" s="5"/>
      <c r="Q27" s="5"/>
    </row>
  </sheetData>
  <mergeCells count="10">
    <mergeCell ref="S2:T2"/>
    <mergeCell ref="Q2:R2"/>
    <mergeCell ref="O2:P2"/>
    <mergeCell ref="B2:B3"/>
    <mergeCell ref="M2:N2"/>
    <mergeCell ref="C2:D2"/>
    <mergeCell ref="E2:F2"/>
    <mergeCell ref="G2:H2"/>
    <mergeCell ref="I2:J2"/>
    <mergeCell ref="K2:L2"/>
  </mergeCells>
  <pageMargins left="0.7" right="0.7" top="0.75" bottom="0.75" header="0.3" footer="0.3"/>
  <pageSetup scale="5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O42"/>
  <sheetViews>
    <sheetView workbookViewId="0"/>
  </sheetViews>
  <sheetFormatPr defaultRowHeight="15" x14ac:dyDescent="0.25"/>
  <cols>
    <col min="1" max="1" width="54.28515625" style="2970" customWidth="1"/>
    <col min="2" max="2" width="12.28515625" style="3009" customWidth="1"/>
    <col min="3" max="3" width="13.5703125" style="3009" customWidth="1"/>
    <col min="4" max="4" width="10.28515625" style="3009" customWidth="1"/>
    <col min="5" max="7" width="11.42578125" style="3009" customWidth="1"/>
    <col min="8" max="8" width="13" style="3009" customWidth="1"/>
    <col min="9" max="9" width="14.42578125" style="3009" customWidth="1"/>
    <col min="10" max="10" width="17.140625" style="3010" customWidth="1"/>
    <col min="11" max="11" width="20" style="3010" customWidth="1"/>
    <col min="12" max="12" width="15.7109375" style="3010" bestFit="1" customWidth="1"/>
    <col min="13" max="13" width="13.85546875" style="2970" customWidth="1"/>
    <col min="14" max="14" width="12.28515625" style="2970" customWidth="1"/>
    <col min="15" max="15" width="9.7109375" style="2970" bestFit="1" customWidth="1"/>
    <col min="16" max="16" width="10.7109375" style="2970" customWidth="1"/>
    <col min="17" max="17" width="12.28515625" style="2970" customWidth="1"/>
    <col min="18" max="23" width="9.140625" style="2970"/>
    <col min="24" max="24" width="11.140625" style="2970" bestFit="1" customWidth="1"/>
    <col min="25" max="25" width="9.42578125" style="2970" bestFit="1" customWidth="1"/>
    <col min="26" max="28" width="11.140625" style="2970" bestFit="1" customWidth="1"/>
    <col min="29" max="258" width="9.140625" style="2970"/>
    <col min="259" max="259" width="54.28515625" style="2970" customWidth="1"/>
    <col min="260" max="260" width="12.28515625" style="2970" customWidth="1"/>
    <col min="261" max="261" width="13.5703125" style="2970" customWidth="1"/>
    <col min="262" max="262" width="25.85546875" style="2970" customWidth="1"/>
    <col min="263" max="263" width="11.42578125" style="2970" customWidth="1"/>
    <col min="264" max="264" width="13" style="2970" customWidth="1"/>
    <col min="265" max="265" width="14.42578125" style="2970" customWidth="1"/>
    <col min="266" max="266" width="17.140625" style="2970" customWidth="1"/>
    <col min="267" max="267" width="20" style="2970" customWidth="1"/>
    <col min="268" max="268" width="15.7109375" style="2970" bestFit="1" customWidth="1"/>
    <col min="269" max="269" width="13.85546875" style="2970" customWidth="1"/>
    <col min="270" max="270" width="12.28515625" style="2970" customWidth="1"/>
    <col min="271" max="271" width="9.7109375" style="2970" bestFit="1" customWidth="1"/>
    <col min="272" max="272" width="10.7109375" style="2970" customWidth="1"/>
    <col min="273" max="273" width="12.28515625" style="2970" customWidth="1"/>
    <col min="274" max="279" width="9.140625" style="2970"/>
    <col min="280" max="280" width="11.140625" style="2970" bestFit="1" customWidth="1"/>
    <col min="281" max="281" width="9.42578125" style="2970" bestFit="1" customWidth="1"/>
    <col min="282" max="284" width="11.140625" style="2970" bestFit="1" customWidth="1"/>
    <col min="285" max="514" width="9.140625" style="2970"/>
    <col min="515" max="515" width="54.28515625" style="2970" customWidth="1"/>
    <col min="516" max="516" width="12.28515625" style="2970" customWidth="1"/>
    <col min="517" max="517" width="13.5703125" style="2970" customWidth="1"/>
    <col min="518" max="518" width="25.85546875" style="2970" customWidth="1"/>
    <col min="519" max="519" width="11.42578125" style="2970" customWidth="1"/>
    <col min="520" max="520" width="13" style="2970" customWidth="1"/>
    <col min="521" max="521" width="14.42578125" style="2970" customWidth="1"/>
    <col min="522" max="522" width="17.140625" style="2970" customWidth="1"/>
    <col min="523" max="523" width="20" style="2970" customWidth="1"/>
    <col min="524" max="524" width="15.7109375" style="2970" bestFit="1" customWidth="1"/>
    <col min="525" max="525" width="13.85546875" style="2970" customWidth="1"/>
    <col min="526" max="526" width="12.28515625" style="2970" customWidth="1"/>
    <col min="527" max="527" width="9.7109375" style="2970" bestFit="1" customWidth="1"/>
    <col min="528" max="528" width="10.7109375" style="2970" customWidth="1"/>
    <col min="529" max="529" width="12.28515625" style="2970" customWidth="1"/>
    <col min="530" max="535" width="9.140625" style="2970"/>
    <col min="536" max="536" width="11.140625" style="2970" bestFit="1" customWidth="1"/>
    <col min="537" max="537" width="9.42578125" style="2970" bestFit="1" customWidth="1"/>
    <col min="538" max="540" width="11.140625" style="2970" bestFit="1" customWidth="1"/>
    <col min="541" max="770" width="9.140625" style="2970"/>
    <col min="771" max="771" width="54.28515625" style="2970" customWidth="1"/>
    <col min="772" max="772" width="12.28515625" style="2970" customWidth="1"/>
    <col min="773" max="773" width="13.5703125" style="2970" customWidth="1"/>
    <col min="774" max="774" width="25.85546875" style="2970" customWidth="1"/>
    <col min="775" max="775" width="11.42578125" style="2970" customWidth="1"/>
    <col min="776" max="776" width="13" style="2970" customWidth="1"/>
    <col min="777" max="777" width="14.42578125" style="2970" customWidth="1"/>
    <col min="778" max="778" width="17.140625" style="2970" customWidth="1"/>
    <col min="779" max="779" width="20" style="2970" customWidth="1"/>
    <col min="780" max="780" width="15.7109375" style="2970" bestFit="1" customWidth="1"/>
    <col min="781" max="781" width="13.85546875" style="2970" customWidth="1"/>
    <col min="782" max="782" width="12.28515625" style="2970" customWidth="1"/>
    <col min="783" max="783" width="9.7109375" style="2970" bestFit="1" customWidth="1"/>
    <col min="784" max="784" width="10.7109375" style="2970" customWidth="1"/>
    <col min="785" max="785" width="12.28515625" style="2970" customWidth="1"/>
    <col min="786" max="791" width="9.140625" style="2970"/>
    <col min="792" max="792" width="11.140625" style="2970" bestFit="1" customWidth="1"/>
    <col min="793" max="793" width="9.42578125" style="2970" bestFit="1" customWidth="1"/>
    <col min="794" max="796" width="11.140625" style="2970" bestFit="1" customWidth="1"/>
    <col min="797" max="1026" width="9.140625" style="2970"/>
    <col min="1027" max="1027" width="54.28515625" style="2970" customWidth="1"/>
    <col min="1028" max="1028" width="12.28515625" style="2970" customWidth="1"/>
    <col min="1029" max="1029" width="13.5703125" style="2970" customWidth="1"/>
    <col min="1030" max="1030" width="25.85546875" style="2970" customWidth="1"/>
    <col min="1031" max="1031" width="11.42578125" style="2970" customWidth="1"/>
    <col min="1032" max="1032" width="13" style="2970" customWidth="1"/>
    <col min="1033" max="1033" width="14.42578125" style="2970" customWidth="1"/>
    <col min="1034" max="1034" width="17.140625" style="2970" customWidth="1"/>
    <col min="1035" max="1035" width="20" style="2970" customWidth="1"/>
    <col min="1036" max="1036" width="15.7109375" style="2970" bestFit="1" customWidth="1"/>
    <col min="1037" max="1037" width="13.85546875" style="2970" customWidth="1"/>
    <col min="1038" max="1038" width="12.28515625" style="2970" customWidth="1"/>
    <col min="1039" max="1039" width="9.7109375" style="2970" bestFit="1" customWidth="1"/>
    <col min="1040" max="1040" width="10.7109375" style="2970" customWidth="1"/>
    <col min="1041" max="1041" width="12.28515625" style="2970" customWidth="1"/>
    <col min="1042" max="1047" width="9.140625" style="2970"/>
    <col min="1048" max="1048" width="11.140625" style="2970" bestFit="1" customWidth="1"/>
    <col min="1049" max="1049" width="9.42578125" style="2970" bestFit="1" customWidth="1"/>
    <col min="1050" max="1052" width="11.140625" style="2970" bestFit="1" customWidth="1"/>
    <col min="1053" max="1282" width="9.140625" style="2970"/>
    <col min="1283" max="1283" width="54.28515625" style="2970" customWidth="1"/>
    <col min="1284" max="1284" width="12.28515625" style="2970" customWidth="1"/>
    <col min="1285" max="1285" width="13.5703125" style="2970" customWidth="1"/>
    <col min="1286" max="1286" width="25.85546875" style="2970" customWidth="1"/>
    <col min="1287" max="1287" width="11.42578125" style="2970" customWidth="1"/>
    <col min="1288" max="1288" width="13" style="2970" customWidth="1"/>
    <col min="1289" max="1289" width="14.42578125" style="2970" customWidth="1"/>
    <col min="1290" max="1290" width="17.140625" style="2970" customWidth="1"/>
    <col min="1291" max="1291" width="20" style="2970" customWidth="1"/>
    <col min="1292" max="1292" width="15.7109375" style="2970" bestFit="1" customWidth="1"/>
    <col min="1293" max="1293" width="13.85546875" style="2970" customWidth="1"/>
    <col min="1294" max="1294" width="12.28515625" style="2970" customWidth="1"/>
    <col min="1295" max="1295" width="9.7109375" style="2970" bestFit="1" customWidth="1"/>
    <col min="1296" max="1296" width="10.7109375" style="2970" customWidth="1"/>
    <col min="1297" max="1297" width="12.28515625" style="2970" customWidth="1"/>
    <col min="1298" max="1303" width="9.140625" style="2970"/>
    <col min="1304" max="1304" width="11.140625" style="2970" bestFit="1" customWidth="1"/>
    <col min="1305" max="1305" width="9.42578125" style="2970" bestFit="1" customWidth="1"/>
    <col min="1306" max="1308" width="11.140625" style="2970" bestFit="1" customWidth="1"/>
    <col min="1309" max="1538" width="9.140625" style="2970"/>
    <col min="1539" max="1539" width="54.28515625" style="2970" customWidth="1"/>
    <col min="1540" max="1540" width="12.28515625" style="2970" customWidth="1"/>
    <col min="1541" max="1541" width="13.5703125" style="2970" customWidth="1"/>
    <col min="1542" max="1542" width="25.85546875" style="2970" customWidth="1"/>
    <col min="1543" max="1543" width="11.42578125" style="2970" customWidth="1"/>
    <col min="1544" max="1544" width="13" style="2970" customWidth="1"/>
    <col min="1545" max="1545" width="14.42578125" style="2970" customWidth="1"/>
    <col min="1546" max="1546" width="17.140625" style="2970" customWidth="1"/>
    <col min="1547" max="1547" width="20" style="2970" customWidth="1"/>
    <col min="1548" max="1548" width="15.7109375" style="2970" bestFit="1" customWidth="1"/>
    <col min="1549" max="1549" width="13.85546875" style="2970" customWidth="1"/>
    <col min="1550" max="1550" width="12.28515625" style="2970" customWidth="1"/>
    <col min="1551" max="1551" width="9.7109375" style="2970" bestFit="1" customWidth="1"/>
    <col min="1552" max="1552" width="10.7109375" style="2970" customWidth="1"/>
    <col min="1553" max="1553" width="12.28515625" style="2970" customWidth="1"/>
    <col min="1554" max="1559" width="9.140625" style="2970"/>
    <col min="1560" max="1560" width="11.140625" style="2970" bestFit="1" customWidth="1"/>
    <col min="1561" max="1561" width="9.42578125" style="2970" bestFit="1" customWidth="1"/>
    <col min="1562" max="1564" width="11.140625" style="2970" bestFit="1" customWidth="1"/>
    <col min="1565" max="1794" width="9.140625" style="2970"/>
    <col min="1795" max="1795" width="54.28515625" style="2970" customWidth="1"/>
    <col min="1796" max="1796" width="12.28515625" style="2970" customWidth="1"/>
    <col min="1797" max="1797" width="13.5703125" style="2970" customWidth="1"/>
    <col min="1798" max="1798" width="25.85546875" style="2970" customWidth="1"/>
    <col min="1799" max="1799" width="11.42578125" style="2970" customWidth="1"/>
    <col min="1800" max="1800" width="13" style="2970" customWidth="1"/>
    <col min="1801" max="1801" width="14.42578125" style="2970" customWidth="1"/>
    <col min="1802" max="1802" width="17.140625" style="2970" customWidth="1"/>
    <col min="1803" max="1803" width="20" style="2970" customWidth="1"/>
    <col min="1804" max="1804" width="15.7109375" style="2970" bestFit="1" customWidth="1"/>
    <col min="1805" max="1805" width="13.85546875" style="2970" customWidth="1"/>
    <col min="1806" max="1806" width="12.28515625" style="2970" customWidth="1"/>
    <col min="1807" max="1807" width="9.7109375" style="2970" bestFit="1" customWidth="1"/>
    <col min="1808" max="1808" width="10.7109375" style="2970" customWidth="1"/>
    <col min="1809" max="1809" width="12.28515625" style="2970" customWidth="1"/>
    <col min="1810" max="1815" width="9.140625" style="2970"/>
    <col min="1816" max="1816" width="11.140625" style="2970" bestFit="1" customWidth="1"/>
    <col min="1817" max="1817" width="9.42578125" style="2970" bestFit="1" customWidth="1"/>
    <col min="1818" max="1820" width="11.140625" style="2970" bestFit="1" customWidth="1"/>
    <col min="1821" max="2050" width="9.140625" style="2970"/>
    <col min="2051" max="2051" width="54.28515625" style="2970" customWidth="1"/>
    <col min="2052" max="2052" width="12.28515625" style="2970" customWidth="1"/>
    <col min="2053" max="2053" width="13.5703125" style="2970" customWidth="1"/>
    <col min="2054" max="2054" width="25.85546875" style="2970" customWidth="1"/>
    <col min="2055" max="2055" width="11.42578125" style="2970" customWidth="1"/>
    <col min="2056" max="2056" width="13" style="2970" customWidth="1"/>
    <col min="2057" max="2057" width="14.42578125" style="2970" customWidth="1"/>
    <col min="2058" max="2058" width="17.140625" style="2970" customWidth="1"/>
    <col min="2059" max="2059" width="20" style="2970" customWidth="1"/>
    <col min="2060" max="2060" width="15.7109375" style="2970" bestFit="1" customWidth="1"/>
    <col min="2061" max="2061" width="13.85546875" style="2970" customWidth="1"/>
    <col min="2062" max="2062" width="12.28515625" style="2970" customWidth="1"/>
    <col min="2063" max="2063" width="9.7109375" style="2970" bestFit="1" customWidth="1"/>
    <col min="2064" max="2064" width="10.7109375" style="2970" customWidth="1"/>
    <col min="2065" max="2065" width="12.28515625" style="2970" customWidth="1"/>
    <col min="2066" max="2071" width="9.140625" style="2970"/>
    <col min="2072" max="2072" width="11.140625" style="2970" bestFit="1" customWidth="1"/>
    <col min="2073" max="2073" width="9.42578125" style="2970" bestFit="1" customWidth="1"/>
    <col min="2074" max="2076" width="11.140625" style="2970" bestFit="1" customWidth="1"/>
    <col min="2077" max="2306" width="9.140625" style="2970"/>
    <col min="2307" max="2307" width="54.28515625" style="2970" customWidth="1"/>
    <col min="2308" max="2308" width="12.28515625" style="2970" customWidth="1"/>
    <col min="2309" max="2309" width="13.5703125" style="2970" customWidth="1"/>
    <col min="2310" max="2310" width="25.85546875" style="2970" customWidth="1"/>
    <col min="2311" max="2311" width="11.42578125" style="2970" customWidth="1"/>
    <col min="2312" max="2312" width="13" style="2970" customWidth="1"/>
    <col min="2313" max="2313" width="14.42578125" style="2970" customWidth="1"/>
    <col min="2314" max="2314" width="17.140625" style="2970" customWidth="1"/>
    <col min="2315" max="2315" width="20" style="2970" customWidth="1"/>
    <col min="2316" max="2316" width="15.7109375" style="2970" bestFit="1" customWidth="1"/>
    <col min="2317" max="2317" width="13.85546875" style="2970" customWidth="1"/>
    <col min="2318" max="2318" width="12.28515625" style="2970" customWidth="1"/>
    <col min="2319" max="2319" width="9.7109375" style="2970" bestFit="1" customWidth="1"/>
    <col min="2320" max="2320" width="10.7109375" style="2970" customWidth="1"/>
    <col min="2321" max="2321" width="12.28515625" style="2970" customWidth="1"/>
    <col min="2322" max="2327" width="9.140625" style="2970"/>
    <col min="2328" max="2328" width="11.140625" style="2970" bestFit="1" customWidth="1"/>
    <col min="2329" max="2329" width="9.42578125" style="2970" bestFit="1" customWidth="1"/>
    <col min="2330" max="2332" width="11.140625" style="2970" bestFit="1" customWidth="1"/>
    <col min="2333" max="2562" width="9.140625" style="2970"/>
    <col min="2563" max="2563" width="54.28515625" style="2970" customWidth="1"/>
    <col min="2564" max="2564" width="12.28515625" style="2970" customWidth="1"/>
    <col min="2565" max="2565" width="13.5703125" style="2970" customWidth="1"/>
    <col min="2566" max="2566" width="25.85546875" style="2970" customWidth="1"/>
    <col min="2567" max="2567" width="11.42578125" style="2970" customWidth="1"/>
    <col min="2568" max="2568" width="13" style="2970" customWidth="1"/>
    <col min="2569" max="2569" width="14.42578125" style="2970" customWidth="1"/>
    <col min="2570" max="2570" width="17.140625" style="2970" customWidth="1"/>
    <col min="2571" max="2571" width="20" style="2970" customWidth="1"/>
    <col min="2572" max="2572" width="15.7109375" style="2970" bestFit="1" customWidth="1"/>
    <col min="2573" max="2573" width="13.85546875" style="2970" customWidth="1"/>
    <col min="2574" max="2574" width="12.28515625" style="2970" customWidth="1"/>
    <col min="2575" max="2575" width="9.7109375" style="2970" bestFit="1" customWidth="1"/>
    <col min="2576" max="2576" width="10.7109375" style="2970" customWidth="1"/>
    <col min="2577" max="2577" width="12.28515625" style="2970" customWidth="1"/>
    <col min="2578" max="2583" width="9.140625" style="2970"/>
    <col min="2584" max="2584" width="11.140625" style="2970" bestFit="1" customWidth="1"/>
    <col min="2585" max="2585" width="9.42578125" style="2970" bestFit="1" customWidth="1"/>
    <col min="2586" max="2588" width="11.140625" style="2970" bestFit="1" customWidth="1"/>
    <col min="2589" max="2818" width="9.140625" style="2970"/>
    <col min="2819" max="2819" width="54.28515625" style="2970" customWidth="1"/>
    <col min="2820" max="2820" width="12.28515625" style="2970" customWidth="1"/>
    <col min="2821" max="2821" width="13.5703125" style="2970" customWidth="1"/>
    <col min="2822" max="2822" width="25.85546875" style="2970" customWidth="1"/>
    <col min="2823" max="2823" width="11.42578125" style="2970" customWidth="1"/>
    <col min="2824" max="2824" width="13" style="2970" customWidth="1"/>
    <col min="2825" max="2825" width="14.42578125" style="2970" customWidth="1"/>
    <col min="2826" max="2826" width="17.140625" style="2970" customWidth="1"/>
    <col min="2827" max="2827" width="20" style="2970" customWidth="1"/>
    <col min="2828" max="2828" width="15.7109375" style="2970" bestFit="1" customWidth="1"/>
    <col min="2829" max="2829" width="13.85546875" style="2970" customWidth="1"/>
    <col min="2830" max="2830" width="12.28515625" style="2970" customWidth="1"/>
    <col min="2831" max="2831" width="9.7109375" style="2970" bestFit="1" customWidth="1"/>
    <col min="2832" max="2832" width="10.7109375" style="2970" customWidth="1"/>
    <col min="2833" max="2833" width="12.28515625" style="2970" customWidth="1"/>
    <col min="2834" max="2839" width="9.140625" style="2970"/>
    <col min="2840" max="2840" width="11.140625" style="2970" bestFit="1" customWidth="1"/>
    <col min="2841" max="2841" width="9.42578125" style="2970" bestFit="1" customWidth="1"/>
    <col min="2842" max="2844" width="11.140625" style="2970" bestFit="1" customWidth="1"/>
    <col min="2845" max="3074" width="9.140625" style="2970"/>
    <col min="3075" max="3075" width="54.28515625" style="2970" customWidth="1"/>
    <col min="3076" max="3076" width="12.28515625" style="2970" customWidth="1"/>
    <col min="3077" max="3077" width="13.5703125" style="2970" customWidth="1"/>
    <col min="3078" max="3078" width="25.85546875" style="2970" customWidth="1"/>
    <col min="3079" max="3079" width="11.42578125" style="2970" customWidth="1"/>
    <col min="3080" max="3080" width="13" style="2970" customWidth="1"/>
    <col min="3081" max="3081" width="14.42578125" style="2970" customWidth="1"/>
    <col min="3082" max="3082" width="17.140625" style="2970" customWidth="1"/>
    <col min="3083" max="3083" width="20" style="2970" customWidth="1"/>
    <col min="3084" max="3084" width="15.7109375" style="2970" bestFit="1" customWidth="1"/>
    <col min="3085" max="3085" width="13.85546875" style="2970" customWidth="1"/>
    <col min="3086" max="3086" width="12.28515625" style="2970" customWidth="1"/>
    <col min="3087" max="3087" width="9.7109375" style="2970" bestFit="1" customWidth="1"/>
    <col min="3088" max="3088" width="10.7109375" style="2970" customWidth="1"/>
    <col min="3089" max="3089" width="12.28515625" style="2970" customWidth="1"/>
    <col min="3090" max="3095" width="9.140625" style="2970"/>
    <col min="3096" max="3096" width="11.140625" style="2970" bestFit="1" customWidth="1"/>
    <col min="3097" max="3097" width="9.42578125" style="2970" bestFit="1" customWidth="1"/>
    <col min="3098" max="3100" width="11.140625" style="2970" bestFit="1" customWidth="1"/>
    <col min="3101" max="3330" width="9.140625" style="2970"/>
    <col min="3331" max="3331" width="54.28515625" style="2970" customWidth="1"/>
    <col min="3332" max="3332" width="12.28515625" style="2970" customWidth="1"/>
    <col min="3333" max="3333" width="13.5703125" style="2970" customWidth="1"/>
    <col min="3334" max="3334" width="25.85546875" style="2970" customWidth="1"/>
    <col min="3335" max="3335" width="11.42578125" style="2970" customWidth="1"/>
    <col min="3336" max="3336" width="13" style="2970" customWidth="1"/>
    <col min="3337" max="3337" width="14.42578125" style="2970" customWidth="1"/>
    <col min="3338" max="3338" width="17.140625" style="2970" customWidth="1"/>
    <col min="3339" max="3339" width="20" style="2970" customWidth="1"/>
    <col min="3340" max="3340" width="15.7109375" style="2970" bestFit="1" customWidth="1"/>
    <col min="3341" max="3341" width="13.85546875" style="2970" customWidth="1"/>
    <col min="3342" max="3342" width="12.28515625" style="2970" customWidth="1"/>
    <col min="3343" max="3343" width="9.7109375" style="2970" bestFit="1" customWidth="1"/>
    <col min="3344" max="3344" width="10.7109375" style="2970" customWidth="1"/>
    <col min="3345" max="3345" width="12.28515625" style="2970" customWidth="1"/>
    <col min="3346" max="3351" width="9.140625" style="2970"/>
    <col min="3352" max="3352" width="11.140625" style="2970" bestFit="1" customWidth="1"/>
    <col min="3353" max="3353" width="9.42578125" style="2970" bestFit="1" customWidth="1"/>
    <col min="3354" max="3356" width="11.140625" style="2970" bestFit="1" customWidth="1"/>
    <col min="3357" max="3586" width="9.140625" style="2970"/>
    <col min="3587" max="3587" width="54.28515625" style="2970" customWidth="1"/>
    <col min="3588" max="3588" width="12.28515625" style="2970" customWidth="1"/>
    <col min="3589" max="3589" width="13.5703125" style="2970" customWidth="1"/>
    <col min="3590" max="3590" width="25.85546875" style="2970" customWidth="1"/>
    <col min="3591" max="3591" width="11.42578125" style="2970" customWidth="1"/>
    <col min="3592" max="3592" width="13" style="2970" customWidth="1"/>
    <col min="3593" max="3593" width="14.42578125" style="2970" customWidth="1"/>
    <col min="3594" max="3594" width="17.140625" style="2970" customWidth="1"/>
    <col min="3595" max="3595" width="20" style="2970" customWidth="1"/>
    <col min="3596" max="3596" width="15.7109375" style="2970" bestFit="1" customWidth="1"/>
    <col min="3597" max="3597" width="13.85546875" style="2970" customWidth="1"/>
    <col min="3598" max="3598" width="12.28515625" style="2970" customWidth="1"/>
    <col min="3599" max="3599" width="9.7109375" style="2970" bestFit="1" customWidth="1"/>
    <col min="3600" max="3600" width="10.7109375" style="2970" customWidth="1"/>
    <col min="3601" max="3601" width="12.28515625" style="2970" customWidth="1"/>
    <col min="3602" max="3607" width="9.140625" style="2970"/>
    <col min="3608" max="3608" width="11.140625" style="2970" bestFit="1" customWidth="1"/>
    <col min="3609" max="3609" width="9.42578125" style="2970" bestFit="1" customWidth="1"/>
    <col min="3610" max="3612" width="11.140625" style="2970" bestFit="1" customWidth="1"/>
    <col min="3613" max="3842" width="9.140625" style="2970"/>
    <col min="3843" max="3843" width="54.28515625" style="2970" customWidth="1"/>
    <col min="3844" max="3844" width="12.28515625" style="2970" customWidth="1"/>
    <col min="3845" max="3845" width="13.5703125" style="2970" customWidth="1"/>
    <col min="3846" max="3846" width="25.85546875" style="2970" customWidth="1"/>
    <col min="3847" max="3847" width="11.42578125" style="2970" customWidth="1"/>
    <col min="3848" max="3848" width="13" style="2970" customWidth="1"/>
    <col min="3849" max="3849" width="14.42578125" style="2970" customWidth="1"/>
    <col min="3850" max="3850" width="17.140625" style="2970" customWidth="1"/>
    <col min="3851" max="3851" width="20" style="2970" customWidth="1"/>
    <col min="3852" max="3852" width="15.7109375" style="2970" bestFit="1" customWidth="1"/>
    <col min="3853" max="3853" width="13.85546875" style="2970" customWidth="1"/>
    <col min="3854" max="3854" width="12.28515625" style="2970" customWidth="1"/>
    <col min="3855" max="3855" width="9.7109375" style="2970" bestFit="1" customWidth="1"/>
    <col min="3856" max="3856" width="10.7109375" style="2970" customWidth="1"/>
    <col min="3857" max="3857" width="12.28515625" style="2970" customWidth="1"/>
    <col min="3858" max="3863" width="9.140625" style="2970"/>
    <col min="3864" max="3864" width="11.140625" style="2970" bestFit="1" customWidth="1"/>
    <col min="3865" max="3865" width="9.42578125" style="2970" bestFit="1" customWidth="1"/>
    <col min="3866" max="3868" width="11.140625" style="2970" bestFit="1" customWidth="1"/>
    <col min="3869" max="4098" width="9.140625" style="2970"/>
    <col min="4099" max="4099" width="54.28515625" style="2970" customWidth="1"/>
    <col min="4100" max="4100" width="12.28515625" style="2970" customWidth="1"/>
    <col min="4101" max="4101" width="13.5703125" style="2970" customWidth="1"/>
    <col min="4102" max="4102" width="25.85546875" style="2970" customWidth="1"/>
    <col min="4103" max="4103" width="11.42578125" style="2970" customWidth="1"/>
    <col min="4104" max="4104" width="13" style="2970" customWidth="1"/>
    <col min="4105" max="4105" width="14.42578125" style="2970" customWidth="1"/>
    <col min="4106" max="4106" width="17.140625" style="2970" customWidth="1"/>
    <col min="4107" max="4107" width="20" style="2970" customWidth="1"/>
    <col min="4108" max="4108" width="15.7109375" style="2970" bestFit="1" customWidth="1"/>
    <col min="4109" max="4109" width="13.85546875" style="2970" customWidth="1"/>
    <col min="4110" max="4110" width="12.28515625" style="2970" customWidth="1"/>
    <col min="4111" max="4111" width="9.7109375" style="2970" bestFit="1" customWidth="1"/>
    <col min="4112" max="4112" width="10.7109375" style="2970" customWidth="1"/>
    <col min="4113" max="4113" width="12.28515625" style="2970" customWidth="1"/>
    <col min="4114" max="4119" width="9.140625" style="2970"/>
    <col min="4120" max="4120" width="11.140625" style="2970" bestFit="1" customWidth="1"/>
    <col min="4121" max="4121" width="9.42578125" style="2970" bestFit="1" customWidth="1"/>
    <col min="4122" max="4124" width="11.140625" style="2970" bestFit="1" customWidth="1"/>
    <col min="4125" max="4354" width="9.140625" style="2970"/>
    <col min="4355" max="4355" width="54.28515625" style="2970" customWidth="1"/>
    <col min="4356" max="4356" width="12.28515625" style="2970" customWidth="1"/>
    <col min="4357" max="4357" width="13.5703125" style="2970" customWidth="1"/>
    <col min="4358" max="4358" width="25.85546875" style="2970" customWidth="1"/>
    <col min="4359" max="4359" width="11.42578125" style="2970" customWidth="1"/>
    <col min="4360" max="4360" width="13" style="2970" customWidth="1"/>
    <col min="4361" max="4361" width="14.42578125" style="2970" customWidth="1"/>
    <col min="4362" max="4362" width="17.140625" style="2970" customWidth="1"/>
    <col min="4363" max="4363" width="20" style="2970" customWidth="1"/>
    <col min="4364" max="4364" width="15.7109375" style="2970" bestFit="1" customWidth="1"/>
    <col min="4365" max="4365" width="13.85546875" style="2970" customWidth="1"/>
    <col min="4366" max="4366" width="12.28515625" style="2970" customWidth="1"/>
    <col min="4367" max="4367" width="9.7109375" style="2970" bestFit="1" customWidth="1"/>
    <col min="4368" max="4368" width="10.7109375" style="2970" customWidth="1"/>
    <col min="4369" max="4369" width="12.28515625" style="2970" customWidth="1"/>
    <col min="4370" max="4375" width="9.140625" style="2970"/>
    <col min="4376" max="4376" width="11.140625" style="2970" bestFit="1" customWidth="1"/>
    <col min="4377" max="4377" width="9.42578125" style="2970" bestFit="1" customWidth="1"/>
    <col min="4378" max="4380" width="11.140625" style="2970" bestFit="1" customWidth="1"/>
    <col min="4381" max="4610" width="9.140625" style="2970"/>
    <col min="4611" max="4611" width="54.28515625" style="2970" customWidth="1"/>
    <col min="4612" max="4612" width="12.28515625" style="2970" customWidth="1"/>
    <col min="4613" max="4613" width="13.5703125" style="2970" customWidth="1"/>
    <col min="4614" max="4614" width="25.85546875" style="2970" customWidth="1"/>
    <col min="4615" max="4615" width="11.42578125" style="2970" customWidth="1"/>
    <col min="4616" max="4616" width="13" style="2970" customWidth="1"/>
    <col min="4617" max="4617" width="14.42578125" style="2970" customWidth="1"/>
    <col min="4618" max="4618" width="17.140625" style="2970" customWidth="1"/>
    <col min="4619" max="4619" width="20" style="2970" customWidth="1"/>
    <col min="4620" max="4620" width="15.7109375" style="2970" bestFit="1" customWidth="1"/>
    <col min="4621" max="4621" width="13.85546875" style="2970" customWidth="1"/>
    <col min="4622" max="4622" width="12.28515625" style="2970" customWidth="1"/>
    <col min="4623" max="4623" width="9.7109375" style="2970" bestFit="1" customWidth="1"/>
    <col min="4624" max="4624" width="10.7109375" style="2970" customWidth="1"/>
    <col min="4625" max="4625" width="12.28515625" style="2970" customWidth="1"/>
    <col min="4626" max="4631" width="9.140625" style="2970"/>
    <col min="4632" max="4632" width="11.140625" style="2970" bestFit="1" customWidth="1"/>
    <col min="4633" max="4633" width="9.42578125" style="2970" bestFit="1" customWidth="1"/>
    <col min="4634" max="4636" width="11.140625" style="2970" bestFit="1" customWidth="1"/>
    <col min="4637" max="4866" width="9.140625" style="2970"/>
    <col min="4867" max="4867" width="54.28515625" style="2970" customWidth="1"/>
    <col min="4868" max="4868" width="12.28515625" style="2970" customWidth="1"/>
    <col min="4869" max="4869" width="13.5703125" style="2970" customWidth="1"/>
    <col min="4870" max="4870" width="25.85546875" style="2970" customWidth="1"/>
    <col min="4871" max="4871" width="11.42578125" style="2970" customWidth="1"/>
    <col min="4872" max="4872" width="13" style="2970" customWidth="1"/>
    <col min="4873" max="4873" width="14.42578125" style="2970" customWidth="1"/>
    <col min="4874" max="4874" width="17.140625" style="2970" customWidth="1"/>
    <col min="4875" max="4875" width="20" style="2970" customWidth="1"/>
    <col min="4876" max="4876" width="15.7109375" style="2970" bestFit="1" customWidth="1"/>
    <col min="4877" max="4877" width="13.85546875" style="2970" customWidth="1"/>
    <col min="4878" max="4878" width="12.28515625" style="2970" customWidth="1"/>
    <col min="4879" max="4879" width="9.7109375" style="2970" bestFit="1" customWidth="1"/>
    <col min="4880" max="4880" width="10.7109375" style="2970" customWidth="1"/>
    <col min="4881" max="4881" width="12.28515625" style="2970" customWidth="1"/>
    <col min="4882" max="4887" width="9.140625" style="2970"/>
    <col min="4888" max="4888" width="11.140625" style="2970" bestFit="1" customWidth="1"/>
    <col min="4889" max="4889" width="9.42578125" style="2970" bestFit="1" customWidth="1"/>
    <col min="4890" max="4892" width="11.140625" style="2970" bestFit="1" customWidth="1"/>
    <col min="4893" max="5122" width="9.140625" style="2970"/>
    <col min="5123" max="5123" width="54.28515625" style="2970" customWidth="1"/>
    <col min="5124" max="5124" width="12.28515625" style="2970" customWidth="1"/>
    <col min="5125" max="5125" width="13.5703125" style="2970" customWidth="1"/>
    <col min="5126" max="5126" width="25.85546875" style="2970" customWidth="1"/>
    <col min="5127" max="5127" width="11.42578125" style="2970" customWidth="1"/>
    <col min="5128" max="5128" width="13" style="2970" customWidth="1"/>
    <col min="5129" max="5129" width="14.42578125" style="2970" customWidth="1"/>
    <col min="5130" max="5130" width="17.140625" style="2970" customWidth="1"/>
    <col min="5131" max="5131" width="20" style="2970" customWidth="1"/>
    <col min="5132" max="5132" width="15.7109375" style="2970" bestFit="1" customWidth="1"/>
    <col min="5133" max="5133" width="13.85546875" style="2970" customWidth="1"/>
    <col min="5134" max="5134" width="12.28515625" style="2970" customWidth="1"/>
    <col min="5135" max="5135" width="9.7109375" style="2970" bestFit="1" customWidth="1"/>
    <col min="5136" max="5136" width="10.7109375" style="2970" customWidth="1"/>
    <col min="5137" max="5137" width="12.28515625" style="2970" customWidth="1"/>
    <col min="5138" max="5143" width="9.140625" style="2970"/>
    <col min="5144" max="5144" width="11.140625" style="2970" bestFit="1" customWidth="1"/>
    <col min="5145" max="5145" width="9.42578125" style="2970" bestFit="1" customWidth="1"/>
    <col min="5146" max="5148" width="11.140625" style="2970" bestFit="1" customWidth="1"/>
    <col min="5149" max="5378" width="9.140625" style="2970"/>
    <col min="5379" max="5379" width="54.28515625" style="2970" customWidth="1"/>
    <col min="5380" max="5380" width="12.28515625" style="2970" customWidth="1"/>
    <col min="5381" max="5381" width="13.5703125" style="2970" customWidth="1"/>
    <col min="5382" max="5382" width="25.85546875" style="2970" customWidth="1"/>
    <col min="5383" max="5383" width="11.42578125" style="2970" customWidth="1"/>
    <col min="5384" max="5384" width="13" style="2970" customWidth="1"/>
    <col min="5385" max="5385" width="14.42578125" style="2970" customWidth="1"/>
    <col min="5386" max="5386" width="17.140625" style="2970" customWidth="1"/>
    <col min="5387" max="5387" width="20" style="2970" customWidth="1"/>
    <col min="5388" max="5388" width="15.7109375" style="2970" bestFit="1" customWidth="1"/>
    <col min="5389" max="5389" width="13.85546875" style="2970" customWidth="1"/>
    <col min="5390" max="5390" width="12.28515625" style="2970" customWidth="1"/>
    <col min="5391" max="5391" width="9.7109375" style="2970" bestFit="1" customWidth="1"/>
    <col min="5392" max="5392" width="10.7109375" style="2970" customWidth="1"/>
    <col min="5393" max="5393" width="12.28515625" style="2970" customWidth="1"/>
    <col min="5394" max="5399" width="9.140625" style="2970"/>
    <col min="5400" max="5400" width="11.140625" style="2970" bestFit="1" customWidth="1"/>
    <col min="5401" max="5401" width="9.42578125" style="2970" bestFit="1" customWidth="1"/>
    <col min="5402" max="5404" width="11.140625" style="2970" bestFit="1" customWidth="1"/>
    <col min="5405" max="5634" width="9.140625" style="2970"/>
    <col min="5635" max="5635" width="54.28515625" style="2970" customWidth="1"/>
    <col min="5636" max="5636" width="12.28515625" style="2970" customWidth="1"/>
    <col min="5637" max="5637" width="13.5703125" style="2970" customWidth="1"/>
    <col min="5638" max="5638" width="25.85546875" style="2970" customWidth="1"/>
    <col min="5639" max="5639" width="11.42578125" style="2970" customWidth="1"/>
    <col min="5640" max="5640" width="13" style="2970" customWidth="1"/>
    <col min="5641" max="5641" width="14.42578125" style="2970" customWidth="1"/>
    <col min="5642" max="5642" width="17.140625" style="2970" customWidth="1"/>
    <col min="5643" max="5643" width="20" style="2970" customWidth="1"/>
    <col min="5644" max="5644" width="15.7109375" style="2970" bestFit="1" customWidth="1"/>
    <col min="5645" max="5645" width="13.85546875" style="2970" customWidth="1"/>
    <col min="5646" max="5646" width="12.28515625" style="2970" customWidth="1"/>
    <col min="5647" max="5647" width="9.7109375" style="2970" bestFit="1" customWidth="1"/>
    <col min="5648" max="5648" width="10.7109375" style="2970" customWidth="1"/>
    <col min="5649" max="5649" width="12.28515625" style="2970" customWidth="1"/>
    <col min="5650" max="5655" width="9.140625" style="2970"/>
    <col min="5656" max="5656" width="11.140625" style="2970" bestFit="1" customWidth="1"/>
    <col min="5657" max="5657" width="9.42578125" style="2970" bestFit="1" customWidth="1"/>
    <col min="5658" max="5660" width="11.140625" style="2970" bestFit="1" customWidth="1"/>
    <col min="5661" max="5890" width="9.140625" style="2970"/>
    <col min="5891" max="5891" width="54.28515625" style="2970" customWidth="1"/>
    <col min="5892" max="5892" width="12.28515625" style="2970" customWidth="1"/>
    <col min="5893" max="5893" width="13.5703125" style="2970" customWidth="1"/>
    <col min="5894" max="5894" width="25.85546875" style="2970" customWidth="1"/>
    <col min="5895" max="5895" width="11.42578125" style="2970" customWidth="1"/>
    <col min="5896" max="5896" width="13" style="2970" customWidth="1"/>
    <col min="5897" max="5897" width="14.42578125" style="2970" customWidth="1"/>
    <col min="5898" max="5898" width="17.140625" style="2970" customWidth="1"/>
    <col min="5899" max="5899" width="20" style="2970" customWidth="1"/>
    <col min="5900" max="5900" width="15.7109375" style="2970" bestFit="1" customWidth="1"/>
    <col min="5901" max="5901" width="13.85546875" style="2970" customWidth="1"/>
    <col min="5902" max="5902" width="12.28515625" style="2970" customWidth="1"/>
    <col min="5903" max="5903" width="9.7109375" style="2970" bestFit="1" customWidth="1"/>
    <col min="5904" max="5904" width="10.7109375" style="2970" customWidth="1"/>
    <col min="5905" max="5905" width="12.28515625" style="2970" customWidth="1"/>
    <col min="5906" max="5911" width="9.140625" style="2970"/>
    <col min="5912" max="5912" width="11.140625" style="2970" bestFit="1" customWidth="1"/>
    <col min="5913" max="5913" width="9.42578125" style="2970" bestFit="1" customWidth="1"/>
    <col min="5914" max="5916" width="11.140625" style="2970" bestFit="1" customWidth="1"/>
    <col min="5917" max="6146" width="9.140625" style="2970"/>
    <col min="6147" max="6147" width="54.28515625" style="2970" customWidth="1"/>
    <col min="6148" max="6148" width="12.28515625" style="2970" customWidth="1"/>
    <col min="6149" max="6149" width="13.5703125" style="2970" customWidth="1"/>
    <col min="6150" max="6150" width="25.85546875" style="2970" customWidth="1"/>
    <col min="6151" max="6151" width="11.42578125" style="2970" customWidth="1"/>
    <col min="6152" max="6152" width="13" style="2970" customWidth="1"/>
    <col min="6153" max="6153" width="14.42578125" style="2970" customWidth="1"/>
    <col min="6154" max="6154" width="17.140625" style="2970" customWidth="1"/>
    <col min="6155" max="6155" width="20" style="2970" customWidth="1"/>
    <col min="6156" max="6156" width="15.7109375" style="2970" bestFit="1" customWidth="1"/>
    <col min="6157" max="6157" width="13.85546875" style="2970" customWidth="1"/>
    <col min="6158" max="6158" width="12.28515625" style="2970" customWidth="1"/>
    <col min="6159" max="6159" width="9.7109375" style="2970" bestFit="1" customWidth="1"/>
    <col min="6160" max="6160" width="10.7109375" style="2970" customWidth="1"/>
    <col min="6161" max="6161" width="12.28515625" style="2970" customWidth="1"/>
    <col min="6162" max="6167" width="9.140625" style="2970"/>
    <col min="6168" max="6168" width="11.140625" style="2970" bestFit="1" customWidth="1"/>
    <col min="6169" max="6169" width="9.42578125" style="2970" bestFit="1" customWidth="1"/>
    <col min="6170" max="6172" width="11.140625" style="2970" bestFit="1" customWidth="1"/>
    <col min="6173" max="6402" width="9.140625" style="2970"/>
    <col min="6403" max="6403" width="54.28515625" style="2970" customWidth="1"/>
    <col min="6404" max="6404" width="12.28515625" style="2970" customWidth="1"/>
    <col min="6405" max="6405" width="13.5703125" style="2970" customWidth="1"/>
    <col min="6406" max="6406" width="25.85546875" style="2970" customWidth="1"/>
    <col min="6407" max="6407" width="11.42578125" style="2970" customWidth="1"/>
    <col min="6408" max="6408" width="13" style="2970" customWidth="1"/>
    <col min="6409" max="6409" width="14.42578125" style="2970" customWidth="1"/>
    <col min="6410" max="6410" width="17.140625" style="2970" customWidth="1"/>
    <col min="6411" max="6411" width="20" style="2970" customWidth="1"/>
    <col min="6412" max="6412" width="15.7109375" style="2970" bestFit="1" customWidth="1"/>
    <col min="6413" max="6413" width="13.85546875" style="2970" customWidth="1"/>
    <col min="6414" max="6414" width="12.28515625" style="2970" customWidth="1"/>
    <col min="6415" max="6415" width="9.7109375" style="2970" bestFit="1" customWidth="1"/>
    <col min="6416" max="6416" width="10.7109375" style="2970" customWidth="1"/>
    <col min="6417" max="6417" width="12.28515625" style="2970" customWidth="1"/>
    <col min="6418" max="6423" width="9.140625" style="2970"/>
    <col min="6424" max="6424" width="11.140625" style="2970" bestFit="1" customWidth="1"/>
    <col min="6425" max="6425" width="9.42578125" style="2970" bestFit="1" customWidth="1"/>
    <col min="6426" max="6428" width="11.140625" style="2970" bestFit="1" customWidth="1"/>
    <col min="6429" max="6658" width="9.140625" style="2970"/>
    <col min="6659" max="6659" width="54.28515625" style="2970" customWidth="1"/>
    <col min="6660" max="6660" width="12.28515625" style="2970" customWidth="1"/>
    <col min="6661" max="6661" width="13.5703125" style="2970" customWidth="1"/>
    <col min="6662" max="6662" width="25.85546875" style="2970" customWidth="1"/>
    <col min="6663" max="6663" width="11.42578125" style="2970" customWidth="1"/>
    <col min="6664" max="6664" width="13" style="2970" customWidth="1"/>
    <col min="6665" max="6665" width="14.42578125" style="2970" customWidth="1"/>
    <col min="6666" max="6666" width="17.140625" style="2970" customWidth="1"/>
    <col min="6667" max="6667" width="20" style="2970" customWidth="1"/>
    <col min="6668" max="6668" width="15.7109375" style="2970" bestFit="1" customWidth="1"/>
    <col min="6669" max="6669" width="13.85546875" style="2970" customWidth="1"/>
    <col min="6670" max="6670" width="12.28515625" style="2970" customWidth="1"/>
    <col min="6671" max="6671" width="9.7109375" style="2970" bestFit="1" customWidth="1"/>
    <col min="6672" max="6672" width="10.7109375" style="2970" customWidth="1"/>
    <col min="6673" max="6673" width="12.28515625" style="2970" customWidth="1"/>
    <col min="6674" max="6679" width="9.140625" style="2970"/>
    <col min="6680" max="6680" width="11.140625" style="2970" bestFit="1" customWidth="1"/>
    <col min="6681" max="6681" width="9.42578125" style="2970" bestFit="1" customWidth="1"/>
    <col min="6682" max="6684" width="11.140625" style="2970" bestFit="1" customWidth="1"/>
    <col min="6685" max="6914" width="9.140625" style="2970"/>
    <col min="6915" max="6915" width="54.28515625" style="2970" customWidth="1"/>
    <col min="6916" max="6916" width="12.28515625" style="2970" customWidth="1"/>
    <col min="6917" max="6917" width="13.5703125" style="2970" customWidth="1"/>
    <col min="6918" max="6918" width="25.85546875" style="2970" customWidth="1"/>
    <col min="6919" max="6919" width="11.42578125" style="2970" customWidth="1"/>
    <col min="6920" max="6920" width="13" style="2970" customWidth="1"/>
    <col min="6921" max="6921" width="14.42578125" style="2970" customWidth="1"/>
    <col min="6922" max="6922" width="17.140625" style="2970" customWidth="1"/>
    <col min="6923" max="6923" width="20" style="2970" customWidth="1"/>
    <col min="6924" max="6924" width="15.7109375" style="2970" bestFit="1" customWidth="1"/>
    <col min="6925" max="6925" width="13.85546875" style="2970" customWidth="1"/>
    <col min="6926" max="6926" width="12.28515625" style="2970" customWidth="1"/>
    <col min="6927" max="6927" width="9.7109375" style="2970" bestFit="1" customWidth="1"/>
    <col min="6928" max="6928" width="10.7109375" style="2970" customWidth="1"/>
    <col min="6929" max="6929" width="12.28515625" style="2970" customWidth="1"/>
    <col min="6930" max="6935" width="9.140625" style="2970"/>
    <col min="6936" max="6936" width="11.140625" style="2970" bestFit="1" customWidth="1"/>
    <col min="6937" max="6937" width="9.42578125" style="2970" bestFit="1" customWidth="1"/>
    <col min="6938" max="6940" width="11.140625" style="2970" bestFit="1" customWidth="1"/>
    <col min="6941" max="7170" width="9.140625" style="2970"/>
    <col min="7171" max="7171" width="54.28515625" style="2970" customWidth="1"/>
    <col min="7172" max="7172" width="12.28515625" style="2970" customWidth="1"/>
    <col min="7173" max="7173" width="13.5703125" style="2970" customWidth="1"/>
    <col min="7174" max="7174" width="25.85546875" style="2970" customWidth="1"/>
    <col min="7175" max="7175" width="11.42578125" style="2970" customWidth="1"/>
    <col min="7176" max="7176" width="13" style="2970" customWidth="1"/>
    <col min="7177" max="7177" width="14.42578125" style="2970" customWidth="1"/>
    <col min="7178" max="7178" width="17.140625" style="2970" customWidth="1"/>
    <col min="7179" max="7179" width="20" style="2970" customWidth="1"/>
    <col min="7180" max="7180" width="15.7109375" style="2970" bestFit="1" customWidth="1"/>
    <col min="7181" max="7181" width="13.85546875" style="2970" customWidth="1"/>
    <col min="7182" max="7182" width="12.28515625" style="2970" customWidth="1"/>
    <col min="7183" max="7183" width="9.7109375" style="2970" bestFit="1" customWidth="1"/>
    <col min="7184" max="7184" width="10.7109375" style="2970" customWidth="1"/>
    <col min="7185" max="7185" width="12.28515625" style="2970" customWidth="1"/>
    <col min="7186" max="7191" width="9.140625" style="2970"/>
    <col min="7192" max="7192" width="11.140625" style="2970" bestFit="1" customWidth="1"/>
    <col min="7193" max="7193" width="9.42578125" style="2970" bestFit="1" customWidth="1"/>
    <col min="7194" max="7196" width="11.140625" style="2970" bestFit="1" customWidth="1"/>
    <col min="7197" max="7426" width="9.140625" style="2970"/>
    <col min="7427" max="7427" width="54.28515625" style="2970" customWidth="1"/>
    <col min="7428" max="7428" width="12.28515625" style="2970" customWidth="1"/>
    <col min="7429" max="7429" width="13.5703125" style="2970" customWidth="1"/>
    <col min="7430" max="7430" width="25.85546875" style="2970" customWidth="1"/>
    <col min="7431" max="7431" width="11.42578125" style="2970" customWidth="1"/>
    <col min="7432" max="7432" width="13" style="2970" customWidth="1"/>
    <col min="7433" max="7433" width="14.42578125" style="2970" customWidth="1"/>
    <col min="7434" max="7434" width="17.140625" style="2970" customWidth="1"/>
    <col min="7435" max="7435" width="20" style="2970" customWidth="1"/>
    <col min="7436" max="7436" width="15.7109375" style="2970" bestFit="1" customWidth="1"/>
    <col min="7437" max="7437" width="13.85546875" style="2970" customWidth="1"/>
    <col min="7438" max="7438" width="12.28515625" style="2970" customWidth="1"/>
    <col min="7439" max="7439" width="9.7109375" style="2970" bestFit="1" customWidth="1"/>
    <col min="7440" max="7440" width="10.7109375" style="2970" customWidth="1"/>
    <col min="7441" max="7441" width="12.28515625" style="2970" customWidth="1"/>
    <col min="7442" max="7447" width="9.140625" style="2970"/>
    <col min="7448" max="7448" width="11.140625" style="2970" bestFit="1" customWidth="1"/>
    <col min="7449" max="7449" width="9.42578125" style="2970" bestFit="1" customWidth="1"/>
    <col min="7450" max="7452" width="11.140625" style="2970" bestFit="1" customWidth="1"/>
    <col min="7453" max="7682" width="9.140625" style="2970"/>
    <col min="7683" max="7683" width="54.28515625" style="2970" customWidth="1"/>
    <col min="7684" max="7684" width="12.28515625" style="2970" customWidth="1"/>
    <col min="7685" max="7685" width="13.5703125" style="2970" customWidth="1"/>
    <col min="7686" max="7686" width="25.85546875" style="2970" customWidth="1"/>
    <col min="7687" max="7687" width="11.42578125" style="2970" customWidth="1"/>
    <col min="7688" max="7688" width="13" style="2970" customWidth="1"/>
    <col min="7689" max="7689" width="14.42578125" style="2970" customWidth="1"/>
    <col min="7690" max="7690" width="17.140625" style="2970" customWidth="1"/>
    <col min="7691" max="7691" width="20" style="2970" customWidth="1"/>
    <col min="7692" max="7692" width="15.7109375" style="2970" bestFit="1" customWidth="1"/>
    <col min="7693" max="7693" width="13.85546875" style="2970" customWidth="1"/>
    <col min="7694" max="7694" width="12.28515625" style="2970" customWidth="1"/>
    <col min="7695" max="7695" width="9.7109375" style="2970" bestFit="1" customWidth="1"/>
    <col min="7696" max="7696" width="10.7109375" style="2970" customWidth="1"/>
    <col min="7697" max="7697" width="12.28515625" style="2970" customWidth="1"/>
    <col min="7698" max="7703" width="9.140625" style="2970"/>
    <col min="7704" max="7704" width="11.140625" style="2970" bestFit="1" customWidth="1"/>
    <col min="7705" max="7705" width="9.42578125" style="2970" bestFit="1" customWidth="1"/>
    <col min="7706" max="7708" width="11.140625" style="2970" bestFit="1" customWidth="1"/>
    <col min="7709" max="7938" width="9.140625" style="2970"/>
    <col min="7939" max="7939" width="54.28515625" style="2970" customWidth="1"/>
    <col min="7940" max="7940" width="12.28515625" style="2970" customWidth="1"/>
    <col min="7941" max="7941" width="13.5703125" style="2970" customWidth="1"/>
    <col min="7942" max="7942" width="25.85546875" style="2970" customWidth="1"/>
    <col min="7943" max="7943" width="11.42578125" style="2970" customWidth="1"/>
    <col min="7944" max="7944" width="13" style="2970" customWidth="1"/>
    <col min="7945" max="7945" width="14.42578125" style="2970" customWidth="1"/>
    <col min="7946" max="7946" width="17.140625" style="2970" customWidth="1"/>
    <col min="7947" max="7947" width="20" style="2970" customWidth="1"/>
    <col min="7948" max="7948" width="15.7109375" style="2970" bestFit="1" customWidth="1"/>
    <col min="7949" max="7949" width="13.85546875" style="2970" customWidth="1"/>
    <col min="7950" max="7950" width="12.28515625" style="2970" customWidth="1"/>
    <col min="7951" max="7951" width="9.7109375" style="2970" bestFit="1" customWidth="1"/>
    <col min="7952" max="7952" width="10.7109375" style="2970" customWidth="1"/>
    <col min="7953" max="7953" width="12.28515625" style="2970" customWidth="1"/>
    <col min="7954" max="7959" width="9.140625" style="2970"/>
    <col min="7960" max="7960" width="11.140625" style="2970" bestFit="1" customWidth="1"/>
    <col min="7961" max="7961" width="9.42578125" style="2970" bestFit="1" customWidth="1"/>
    <col min="7962" max="7964" width="11.140625" style="2970" bestFit="1" customWidth="1"/>
    <col min="7965" max="8194" width="9.140625" style="2970"/>
    <col min="8195" max="8195" width="54.28515625" style="2970" customWidth="1"/>
    <col min="8196" max="8196" width="12.28515625" style="2970" customWidth="1"/>
    <col min="8197" max="8197" width="13.5703125" style="2970" customWidth="1"/>
    <col min="8198" max="8198" width="25.85546875" style="2970" customWidth="1"/>
    <col min="8199" max="8199" width="11.42578125" style="2970" customWidth="1"/>
    <col min="8200" max="8200" width="13" style="2970" customWidth="1"/>
    <col min="8201" max="8201" width="14.42578125" style="2970" customWidth="1"/>
    <col min="8202" max="8202" width="17.140625" style="2970" customWidth="1"/>
    <col min="8203" max="8203" width="20" style="2970" customWidth="1"/>
    <col min="8204" max="8204" width="15.7109375" style="2970" bestFit="1" customWidth="1"/>
    <col min="8205" max="8205" width="13.85546875" style="2970" customWidth="1"/>
    <col min="8206" max="8206" width="12.28515625" style="2970" customWidth="1"/>
    <col min="8207" max="8207" width="9.7109375" style="2970" bestFit="1" customWidth="1"/>
    <col min="8208" max="8208" width="10.7109375" style="2970" customWidth="1"/>
    <col min="8209" max="8209" width="12.28515625" style="2970" customWidth="1"/>
    <col min="8210" max="8215" width="9.140625" style="2970"/>
    <col min="8216" max="8216" width="11.140625" style="2970" bestFit="1" customWidth="1"/>
    <col min="8217" max="8217" width="9.42578125" style="2970" bestFit="1" customWidth="1"/>
    <col min="8218" max="8220" width="11.140625" style="2970" bestFit="1" customWidth="1"/>
    <col min="8221" max="8450" width="9.140625" style="2970"/>
    <col min="8451" max="8451" width="54.28515625" style="2970" customWidth="1"/>
    <col min="8452" max="8452" width="12.28515625" style="2970" customWidth="1"/>
    <col min="8453" max="8453" width="13.5703125" style="2970" customWidth="1"/>
    <col min="8454" max="8454" width="25.85546875" style="2970" customWidth="1"/>
    <col min="8455" max="8455" width="11.42578125" style="2970" customWidth="1"/>
    <col min="8456" max="8456" width="13" style="2970" customWidth="1"/>
    <col min="8457" max="8457" width="14.42578125" style="2970" customWidth="1"/>
    <col min="8458" max="8458" width="17.140625" style="2970" customWidth="1"/>
    <col min="8459" max="8459" width="20" style="2970" customWidth="1"/>
    <col min="8460" max="8460" width="15.7109375" style="2970" bestFit="1" customWidth="1"/>
    <col min="8461" max="8461" width="13.85546875" style="2970" customWidth="1"/>
    <col min="8462" max="8462" width="12.28515625" style="2970" customWidth="1"/>
    <col min="8463" max="8463" width="9.7109375" style="2970" bestFit="1" customWidth="1"/>
    <col min="8464" max="8464" width="10.7109375" style="2970" customWidth="1"/>
    <col min="8465" max="8465" width="12.28515625" style="2970" customWidth="1"/>
    <col min="8466" max="8471" width="9.140625" style="2970"/>
    <col min="8472" max="8472" width="11.140625" style="2970" bestFit="1" customWidth="1"/>
    <col min="8473" max="8473" width="9.42578125" style="2970" bestFit="1" customWidth="1"/>
    <col min="8474" max="8476" width="11.140625" style="2970" bestFit="1" customWidth="1"/>
    <col min="8477" max="8706" width="9.140625" style="2970"/>
    <col min="8707" max="8707" width="54.28515625" style="2970" customWidth="1"/>
    <col min="8708" max="8708" width="12.28515625" style="2970" customWidth="1"/>
    <col min="8709" max="8709" width="13.5703125" style="2970" customWidth="1"/>
    <col min="8710" max="8710" width="25.85546875" style="2970" customWidth="1"/>
    <col min="8711" max="8711" width="11.42578125" style="2970" customWidth="1"/>
    <col min="8712" max="8712" width="13" style="2970" customWidth="1"/>
    <col min="8713" max="8713" width="14.42578125" style="2970" customWidth="1"/>
    <col min="8714" max="8714" width="17.140625" style="2970" customWidth="1"/>
    <col min="8715" max="8715" width="20" style="2970" customWidth="1"/>
    <col min="8716" max="8716" width="15.7109375" style="2970" bestFit="1" customWidth="1"/>
    <col min="8717" max="8717" width="13.85546875" style="2970" customWidth="1"/>
    <col min="8718" max="8718" width="12.28515625" style="2970" customWidth="1"/>
    <col min="8719" max="8719" width="9.7109375" style="2970" bestFit="1" customWidth="1"/>
    <col min="8720" max="8720" width="10.7109375" style="2970" customWidth="1"/>
    <col min="8721" max="8721" width="12.28515625" style="2970" customWidth="1"/>
    <col min="8722" max="8727" width="9.140625" style="2970"/>
    <col min="8728" max="8728" width="11.140625" style="2970" bestFit="1" customWidth="1"/>
    <col min="8729" max="8729" width="9.42578125" style="2970" bestFit="1" customWidth="1"/>
    <col min="8730" max="8732" width="11.140625" style="2970" bestFit="1" customWidth="1"/>
    <col min="8733" max="8962" width="9.140625" style="2970"/>
    <col min="8963" max="8963" width="54.28515625" style="2970" customWidth="1"/>
    <col min="8964" max="8964" width="12.28515625" style="2970" customWidth="1"/>
    <col min="8965" max="8965" width="13.5703125" style="2970" customWidth="1"/>
    <col min="8966" max="8966" width="25.85546875" style="2970" customWidth="1"/>
    <col min="8967" max="8967" width="11.42578125" style="2970" customWidth="1"/>
    <col min="8968" max="8968" width="13" style="2970" customWidth="1"/>
    <col min="8969" max="8969" width="14.42578125" style="2970" customWidth="1"/>
    <col min="8970" max="8970" width="17.140625" style="2970" customWidth="1"/>
    <col min="8971" max="8971" width="20" style="2970" customWidth="1"/>
    <col min="8972" max="8972" width="15.7109375" style="2970" bestFit="1" customWidth="1"/>
    <col min="8973" max="8973" width="13.85546875" style="2970" customWidth="1"/>
    <col min="8974" max="8974" width="12.28515625" style="2970" customWidth="1"/>
    <col min="8975" max="8975" width="9.7109375" style="2970" bestFit="1" customWidth="1"/>
    <col min="8976" max="8976" width="10.7109375" style="2970" customWidth="1"/>
    <col min="8977" max="8977" width="12.28515625" style="2970" customWidth="1"/>
    <col min="8978" max="8983" width="9.140625" style="2970"/>
    <col min="8984" max="8984" width="11.140625" style="2970" bestFit="1" customWidth="1"/>
    <col min="8985" max="8985" width="9.42578125" style="2970" bestFit="1" customWidth="1"/>
    <col min="8986" max="8988" width="11.140625" style="2970" bestFit="1" customWidth="1"/>
    <col min="8989" max="9218" width="9.140625" style="2970"/>
    <col min="9219" max="9219" width="54.28515625" style="2970" customWidth="1"/>
    <col min="9220" max="9220" width="12.28515625" style="2970" customWidth="1"/>
    <col min="9221" max="9221" width="13.5703125" style="2970" customWidth="1"/>
    <col min="9222" max="9222" width="25.85546875" style="2970" customWidth="1"/>
    <col min="9223" max="9223" width="11.42578125" style="2970" customWidth="1"/>
    <col min="9224" max="9224" width="13" style="2970" customWidth="1"/>
    <col min="9225" max="9225" width="14.42578125" style="2970" customWidth="1"/>
    <col min="9226" max="9226" width="17.140625" style="2970" customWidth="1"/>
    <col min="9227" max="9227" width="20" style="2970" customWidth="1"/>
    <col min="9228" max="9228" width="15.7109375" style="2970" bestFit="1" customWidth="1"/>
    <col min="9229" max="9229" width="13.85546875" style="2970" customWidth="1"/>
    <col min="9230" max="9230" width="12.28515625" style="2970" customWidth="1"/>
    <col min="9231" max="9231" width="9.7109375" style="2970" bestFit="1" customWidth="1"/>
    <col min="9232" max="9232" width="10.7109375" style="2970" customWidth="1"/>
    <col min="9233" max="9233" width="12.28515625" style="2970" customWidth="1"/>
    <col min="9234" max="9239" width="9.140625" style="2970"/>
    <col min="9240" max="9240" width="11.140625" style="2970" bestFit="1" customWidth="1"/>
    <col min="9241" max="9241" width="9.42578125" style="2970" bestFit="1" customWidth="1"/>
    <col min="9242" max="9244" width="11.140625" style="2970" bestFit="1" customWidth="1"/>
    <col min="9245" max="9474" width="9.140625" style="2970"/>
    <col min="9475" max="9475" width="54.28515625" style="2970" customWidth="1"/>
    <col min="9476" max="9476" width="12.28515625" style="2970" customWidth="1"/>
    <col min="9477" max="9477" width="13.5703125" style="2970" customWidth="1"/>
    <col min="9478" max="9478" width="25.85546875" style="2970" customWidth="1"/>
    <col min="9479" max="9479" width="11.42578125" style="2970" customWidth="1"/>
    <col min="9480" max="9480" width="13" style="2970" customWidth="1"/>
    <col min="9481" max="9481" width="14.42578125" style="2970" customWidth="1"/>
    <col min="9482" max="9482" width="17.140625" style="2970" customWidth="1"/>
    <col min="9483" max="9483" width="20" style="2970" customWidth="1"/>
    <col min="9484" max="9484" width="15.7109375" style="2970" bestFit="1" customWidth="1"/>
    <col min="9485" max="9485" width="13.85546875" style="2970" customWidth="1"/>
    <col min="9486" max="9486" width="12.28515625" style="2970" customWidth="1"/>
    <col min="9487" max="9487" width="9.7109375" style="2970" bestFit="1" customWidth="1"/>
    <col min="9488" max="9488" width="10.7109375" style="2970" customWidth="1"/>
    <col min="9489" max="9489" width="12.28515625" style="2970" customWidth="1"/>
    <col min="9490" max="9495" width="9.140625" style="2970"/>
    <col min="9496" max="9496" width="11.140625" style="2970" bestFit="1" customWidth="1"/>
    <col min="9497" max="9497" width="9.42578125" style="2970" bestFit="1" customWidth="1"/>
    <col min="9498" max="9500" width="11.140625" style="2970" bestFit="1" customWidth="1"/>
    <col min="9501" max="9730" width="9.140625" style="2970"/>
    <col min="9731" max="9731" width="54.28515625" style="2970" customWidth="1"/>
    <col min="9732" max="9732" width="12.28515625" style="2970" customWidth="1"/>
    <col min="9733" max="9733" width="13.5703125" style="2970" customWidth="1"/>
    <col min="9734" max="9734" width="25.85546875" style="2970" customWidth="1"/>
    <col min="9735" max="9735" width="11.42578125" style="2970" customWidth="1"/>
    <col min="9736" max="9736" width="13" style="2970" customWidth="1"/>
    <col min="9737" max="9737" width="14.42578125" style="2970" customWidth="1"/>
    <col min="9738" max="9738" width="17.140625" style="2970" customWidth="1"/>
    <col min="9739" max="9739" width="20" style="2970" customWidth="1"/>
    <col min="9740" max="9740" width="15.7109375" style="2970" bestFit="1" customWidth="1"/>
    <col min="9741" max="9741" width="13.85546875" style="2970" customWidth="1"/>
    <col min="9742" max="9742" width="12.28515625" style="2970" customWidth="1"/>
    <col min="9743" max="9743" width="9.7109375" style="2970" bestFit="1" customWidth="1"/>
    <col min="9744" max="9744" width="10.7109375" style="2970" customWidth="1"/>
    <col min="9745" max="9745" width="12.28515625" style="2970" customWidth="1"/>
    <col min="9746" max="9751" width="9.140625" style="2970"/>
    <col min="9752" max="9752" width="11.140625" style="2970" bestFit="1" customWidth="1"/>
    <col min="9753" max="9753" width="9.42578125" style="2970" bestFit="1" customWidth="1"/>
    <col min="9754" max="9756" width="11.140625" style="2970" bestFit="1" customWidth="1"/>
    <col min="9757" max="9986" width="9.140625" style="2970"/>
    <col min="9987" max="9987" width="54.28515625" style="2970" customWidth="1"/>
    <col min="9988" max="9988" width="12.28515625" style="2970" customWidth="1"/>
    <col min="9989" max="9989" width="13.5703125" style="2970" customWidth="1"/>
    <col min="9990" max="9990" width="25.85546875" style="2970" customWidth="1"/>
    <col min="9991" max="9991" width="11.42578125" style="2970" customWidth="1"/>
    <col min="9992" max="9992" width="13" style="2970" customWidth="1"/>
    <col min="9993" max="9993" width="14.42578125" style="2970" customWidth="1"/>
    <col min="9994" max="9994" width="17.140625" style="2970" customWidth="1"/>
    <col min="9995" max="9995" width="20" style="2970" customWidth="1"/>
    <col min="9996" max="9996" width="15.7109375" style="2970" bestFit="1" customWidth="1"/>
    <col min="9997" max="9997" width="13.85546875" style="2970" customWidth="1"/>
    <col min="9998" max="9998" width="12.28515625" style="2970" customWidth="1"/>
    <col min="9999" max="9999" width="9.7109375" style="2970" bestFit="1" customWidth="1"/>
    <col min="10000" max="10000" width="10.7109375" style="2970" customWidth="1"/>
    <col min="10001" max="10001" width="12.28515625" style="2970" customWidth="1"/>
    <col min="10002" max="10007" width="9.140625" style="2970"/>
    <col min="10008" max="10008" width="11.140625" style="2970" bestFit="1" customWidth="1"/>
    <col min="10009" max="10009" width="9.42578125" style="2970" bestFit="1" customWidth="1"/>
    <col min="10010" max="10012" width="11.140625" style="2970" bestFit="1" customWidth="1"/>
    <col min="10013" max="10242" width="9.140625" style="2970"/>
    <col min="10243" max="10243" width="54.28515625" style="2970" customWidth="1"/>
    <col min="10244" max="10244" width="12.28515625" style="2970" customWidth="1"/>
    <col min="10245" max="10245" width="13.5703125" style="2970" customWidth="1"/>
    <col min="10246" max="10246" width="25.85546875" style="2970" customWidth="1"/>
    <col min="10247" max="10247" width="11.42578125" style="2970" customWidth="1"/>
    <col min="10248" max="10248" width="13" style="2970" customWidth="1"/>
    <col min="10249" max="10249" width="14.42578125" style="2970" customWidth="1"/>
    <col min="10250" max="10250" width="17.140625" style="2970" customWidth="1"/>
    <col min="10251" max="10251" width="20" style="2970" customWidth="1"/>
    <col min="10252" max="10252" width="15.7109375" style="2970" bestFit="1" customWidth="1"/>
    <col min="10253" max="10253" width="13.85546875" style="2970" customWidth="1"/>
    <col min="10254" max="10254" width="12.28515625" style="2970" customWidth="1"/>
    <col min="10255" max="10255" width="9.7109375" style="2970" bestFit="1" customWidth="1"/>
    <col min="10256" max="10256" width="10.7109375" style="2970" customWidth="1"/>
    <col min="10257" max="10257" width="12.28515625" style="2970" customWidth="1"/>
    <col min="10258" max="10263" width="9.140625" style="2970"/>
    <col min="10264" max="10264" width="11.140625" style="2970" bestFit="1" customWidth="1"/>
    <col min="10265" max="10265" width="9.42578125" style="2970" bestFit="1" customWidth="1"/>
    <col min="10266" max="10268" width="11.140625" style="2970" bestFit="1" customWidth="1"/>
    <col min="10269" max="10498" width="9.140625" style="2970"/>
    <col min="10499" max="10499" width="54.28515625" style="2970" customWidth="1"/>
    <col min="10500" max="10500" width="12.28515625" style="2970" customWidth="1"/>
    <col min="10501" max="10501" width="13.5703125" style="2970" customWidth="1"/>
    <col min="10502" max="10502" width="25.85546875" style="2970" customWidth="1"/>
    <col min="10503" max="10503" width="11.42578125" style="2970" customWidth="1"/>
    <col min="10504" max="10504" width="13" style="2970" customWidth="1"/>
    <col min="10505" max="10505" width="14.42578125" style="2970" customWidth="1"/>
    <col min="10506" max="10506" width="17.140625" style="2970" customWidth="1"/>
    <col min="10507" max="10507" width="20" style="2970" customWidth="1"/>
    <col min="10508" max="10508" width="15.7109375" style="2970" bestFit="1" customWidth="1"/>
    <col min="10509" max="10509" width="13.85546875" style="2970" customWidth="1"/>
    <col min="10510" max="10510" width="12.28515625" style="2970" customWidth="1"/>
    <col min="10511" max="10511" width="9.7109375" style="2970" bestFit="1" customWidth="1"/>
    <col min="10512" max="10512" width="10.7109375" style="2970" customWidth="1"/>
    <col min="10513" max="10513" width="12.28515625" style="2970" customWidth="1"/>
    <col min="10514" max="10519" width="9.140625" style="2970"/>
    <col min="10520" max="10520" width="11.140625" style="2970" bestFit="1" customWidth="1"/>
    <col min="10521" max="10521" width="9.42578125" style="2970" bestFit="1" customWidth="1"/>
    <col min="10522" max="10524" width="11.140625" style="2970" bestFit="1" customWidth="1"/>
    <col min="10525" max="10754" width="9.140625" style="2970"/>
    <col min="10755" max="10755" width="54.28515625" style="2970" customWidth="1"/>
    <col min="10756" max="10756" width="12.28515625" style="2970" customWidth="1"/>
    <col min="10757" max="10757" width="13.5703125" style="2970" customWidth="1"/>
    <col min="10758" max="10758" width="25.85546875" style="2970" customWidth="1"/>
    <col min="10759" max="10759" width="11.42578125" style="2970" customWidth="1"/>
    <col min="10760" max="10760" width="13" style="2970" customWidth="1"/>
    <col min="10761" max="10761" width="14.42578125" style="2970" customWidth="1"/>
    <col min="10762" max="10762" width="17.140625" style="2970" customWidth="1"/>
    <col min="10763" max="10763" width="20" style="2970" customWidth="1"/>
    <col min="10764" max="10764" width="15.7109375" style="2970" bestFit="1" customWidth="1"/>
    <col min="10765" max="10765" width="13.85546875" style="2970" customWidth="1"/>
    <col min="10766" max="10766" width="12.28515625" style="2970" customWidth="1"/>
    <col min="10767" max="10767" width="9.7109375" style="2970" bestFit="1" customWidth="1"/>
    <col min="10768" max="10768" width="10.7109375" style="2970" customWidth="1"/>
    <col min="10769" max="10769" width="12.28515625" style="2970" customWidth="1"/>
    <col min="10770" max="10775" width="9.140625" style="2970"/>
    <col min="10776" max="10776" width="11.140625" style="2970" bestFit="1" customWidth="1"/>
    <col min="10777" max="10777" width="9.42578125" style="2970" bestFit="1" customWidth="1"/>
    <col min="10778" max="10780" width="11.140625" style="2970" bestFit="1" customWidth="1"/>
    <col min="10781" max="11010" width="9.140625" style="2970"/>
    <col min="11011" max="11011" width="54.28515625" style="2970" customWidth="1"/>
    <col min="11012" max="11012" width="12.28515625" style="2970" customWidth="1"/>
    <col min="11013" max="11013" width="13.5703125" style="2970" customWidth="1"/>
    <col min="11014" max="11014" width="25.85546875" style="2970" customWidth="1"/>
    <col min="11015" max="11015" width="11.42578125" style="2970" customWidth="1"/>
    <col min="11016" max="11016" width="13" style="2970" customWidth="1"/>
    <col min="11017" max="11017" width="14.42578125" style="2970" customWidth="1"/>
    <col min="11018" max="11018" width="17.140625" style="2970" customWidth="1"/>
    <col min="11019" max="11019" width="20" style="2970" customWidth="1"/>
    <col min="11020" max="11020" width="15.7109375" style="2970" bestFit="1" customWidth="1"/>
    <col min="11021" max="11021" width="13.85546875" style="2970" customWidth="1"/>
    <col min="11022" max="11022" width="12.28515625" style="2970" customWidth="1"/>
    <col min="11023" max="11023" width="9.7109375" style="2970" bestFit="1" customWidth="1"/>
    <col min="11024" max="11024" width="10.7109375" style="2970" customWidth="1"/>
    <col min="11025" max="11025" width="12.28515625" style="2970" customWidth="1"/>
    <col min="11026" max="11031" width="9.140625" style="2970"/>
    <col min="11032" max="11032" width="11.140625" style="2970" bestFit="1" customWidth="1"/>
    <col min="11033" max="11033" width="9.42578125" style="2970" bestFit="1" customWidth="1"/>
    <col min="11034" max="11036" width="11.140625" style="2970" bestFit="1" customWidth="1"/>
    <col min="11037" max="11266" width="9.140625" style="2970"/>
    <col min="11267" max="11267" width="54.28515625" style="2970" customWidth="1"/>
    <col min="11268" max="11268" width="12.28515625" style="2970" customWidth="1"/>
    <col min="11269" max="11269" width="13.5703125" style="2970" customWidth="1"/>
    <col min="11270" max="11270" width="25.85546875" style="2970" customWidth="1"/>
    <col min="11271" max="11271" width="11.42578125" style="2970" customWidth="1"/>
    <col min="11272" max="11272" width="13" style="2970" customWidth="1"/>
    <col min="11273" max="11273" width="14.42578125" style="2970" customWidth="1"/>
    <col min="11274" max="11274" width="17.140625" style="2970" customWidth="1"/>
    <col min="11275" max="11275" width="20" style="2970" customWidth="1"/>
    <col min="11276" max="11276" width="15.7109375" style="2970" bestFit="1" customWidth="1"/>
    <col min="11277" max="11277" width="13.85546875" style="2970" customWidth="1"/>
    <col min="11278" max="11278" width="12.28515625" style="2970" customWidth="1"/>
    <col min="11279" max="11279" width="9.7109375" style="2970" bestFit="1" customWidth="1"/>
    <col min="11280" max="11280" width="10.7109375" style="2970" customWidth="1"/>
    <col min="11281" max="11281" width="12.28515625" style="2970" customWidth="1"/>
    <col min="11282" max="11287" width="9.140625" style="2970"/>
    <col min="11288" max="11288" width="11.140625" style="2970" bestFit="1" customWidth="1"/>
    <col min="11289" max="11289" width="9.42578125" style="2970" bestFit="1" customWidth="1"/>
    <col min="11290" max="11292" width="11.140625" style="2970" bestFit="1" customWidth="1"/>
    <col min="11293" max="11522" width="9.140625" style="2970"/>
    <col min="11523" max="11523" width="54.28515625" style="2970" customWidth="1"/>
    <col min="11524" max="11524" width="12.28515625" style="2970" customWidth="1"/>
    <col min="11525" max="11525" width="13.5703125" style="2970" customWidth="1"/>
    <col min="11526" max="11526" width="25.85546875" style="2970" customWidth="1"/>
    <col min="11527" max="11527" width="11.42578125" style="2970" customWidth="1"/>
    <col min="11528" max="11528" width="13" style="2970" customWidth="1"/>
    <col min="11529" max="11529" width="14.42578125" style="2970" customWidth="1"/>
    <col min="11530" max="11530" width="17.140625" style="2970" customWidth="1"/>
    <col min="11531" max="11531" width="20" style="2970" customWidth="1"/>
    <col min="11532" max="11532" width="15.7109375" style="2970" bestFit="1" customWidth="1"/>
    <col min="11533" max="11533" width="13.85546875" style="2970" customWidth="1"/>
    <col min="11534" max="11534" width="12.28515625" style="2970" customWidth="1"/>
    <col min="11535" max="11535" width="9.7109375" style="2970" bestFit="1" customWidth="1"/>
    <col min="11536" max="11536" width="10.7109375" style="2970" customWidth="1"/>
    <col min="11537" max="11537" width="12.28515625" style="2970" customWidth="1"/>
    <col min="11538" max="11543" width="9.140625" style="2970"/>
    <col min="11544" max="11544" width="11.140625" style="2970" bestFit="1" customWidth="1"/>
    <col min="11545" max="11545" width="9.42578125" style="2970" bestFit="1" customWidth="1"/>
    <col min="11546" max="11548" width="11.140625" style="2970" bestFit="1" customWidth="1"/>
    <col min="11549" max="11778" width="9.140625" style="2970"/>
    <col min="11779" max="11779" width="54.28515625" style="2970" customWidth="1"/>
    <col min="11780" max="11780" width="12.28515625" style="2970" customWidth="1"/>
    <col min="11781" max="11781" width="13.5703125" style="2970" customWidth="1"/>
    <col min="11782" max="11782" width="25.85546875" style="2970" customWidth="1"/>
    <col min="11783" max="11783" width="11.42578125" style="2970" customWidth="1"/>
    <col min="11784" max="11784" width="13" style="2970" customWidth="1"/>
    <col min="11785" max="11785" width="14.42578125" style="2970" customWidth="1"/>
    <col min="11786" max="11786" width="17.140625" style="2970" customWidth="1"/>
    <col min="11787" max="11787" width="20" style="2970" customWidth="1"/>
    <col min="11788" max="11788" width="15.7109375" style="2970" bestFit="1" customWidth="1"/>
    <col min="11789" max="11789" width="13.85546875" style="2970" customWidth="1"/>
    <col min="11790" max="11790" width="12.28515625" style="2970" customWidth="1"/>
    <col min="11791" max="11791" width="9.7109375" style="2970" bestFit="1" customWidth="1"/>
    <col min="11792" max="11792" width="10.7109375" style="2970" customWidth="1"/>
    <col min="11793" max="11793" width="12.28515625" style="2970" customWidth="1"/>
    <col min="11794" max="11799" width="9.140625" style="2970"/>
    <col min="11800" max="11800" width="11.140625" style="2970" bestFit="1" customWidth="1"/>
    <col min="11801" max="11801" width="9.42578125" style="2970" bestFit="1" customWidth="1"/>
    <col min="11802" max="11804" width="11.140625" style="2970" bestFit="1" customWidth="1"/>
    <col min="11805" max="12034" width="9.140625" style="2970"/>
    <col min="12035" max="12035" width="54.28515625" style="2970" customWidth="1"/>
    <col min="12036" max="12036" width="12.28515625" style="2970" customWidth="1"/>
    <col min="12037" max="12037" width="13.5703125" style="2970" customWidth="1"/>
    <col min="12038" max="12038" width="25.85546875" style="2970" customWidth="1"/>
    <col min="12039" max="12039" width="11.42578125" style="2970" customWidth="1"/>
    <col min="12040" max="12040" width="13" style="2970" customWidth="1"/>
    <col min="12041" max="12041" width="14.42578125" style="2970" customWidth="1"/>
    <col min="12042" max="12042" width="17.140625" style="2970" customWidth="1"/>
    <col min="12043" max="12043" width="20" style="2970" customWidth="1"/>
    <col min="12044" max="12044" width="15.7109375" style="2970" bestFit="1" customWidth="1"/>
    <col min="12045" max="12045" width="13.85546875" style="2970" customWidth="1"/>
    <col min="12046" max="12046" width="12.28515625" style="2970" customWidth="1"/>
    <col min="12047" max="12047" width="9.7109375" style="2970" bestFit="1" customWidth="1"/>
    <col min="12048" max="12048" width="10.7109375" style="2970" customWidth="1"/>
    <col min="12049" max="12049" width="12.28515625" style="2970" customWidth="1"/>
    <col min="12050" max="12055" width="9.140625" style="2970"/>
    <col min="12056" max="12056" width="11.140625" style="2970" bestFit="1" customWidth="1"/>
    <col min="12057" max="12057" width="9.42578125" style="2970" bestFit="1" customWidth="1"/>
    <col min="12058" max="12060" width="11.140625" style="2970" bestFit="1" customWidth="1"/>
    <col min="12061" max="12290" width="9.140625" style="2970"/>
    <col min="12291" max="12291" width="54.28515625" style="2970" customWidth="1"/>
    <col min="12292" max="12292" width="12.28515625" style="2970" customWidth="1"/>
    <col min="12293" max="12293" width="13.5703125" style="2970" customWidth="1"/>
    <col min="12294" max="12294" width="25.85546875" style="2970" customWidth="1"/>
    <col min="12295" max="12295" width="11.42578125" style="2970" customWidth="1"/>
    <col min="12296" max="12296" width="13" style="2970" customWidth="1"/>
    <col min="12297" max="12297" width="14.42578125" style="2970" customWidth="1"/>
    <col min="12298" max="12298" width="17.140625" style="2970" customWidth="1"/>
    <col min="12299" max="12299" width="20" style="2970" customWidth="1"/>
    <col min="12300" max="12300" width="15.7109375" style="2970" bestFit="1" customWidth="1"/>
    <col min="12301" max="12301" width="13.85546875" style="2970" customWidth="1"/>
    <col min="12302" max="12302" width="12.28515625" style="2970" customWidth="1"/>
    <col min="12303" max="12303" width="9.7109375" style="2970" bestFit="1" customWidth="1"/>
    <col min="12304" max="12304" width="10.7109375" style="2970" customWidth="1"/>
    <col min="12305" max="12305" width="12.28515625" style="2970" customWidth="1"/>
    <col min="12306" max="12311" width="9.140625" style="2970"/>
    <col min="12312" max="12312" width="11.140625" style="2970" bestFit="1" customWidth="1"/>
    <col min="12313" max="12313" width="9.42578125" style="2970" bestFit="1" customWidth="1"/>
    <col min="12314" max="12316" width="11.140625" style="2970" bestFit="1" customWidth="1"/>
    <col min="12317" max="12546" width="9.140625" style="2970"/>
    <col min="12547" max="12547" width="54.28515625" style="2970" customWidth="1"/>
    <col min="12548" max="12548" width="12.28515625" style="2970" customWidth="1"/>
    <col min="12549" max="12549" width="13.5703125" style="2970" customWidth="1"/>
    <col min="12550" max="12550" width="25.85546875" style="2970" customWidth="1"/>
    <col min="12551" max="12551" width="11.42578125" style="2970" customWidth="1"/>
    <col min="12552" max="12552" width="13" style="2970" customWidth="1"/>
    <col min="12553" max="12553" width="14.42578125" style="2970" customWidth="1"/>
    <col min="12554" max="12554" width="17.140625" style="2970" customWidth="1"/>
    <col min="12555" max="12555" width="20" style="2970" customWidth="1"/>
    <col min="12556" max="12556" width="15.7109375" style="2970" bestFit="1" customWidth="1"/>
    <col min="12557" max="12557" width="13.85546875" style="2970" customWidth="1"/>
    <col min="12558" max="12558" width="12.28515625" style="2970" customWidth="1"/>
    <col min="12559" max="12559" width="9.7109375" style="2970" bestFit="1" customWidth="1"/>
    <col min="12560" max="12560" width="10.7109375" style="2970" customWidth="1"/>
    <col min="12561" max="12561" width="12.28515625" style="2970" customWidth="1"/>
    <col min="12562" max="12567" width="9.140625" style="2970"/>
    <col min="12568" max="12568" width="11.140625" style="2970" bestFit="1" customWidth="1"/>
    <col min="12569" max="12569" width="9.42578125" style="2970" bestFit="1" customWidth="1"/>
    <col min="12570" max="12572" width="11.140625" style="2970" bestFit="1" customWidth="1"/>
    <col min="12573" max="12802" width="9.140625" style="2970"/>
    <col min="12803" max="12803" width="54.28515625" style="2970" customWidth="1"/>
    <col min="12804" max="12804" width="12.28515625" style="2970" customWidth="1"/>
    <col min="12805" max="12805" width="13.5703125" style="2970" customWidth="1"/>
    <col min="12806" max="12806" width="25.85546875" style="2970" customWidth="1"/>
    <col min="12807" max="12807" width="11.42578125" style="2970" customWidth="1"/>
    <col min="12808" max="12808" width="13" style="2970" customWidth="1"/>
    <col min="12809" max="12809" width="14.42578125" style="2970" customWidth="1"/>
    <col min="12810" max="12810" width="17.140625" style="2970" customWidth="1"/>
    <col min="12811" max="12811" width="20" style="2970" customWidth="1"/>
    <col min="12812" max="12812" width="15.7109375" style="2970" bestFit="1" customWidth="1"/>
    <col min="12813" max="12813" width="13.85546875" style="2970" customWidth="1"/>
    <col min="12814" max="12814" width="12.28515625" style="2970" customWidth="1"/>
    <col min="12815" max="12815" width="9.7109375" style="2970" bestFit="1" customWidth="1"/>
    <col min="12816" max="12816" width="10.7109375" style="2970" customWidth="1"/>
    <col min="12817" max="12817" width="12.28515625" style="2970" customWidth="1"/>
    <col min="12818" max="12823" width="9.140625" style="2970"/>
    <col min="12824" max="12824" width="11.140625" style="2970" bestFit="1" customWidth="1"/>
    <col min="12825" max="12825" width="9.42578125" style="2970" bestFit="1" customWidth="1"/>
    <col min="12826" max="12828" width="11.140625" style="2970" bestFit="1" customWidth="1"/>
    <col min="12829" max="13058" width="9.140625" style="2970"/>
    <col min="13059" max="13059" width="54.28515625" style="2970" customWidth="1"/>
    <col min="13060" max="13060" width="12.28515625" style="2970" customWidth="1"/>
    <col min="13061" max="13061" width="13.5703125" style="2970" customWidth="1"/>
    <col min="13062" max="13062" width="25.85546875" style="2970" customWidth="1"/>
    <col min="13063" max="13063" width="11.42578125" style="2970" customWidth="1"/>
    <col min="13064" max="13064" width="13" style="2970" customWidth="1"/>
    <col min="13065" max="13065" width="14.42578125" style="2970" customWidth="1"/>
    <col min="13066" max="13066" width="17.140625" style="2970" customWidth="1"/>
    <col min="13067" max="13067" width="20" style="2970" customWidth="1"/>
    <col min="13068" max="13068" width="15.7109375" style="2970" bestFit="1" customWidth="1"/>
    <col min="13069" max="13069" width="13.85546875" style="2970" customWidth="1"/>
    <col min="13070" max="13070" width="12.28515625" style="2970" customWidth="1"/>
    <col min="13071" max="13071" width="9.7109375" style="2970" bestFit="1" customWidth="1"/>
    <col min="13072" max="13072" width="10.7109375" style="2970" customWidth="1"/>
    <col min="13073" max="13073" width="12.28515625" style="2970" customWidth="1"/>
    <col min="13074" max="13079" width="9.140625" style="2970"/>
    <col min="13080" max="13080" width="11.140625" style="2970" bestFit="1" customWidth="1"/>
    <col min="13081" max="13081" width="9.42578125" style="2970" bestFit="1" customWidth="1"/>
    <col min="13082" max="13084" width="11.140625" style="2970" bestFit="1" customWidth="1"/>
    <col min="13085" max="13314" width="9.140625" style="2970"/>
    <col min="13315" max="13315" width="54.28515625" style="2970" customWidth="1"/>
    <col min="13316" max="13316" width="12.28515625" style="2970" customWidth="1"/>
    <col min="13317" max="13317" width="13.5703125" style="2970" customWidth="1"/>
    <col min="13318" max="13318" width="25.85546875" style="2970" customWidth="1"/>
    <col min="13319" max="13319" width="11.42578125" style="2970" customWidth="1"/>
    <col min="13320" max="13320" width="13" style="2970" customWidth="1"/>
    <col min="13321" max="13321" width="14.42578125" style="2970" customWidth="1"/>
    <col min="13322" max="13322" width="17.140625" style="2970" customWidth="1"/>
    <col min="13323" max="13323" width="20" style="2970" customWidth="1"/>
    <col min="13324" max="13324" width="15.7109375" style="2970" bestFit="1" customWidth="1"/>
    <col min="13325" max="13325" width="13.85546875" style="2970" customWidth="1"/>
    <col min="13326" max="13326" width="12.28515625" style="2970" customWidth="1"/>
    <col min="13327" max="13327" width="9.7109375" style="2970" bestFit="1" customWidth="1"/>
    <col min="13328" max="13328" width="10.7109375" style="2970" customWidth="1"/>
    <col min="13329" max="13329" width="12.28515625" style="2970" customWidth="1"/>
    <col min="13330" max="13335" width="9.140625" style="2970"/>
    <col min="13336" max="13336" width="11.140625" style="2970" bestFit="1" customWidth="1"/>
    <col min="13337" max="13337" width="9.42578125" style="2970" bestFit="1" customWidth="1"/>
    <col min="13338" max="13340" width="11.140625" style="2970" bestFit="1" customWidth="1"/>
    <col min="13341" max="13570" width="9.140625" style="2970"/>
    <col min="13571" max="13571" width="54.28515625" style="2970" customWidth="1"/>
    <col min="13572" max="13572" width="12.28515625" style="2970" customWidth="1"/>
    <col min="13573" max="13573" width="13.5703125" style="2970" customWidth="1"/>
    <col min="13574" max="13574" width="25.85546875" style="2970" customWidth="1"/>
    <col min="13575" max="13575" width="11.42578125" style="2970" customWidth="1"/>
    <col min="13576" max="13576" width="13" style="2970" customWidth="1"/>
    <col min="13577" max="13577" width="14.42578125" style="2970" customWidth="1"/>
    <col min="13578" max="13578" width="17.140625" style="2970" customWidth="1"/>
    <col min="13579" max="13579" width="20" style="2970" customWidth="1"/>
    <col min="13580" max="13580" width="15.7109375" style="2970" bestFit="1" customWidth="1"/>
    <col min="13581" max="13581" width="13.85546875" style="2970" customWidth="1"/>
    <col min="13582" max="13582" width="12.28515625" style="2970" customWidth="1"/>
    <col min="13583" max="13583" width="9.7109375" style="2970" bestFit="1" customWidth="1"/>
    <col min="13584" max="13584" width="10.7109375" style="2970" customWidth="1"/>
    <col min="13585" max="13585" width="12.28515625" style="2970" customWidth="1"/>
    <col min="13586" max="13591" width="9.140625" style="2970"/>
    <col min="13592" max="13592" width="11.140625" style="2970" bestFit="1" customWidth="1"/>
    <col min="13593" max="13593" width="9.42578125" style="2970" bestFit="1" customWidth="1"/>
    <col min="13594" max="13596" width="11.140625" style="2970" bestFit="1" customWidth="1"/>
    <col min="13597" max="13826" width="9.140625" style="2970"/>
    <col min="13827" max="13827" width="54.28515625" style="2970" customWidth="1"/>
    <col min="13828" max="13828" width="12.28515625" style="2970" customWidth="1"/>
    <col min="13829" max="13829" width="13.5703125" style="2970" customWidth="1"/>
    <col min="13830" max="13830" width="25.85546875" style="2970" customWidth="1"/>
    <col min="13831" max="13831" width="11.42578125" style="2970" customWidth="1"/>
    <col min="13832" max="13832" width="13" style="2970" customWidth="1"/>
    <col min="13833" max="13833" width="14.42578125" style="2970" customWidth="1"/>
    <col min="13834" max="13834" width="17.140625" style="2970" customWidth="1"/>
    <col min="13835" max="13835" width="20" style="2970" customWidth="1"/>
    <col min="13836" max="13836" width="15.7109375" style="2970" bestFit="1" customWidth="1"/>
    <col min="13837" max="13837" width="13.85546875" style="2970" customWidth="1"/>
    <col min="13838" max="13838" width="12.28515625" style="2970" customWidth="1"/>
    <col min="13839" max="13839" width="9.7109375" style="2970" bestFit="1" customWidth="1"/>
    <col min="13840" max="13840" width="10.7109375" style="2970" customWidth="1"/>
    <col min="13841" max="13841" width="12.28515625" style="2970" customWidth="1"/>
    <col min="13842" max="13847" width="9.140625" style="2970"/>
    <col min="13848" max="13848" width="11.140625" style="2970" bestFit="1" customWidth="1"/>
    <col min="13849" max="13849" width="9.42578125" style="2970" bestFit="1" customWidth="1"/>
    <col min="13850" max="13852" width="11.140625" style="2970" bestFit="1" customWidth="1"/>
    <col min="13853" max="14082" width="9.140625" style="2970"/>
    <col min="14083" max="14083" width="54.28515625" style="2970" customWidth="1"/>
    <col min="14084" max="14084" width="12.28515625" style="2970" customWidth="1"/>
    <col min="14085" max="14085" width="13.5703125" style="2970" customWidth="1"/>
    <col min="14086" max="14086" width="25.85546875" style="2970" customWidth="1"/>
    <col min="14087" max="14087" width="11.42578125" style="2970" customWidth="1"/>
    <col min="14088" max="14088" width="13" style="2970" customWidth="1"/>
    <col min="14089" max="14089" width="14.42578125" style="2970" customWidth="1"/>
    <col min="14090" max="14090" width="17.140625" style="2970" customWidth="1"/>
    <col min="14091" max="14091" width="20" style="2970" customWidth="1"/>
    <col min="14092" max="14092" width="15.7109375" style="2970" bestFit="1" customWidth="1"/>
    <col min="14093" max="14093" width="13.85546875" style="2970" customWidth="1"/>
    <col min="14094" max="14094" width="12.28515625" style="2970" customWidth="1"/>
    <col min="14095" max="14095" width="9.7109375" style="2970" bestFit="1" customWidth="1"/>
    <col min="14096" max="14096" width="10.7109375" style="2970" customWidth="1"/>
    <col min="14097" max="14097" width="12.28515625" style="2970" customWidth="1"/>
    <col min="14098" max="14103" width="9.140625" style="2970"/>
    <col min="14104" max="14104" width="11.140625" style="2970" bestFit="1" customWidth="1"/>
    <col min="14105" max="14105" width="9.42578125" style="2970" bestFit="1" customWidth="1"/>
    <col min="14106" max="14108" width="11.140625" style="2970" bestFit="1" customWidth="1"/>
    <col min="14109" max="14338" width="9.140625" style="2970"/>
    <col min="14339" max="14339" width="54.28515625" style="2970" customWidth="1"/>
    <col min="14340" max="14340" width="12.28515625" style="2970" customWidth="1"/>
    <col min="14341" max="14341" width="13.5703125" style="2970" customWidth="1"/>
    <col min="14342" max="14342" width="25.85546875" style="2970" customWidth="1"/>
    <col min="14343" max="14343" width="11.42578125" style="2970" customWidth="1"/>
    <col min="14344" max="14344" width="13" style="2970" customWidth="1"/>
    <col min="14345" max="14345" width="14.42578125" style="2970" customWidth="1"/>
    <col min="14346" max="14346" width="17.140625" style="2970" customWidth="1"/>
    <col min="14347" max="14347" width="20" style="2970" customWidth="1"/>
    <col min="14348" max="14348" width="15.7109375" style="2970" bestFit="1" customWidth="1"/>
    <col min="14349" max="14349" width="13.85546875" style="2970" customWidth="1"/>
    <col min="14350" max="14350" width="12.28515625" style="2970" customWidth="1"/>
    <col min="14351" max="14351" width="9.7109375" style="2970" bestFit="1" customWidth="1"/>
    <col min="14352" max="14352" width="10.7109375" style="2970" customWidth="1"/>
    <col min="14353" max="14353" width="12.28515625" style="2970" customWidth="1"/>
    <col min="14354" max="14359" width="9.140625" style="2970"/>
    <col min="14360" max="14360" width="11.140625" style="2970" bestFit="1" customWidth="1"/>
    <col min="14361" max="14361" width="9.42578125" style="2970" bestFit="1" customWidth="1"/>
    <col min="14362" max="14364" width="11.140625" style="2970" bestFit="1" customWidth="1"/>
    <col min="14365" max="14594" width="9.140625" style="2970"/>
    <col min="14595" max="14595" width="54.28515625" style="2970" customWidth="1"/>
    <col min="14596" max="14596" width="12.28515625" style="2970" customWidth="1"/>
    <col min="14597" max="14597" width="13.5703125" style="2970" customWidth="1"/>
    <col min="14598" max="14598" width="25.85546875" style="2970" customWidth="1"/>
    <col min="14599" max="14599" width="11.42578125" style="2970" customWidth="1"/>
    <col min="14600" max="14600" width="13" style="2970" customWidth="1"/>
    <col min="14601" max="14601" width="14.42578125" style="2970" customWidth="1"/>
    <col min="14602" max="14602" width="17.140625" style="2970" customWidth="1"/>
    <col min="14603" max="14603" width="20" style="2970" customWidth="1"/>
    <col min="14604" max="14604" width="15.7109375" style="2970" bestFit="1" customWidth="1"/>
    <col min="14605" max="14605" width="13.85546875" style="2970" customWidth="1"/>
    <col min="14606" max="14606" width="12.28515625" style="2970" customWidth="1"/>
    <col min="14607" max="14607" width="9.7109375" style="2970" bestFit="1" customWidth="1"/>
    <col min="14608" max="14608" width="10.7109375" style="2970" customWidth="1"/>
    <col min="14609" max="14609" width="12.28515625" style="2970" customWidth="1"/>
    <col min="14610" max="14615" width="9.140625" style="2970"/>
    <col min="14616" max="14616" width="11.140625" style="2970" bestFit="1" customWidth="1"/>
    <col min="14617" max="14617" width="9.42578125" style="2970" bestFit="1" customWidth="1"/>
    <col min="14618" max="14620" width="11.140625" style="2970" bestFit="1" customWidth="1"/>
    <col min="14621" max="14850" width="9.140625" style="2970"/>
    <col min="14851" max="14851" width="54.28515625" style="2970" customWidth="1"/>
    <col min="14852" max="14852" width="12.28515625" style="2970" customWidth="1"/>
    <col min="14853" max="14853" width="13.5703125" style="2970" customWidth="1"/>
    <col min="14854" max="14854" width="25.85546875" style="2970" customWidth="1"/>
    <col min="14855" max="14855" width="11.42578125" style="2970" customWidth="1"/>
    <col min="14856" max="14856" width="13" style="2970" customWidth="1"/>
    <col min="14857" max="14857" width="14.42578125" style="2970" customWidth="1"/>
    <col min="14858" max="14858" width="17.140625" style="2970" customWidth="1"/>
    <col min="14859" max="14859" width="20" style="2970" customWidth="1"/>
    <col min="14860" max="14860" width="15.7109375" style="2970" bestFit="1" customWidth="1"/>
    <col min="14861" max="14861" width="13.85546875" style="2970" customWidth="1"/>
    <col min="14862" max="14862" width="12.28515625" style="2970" customWidth="1"/>
    <col min="14863" max="14863" width="9.7109375" style="2970" bestFit="1" customWidth="1"/>
    <col min="14864" max="14864" width="10.7109375" style="2970" customWidth="1"/>
    <col min="14865" max="14865" width="12.28515625" style="2970" customWidth="1"/>
    <col min="14866" max="14871" width="9.140625" style="2970"/>
    <col min="14872" max="14872" width="11.140625" style="2970" bestFit="1" customWidth="1"/>
    <col min="14873" max="14873" width="9.42578125" style="2970" bestFit="1" customWidth="1"/>
    <col min="14874" max="14876" width="11.140625" style="2970" bestFit="1" customWidth="1"/>
    <col min="14877" max="15106" width="9.140625" style="2970"/>
    <col min="15107" max="15107" width="54.28515625" style="2970" customWidth="1"/>
    <col min="15108" max="15108" width="12.28515625" style="2970" customWidth="1"/>
    <col min="15109" max="15109" width="13.5703125" style="2970" customWidth="1"/>
    <col min="15110" max="15110" width="25.85546875" style="2970" customWidth="1"/>
    <col min="15111" max="15111" width="11.42578125" style="2970" customWidth="1"/>
    <col min="15112" max="15112" width="13" style="2970" customWidth="1"/>
    <col min="15113" max="15113" width="14.42578125" style="2970" customWidth="1"/>
    <col min="15114" max="15114" width="17.140625" style="2970" customWidth="1"/>
    <col min="15115" max="15115" width="20" style="2970" customWidth="1"/>
    <col min="15116" max="15116" width="15.7109375" style="2970" bestFit="1" customWidth="1"/>
    <col min="15117" max="15117" width="13.85546875" style="2970" customWidth="1"/>
    <col min="15118" max="15118" width="12.28515625" style="2970" customWidth="1"/>
    <col min="15119" max="15119" width="9.7109375" style="2970" bestFit="1" customWidth="1"/>
    <col min="15120" max="15120" width="10.7109375" style="2970" customWidth="1"/>
    <col min="15121" max="15121" width="12.28515625" style="2970" customWidth="1"/>
    <col min="15122" max="15127" width="9.140625" style="2970"/>
    <col min="15128" max="15128" width="11.140625" style="2970" bestFit="1" customWidth="1"/>
    <col min="15129" max="15129" width="9.42578125" style="2970" bestFit="1" customWidth="1"/>
    <col min="15130" max="15132" width="11.140625" style="2970" bestFit="1" customWidth="1"/>
    <col min="15133" max="15362" width="9.140625" style="2970"/>
    <col min="15363" max="15363" width="54.28515625" style="2970" customWidth="1"/>
    <col min="15364" max="15364" width="12.28515625" style="2970" customWidth="1"/>
    <col min="15365" max="15365" width="13.5703125" style="2970" customWidth="1"/>
    <col min="15366" max="15366" width="25.85546875" style="2970" customWidth="1"/>
    <col min="15367" max="15367" width="11.42578125" style="2970" customWidth="1"/>
    <col min="15368" max="15368" width="13" style="2970" customWidth="1"/>
    <col min="15369" max="15369" width="14.42578125" style="2970" customWidth="1"/>
    <col min="15370" max="15370" width="17.140625" style="2970" customWidth="1"/>
    <col min="15371" max="15371" width="20" style="2970" customWidth="1"/>
    <col min="15372" max="15372" width="15.7109375" style="2970" bestFit="1" customWidth="1"/>
    <col min="15373" max="15373" width="13.85546875" style="2970" customWidth="1"/>
    <col min="15374" max="15374" width="12.28515625" style="2970" customWidth="1"/>
    <col min="15375" max="15375" width="9.7109375" style="2970" bestFit="1" customWidth="1"/>
    <col min="15376" max="15376" width="10.7109375" style="2970" customWidth="1"/>
    <col min="15377" max="15377" width="12.28515625" style="2970" customWidth="1"/>
    <col min="15378" max="15383" width="9.140625" style="2970"/>
    <col min="15384" max="15384" width="11.140625" style="2970" bestFit="1" customWidth="1"/>
    <col min="15385" max="15385" width="9.42578125" style="2970" bestFit="1" customWidth="1"/>
    <col min="15386" max="15388" width="11.140625" style="2970" bestFit="1" customWidth="1"/>
    <col min="15389" max="15618" width="9.140625" style="2970"/>
    <col min="15619" max="15619" width="54.28515625" style="2970" customWidth="1"/>
    <col min="15620" max="15620" width="12.28515625" style="2970" customWidth="1"/>
    <col min="15621" max="15621" width="13.5703125" style="2970" customWidth="1"/>
    <col min="15622" max="15622" width="25.85546875" style="2970" customWidth="1"/>
    <col min="15623" max="15623" width="11.42578125" style="2970" customWidth="1"/>
    <col min="15624" max="15624" width="13" style="2970" customWidth="1"/>
    <col min="15625" max="15625" width="14.42578125" style="2970" customWidth="1"/>
    <col min="15626" max="15626" width="17.140625" style="2970" customWidth="1"/>
    <col min="15627" max="15627" width="20" style="2970" customWidth="1"/>
    <col min="15628" max="15628" width="15.7109375" style="2970" bestFit="1" customWidth="1"/>
    <col min="15629" max="15629" width="13.85546875" style="2970" customWidth="1"/>
    <col min="15630" max="15630" width="12.28515625" style="2970" customWidth="1"/>
    <col min="15631" max="15631" width="9.7109375" style="2970" bestFit="1" customWidth="1"/>
    <col min="15632" max="15632" width="10.7109375" style="2970" customWidth="1"/>
    <col min="15633" max="15633" width="12.28515625" style="2970" customWidth="1"/>
    <col min="15634" max="15639" width="9.140625" style="2970"/>
    <col min="15640" max="15640" width="11.140625" style="2970" bestFit="1" customWidth="1"/>
    <col min="15641" max="15641" width="9.42578125" style="2970" bestFit="1" customWidth="1"/>
    <col min="15642" max="15644" width="11.140625" style="2970" bestFit="1" customWidth="1"/>
    <col min="15645" max="15874" width="9.140625" style="2970"/>
    <col min="15875" max="15875" width="54.28515625" style="2970" customWidth="1"/>
    <col min="15876" max="15876" width="12.28515625" style="2970" customWidth="1"/>
    <col min="15877" max="15877" width="13.5703125" style="2970" customWidth="1"/>
    <col min="15878" max="15878" width="25.85546875" style="2970" customWidth="1"/>
    <col min="15879" max="15879" width="11.42578125" style="2970" customWidth="1"/>
    <col min="15880" max="15880" width="13" style="2970" customWidth="1"/>
    <col min="15881" max="15881" width="14.42578125" style="2970" customWidth="1"/>
    <col min="15882" max="15882" width="17.140625" style="2970" customWidth="1"/>
    <col min="15883" max="15883" width="20" style="2970" customWidth="1"/>
    <col min="15884" max="15884" width="15.7109375" style="2970" bestFit="1" customWidth="1"/>
    <col min="15885" max="15885" width="13.85546875" style="2970" customWidth="1"/>
    <col min="15886" max="15886" width="12.28515625" style="2970" customWidth="1"/>
    <col min="15887" max="15887" width="9.7109375" style="2970" bestFit="1" customWidth="1"/>
    <col min="15888" max="15888" width="10.7109375" style="2970" customWidth="1"/>
    <col min="15889" max="15889" width="12.28515625" style="2970" customWidth="1"/>
    <col min="15890" max="15895" width="9.140625" style="2970"/>
    <col min="15896" max="15896" width="11.140625" style="2970" bestFit="1" customWidth="1"/>
    <col min="15897" max="15897" width="9.42578125" style="2970" bestFit="1" customWidth="1"/>
    <col min="15898" max="15900" width="11.140625" style="2970" bestFit="1" customWidth="1"/>
    <col min="15901" max="16130" width="9.140625" style="2970"/>
    <col min="16131" max="16131" width="54.28515625" style="2970" customWidth="1"/>
    <col min="16132" max="16132" width="12.28515625" style="2970" customWidth="1"/>
    <col min="16133" max="16133" width="13.5703125" style="2970" customWidth="1"/>
    <col min="16134" max="16134" width="25.85546875" style="2970" customWidth="1"/>
    <col min="16135" max="16135" width="11.42578125" style="2970" customWidth="1"/>
    <col min="16136" max="16136" width="13" style="2970" customWidth="1"/>
    <col min="16137" max="16137" width="14.42578125" style="2970" customWidth="1"/>
    <col min="16138" max="16138" width="17.140625" style="2970" customWidth="1"/>
    <col min="16139" max="16139" width="20" style="2970" customWidth="1"/>
    <col min="16140" max="16140" width="15.7109375" style="2970" bestFit="1" customWidth="1"/>
    <col min="16141" max="16141" width="13.85546875" style="2970" customWidth="1"/>
    <col min="16142" max="16142" width="12.28515625" style="2970" customWidth="1"/>
    <col min="16143" max="16143" width="9.7109375" style="2970" bestFit="1" customWidth="1"/>
    <col min="16144" max="16144" width="10.7109375" style="2970" customWidth="1"/>
    <col min="16145" max="16145" width="12.28515625" style="2970" customWidth="1"/>
    <col min="16146" max="16151" width="9.140625" style="2970"/>
    <col min="16152" max="16152" width="11.140625" style="2970" bestFit="1" customWidth="1"/>
    <col min="16153" max="16153" width="9.42578125" style="2970" bestFit="1" customWidth="1"/>
    <col min="16154" max="16156" width="11.140625" style="2970" bestFit="1" customWidth="1"/>
    <col min="16157" max="16384" width="9.140625" style="2970"/>
  </cols>
  <sheetData>
    <row r="1" spans="1:41" x14ac:dyDescent="0.25">
      <c r="B1" s="3008">
        <v>2007</v>
      </c>
      <c r="C1" s="3008">
        <v>2008</v>
      </c>
      <c r="D1" s="3008">
        <v>2009</v>
      </c>
      <c r="E1" s="3008">
        <v>2010</v>
      </c>
      <c r="F1" s="3008">
        <v>2011</v>
      </c>
      <c r="G1" s="3008">
        <v>2012</v>
      </c>
      <c r="H1" s="3044" t="s">
        <v>1434</v>
      </c>
      <c r="J1" s="3010" t="s">
        <v>1391</v>
      </c>
      <c r="K1" s="3010" t="s">
        <v>1392</v>
      </c>
      <c r="L1" s="3010" t="s">
        <v>1393</v>
      </c>
    </row>
    <row r="2" spans="1:41" x14ac:dyDescent="0.25">
      <c r="A2" s="3006" t="s">
        <v>63</v>
      </c>
      <c r="B2" s="2972">
        <v>36878</v>
      </c>
      <c r="C2" s="2972"/>
      <c r="D2" s="2972"/>
      <c r="E2" s="3011"/>
      <c r="F2" s="3011"/>
      <c r="G2" s="3011"/>
      <c r="H2" s="3011">
        <f>AVERAGE(B2:F2)</f>
        <v>36878</v>
      </c>
      <c r="I2" s="2972"/>
      <c r="J2" s="3012">
        <v>0.1</v>
      </c>
      <c r="K2" s="3012">
        <v>1</v>
      </c>
      <c r="L2" s="3012">
        <v>0.28999999999999998</v>
      </c>
      <c r="M2" s="4388"/>
      <c r="N2" s="4389"/>
      <c r="O2" s="3000"/>
      <c r="P2" s="2974"/>
      <c r="Q2" s="2973"/>
      <c r="R2" s="2975"/>
      <c r="S2" s="2975"/>
      <c r="T2" s="2975"/>
      <c r="U2" s="2975"/>
      <c r="V2" s="2975"/>
      <c r="W2" s="2976"/>
      <c r="X2" s="2976"/>
      <c r="Y2" s="2976"/>
      <c r="Z2" s="2976"/>
      <c r="AA2" s="2976"/>
      <c r="AB2" s="2975"/>
      <c r="AC2" s="2975"/>
      <c r="AD2" s="2975"/>
      <c r="AE2" s="2975"/>
      <c r="AF2" s="2975"/>
      <c r="AG2" s="2975"/>
      <c r="AH2" s="2975"/>
      <c r="AI2" s="2975"/>
      <c r="AJ2" s="2975"/>
      <c r="AK2" s="2975"/>
      <c r="AL2" s="2975"/>
      <c r="AM2" s="2975"/>
      <c r="AN2" s="2975"/>
      <c r="AO2" s="2975"/>
    </row>
    <row r="3" spans="1:41" x14ac:dyDescent="0.25">
      <c r="A3" s="3006" t="s">
        <v>877</v>
      </c>
      <c r="B3" s="2972">
        <v>42108</v>
      </c>
      <c r="C3" s="2972">
        <v>39610</v>
      </c>
      <c r="D3" s="2972">
        <v>59930</v>
      </c>
      <c r="E3" s="3011">
        <v>52329</v>
      </c>
      <c r="F3" s="3011"/>
      <c r="G3" s="3011"/>
      <c r="H3" s="3011">
        <f t="shared" ref="H3:H32" si="0">AVERAGE(B3:F3)</f>
        <v>48494.25</v>
      </c>
      <c r="I3" s="2972"/>
      <c r="J3" s="3012">
        <v>0.49</v>
      </c>
      <c r="K3" s="3012">
        <v>1</v>
      </c>
      <c r="L3" s="3013">
        <v>0.9</v>
      </c>
      <c r="M3" s="3001"/>
      <c r="N3" s="3002"/>
      <c r="O3" s="3000"/>
      <c r="P3" s="2974"/>
      <c r="Q3" s="2973"/>
      <c r="R3" s="2975"/>
      <c r="S3" s="2975"/>
      <c r="T3" s="2975"/>
      <c r="U3" s="2975"/>
      <c r="V3" s="2975"/>
      <c r="W3" s="2976"/>
      <c r="X3" s="2976"/>
      <c r="Y3" s="2976"/>
      <c r="Z3" s="2976"/>
      <c r="AA3" s="2976"/>
      <c r="AB3" s="2975"/>
      <c r="AC3" s="2975"/>
      <c r="AD3" s="2975"/>
      <c r="AE3" s="2975"/>
      <c r="AF3" s="2975"/>
      <c r="AG3" s="2975"/>
      <c r="AH3" s="2975"/>
      <c r="AI3" s="2975"/>
      <c r="AJ3" s="2975"/>
      <c r="AK3" s="2975"/>
      <c r="AL3" s="2975"/>
      <c r="AM3" s="2975"/>
      <c r="AN3" s="2975"/>
      <c r="AO3" s="2975"/>
    </row>
    <row r="4" spans="1:41" x14ac:dyDescent="0.25">
      <c r="A4" s="3007" t="s">
        <v>521</v>
      </c>
      <c r="B4" s="3014"/>
      <c r="C4" s="2977">
        <v>41061</v>
      </c>
      <c r="D4" s="2977">
        <v>49252</v>
      </c>
      <c r="E4" s="2977">
        <v>38782</v>
      </c>
      <c r="F4" s="3015">
        <v>45477</v>
      </c>
      <c r="G4" s="3015">
        <v>56512</v>
      </c>
      <c r="H4" s="3011">
        <f t="shared" si="0"/>
        <v>43643</v>
      </c>
      <c r="I4" s="2977"/>
      <c r="J4" s="3016">
        <v>0.25</v>
      </c>
      <c r="K4" s="3016">
        <v>1</v>
      </c>
      <c r="L4" s="3013">
        <v>0.85</v>
      </c>
      <c r="M4" s="3001"/>
      <c r="N4" s="3002"/>
      <c r="O4" s="3000"/>
      <c r="P4" s="2974"/>
      <c r="Q4" s="2975"/>
      <c r="R4" s="2975"/>
      <c r="S4" s="2975"/>
      <c r="T4" s="2975"/>
      <c r="U4" s="2975"/>
      <c r="V4" s="2975"/>
      <c r="W4" s="2976"/>
      <c r="X4" s="2976"/>
      <c r="Y4" s="2976"/>
      <c r="Z4" s="2976"/>
      <c r="AA4" s="2976"/>
      <c r="AB4" s="2975"/>
      <c r="AC4" s="2975"/>
      <c r="AD4" s="2975"/>
      <c r="AE4" s="2975"/>
      <c r="AF4" s="2975"/>
      <c r="AG4" s="2975"/>
      <c r="AH4" s="2975"/>
      <c r="AI4" s="2975"/>
      <c r="AJ4" s="2975"/>
      <c r="AK4" s="2975"/>
      <c r="AL4" s="2975"/>
      <c r="AM4" s="2975"/>
      <c r="AN4" s="2975"/>
      <c r="AO4" s="2975"/>
    </row>
    <row r="5" spans="1:41" x14ac:dyDescent="0.25">
      <c r="A5" s="3007" t="s">
        <v>556</v>
      </c>
      <c r="B5" s="2977"/>
      <c r="C5" s="2977">
        <v>61992</v>
      </c>
      <c r="D5" s="2977">
        <v>57554</v>
      </c>
      <c r="E5" s="3015">
        <v>53674</v>
      </c>
      <c r="F5" s="3015">
        <v>57076</v>
      </c>
      <c r="G5" s="3015"/>
      <c r="H5" s="3011">
        <f t="shared" si="0"/>
        <v>57574</v>
      </c>
      <c r="I5" s="2977"/>
      <c r="J5" s="3016">
        <v>0.2</v>
      </c>
      <c r="K5" s="3016">
        <v>1</v>
      </c>
      <c r="L5" s="3013">
        <v>0.75</v>
      </c>
      <c r="M5" s="3001"/>
      <c r="N5" s="3002"/>
      <c r="O5" s="3000"/>
      <c r="P5" s="2974"/>
      <c r="Q5" s="2975"/>
      <c r="R5" s="2975"/>
      <c r="S5" s="2975"/>
      <c r="T5" s="2975"/>
      <c r="U5" s="2975"/>
      <c r="V5" s="2975"/>
      <c r="W5" s="2976"/>
      <c r="X5" s="2976"/>
      <c r="Y5" s="2976"/>
      <c r="Z5" s="2976"/>
      <c r="AA5" s="2976"/>
      <c r="AB5" s="2975"/>
      <c r="AC5" s="2975"/>
      <c r="AD5" s="2975"/>
      <c r="AE5" s="2975"/>
      <c r="AF5" s="2975"/>
      <c r="AG5" s="2975"/>
      <c r="AH5" s="2975"/>
      <c r="AI5" s="2975"/>
      <c r="AJ5" s="2975"/>
      <c r="AK5" s="2975"/>
      <c r="AL5" s="2975"/>
      <c r="AM5" s="2975"/>
      <c r="AN5" s="2975"/>
      <c r="AO5" s="2975"/>
    </row>
    <row r="6" spans="1:41" x14ac:dyDescent="0.25">
      <c r="A6" s="2979" t="s">
        <v>672</v>
      </c>
      <c r="B6" s="2978"/>
      <c r="C6" s="2978"/>
      <c r="D6" s="2978">
        <v>50513</v>
      </c>
      <c r="E6" s="3017">
        <v>48833</v>
      </c>
      <c r="F6" s="3017">
        <v>46336</v>
      </c>
      <c r="G6" s="3017">
        <v>48983</v>
      </c>
      <c r="H6" s="3011">
        <f t="shared" si="0"/>
        <v>48560.666666666664</v>
      </c>
      <c r="I6" s="2978"/>
      <c r="J6" s="3018">
        <v>0.39</v>
      </c>
      <c r="K6" s="3018">
        <v>1</v>
      </c>
      <c r="L6" s="3013">
        <v>0.85</v>
      </c>
      <c r="M6" s="3001"/>
      <c r="N6" s="3002"/>
      <c r="O6" s="3000"/>
      <c r="P6" s="2974"/>
      <c r="Q6" s="2975"/>
      <c r="R6" s="2975"/>
      <c r="S6" s="2975"/>
      <c r="T6" s="2975"/>
      <c r="U6" s="2975"/>
      <c r="V6" s="2975"/>
      <c r="W6" s="2976"/>
      <c r="X6" s="2976"/>
      <c r="Y6" s="2976"/>
      <c r="Z6" s="2976"/>
      <c r="AA6" s="2976"/>
      <c r="AB6" s="2975"/>
      <c r="AC6" s="2975"/>
      <c r="AD6" s="2975"/>
      <c r="AE6" s="2975"/>
      <c r="AF6" s="2975"/>
      <c r="AG6" s="2975"/>
      <c r="AH6" s="2975"/>
      <c r="AI6" s="2975"/>
      <c r="AJ6" s="2975"/>
      <c r="AK6" s="2975"/>
      <c r="AL6" s="2975"/>
      <c r="AM6" s="2975"/>
      <c r="AN6" s="2975"/>
      <c r="AO6" s="2975"/>
    </row>
    <row r="7" spans="1:41" x14ac:dyDescent="0.25">
      <c r="A7" s="2979" t="s">
        <v>416</v>
      </c>
      <c r="B7" s="2978"/>
      <c r="C7" s="2978"/>
      <c r="D7" s="2978">
        <v>83907</v>
      </c>
      <c r="E7" s="3019">
        <v>72434</v>
      </c>
      <c r="F7" s="3019">
        <v>56830</v>
      </c>
      <c r="G7" s="3019">
        <v>37691</v>
      </c>
      <c r="H7" s="3011">
        <f t="shared" si="0"/>
        <v>71057</v>
      </c>
      <c r="I7" s="2978"/>
      <c r="J7" s="3018">
        <v>0.27</v>
      </c>
      <c r="K7" s="3018">
        <v>1</v>
      </c>
      <c r="L7" s="3013">
        <v>0.28999999999999998</v>
      </c>
      <c r="M7" s="3001"/>
      <c r="N7" s="3002"/>
      <c r="O7" s="3000"/>
      <c r="P7" s="2974"/>
      <c r="Q7" s="2975"/>
      <c r="R7" s="2975"/>
      <c r="S7" s="2975"/>
      <c r="T7" s="2975"/>
      <c r="U7" s="2975"/>
      <c r="V7" s="2975"/>
      <c r="W7" s="2976"/>
      <c r="X7" s="2976"/>
      <c r="Y7" s="2976"/>
      <c r="Z7" s="2976"/>
      <c r="AA7" s="2976"/>
      <c r="AB7" s="2975"/>
      <c r="AC7" s="2975"/>
      <c r="AD7" s="2975"/>
      <c r="AE7" s="2975"/>
      <c r="AF7" s="2975"/>
      <c r="AG7" s="2975"/>
      <c r="AH7" s="2975"/>
      <c r="AI7" s="2975"/>
      <c r="AJ7" s="2975"/>
      <c r="AK7" s="2975"/>
      <c r="AL7" s="2975"/>
      <c r="AM7" s="2975"/>
      <c r="AN7" s="2975"/>
      <c r="AO7" s="2975"/>
    </row>
    <row r="8" spans="1:41" x14ac:dyDescent="0.25">
      <c r="A8" s="2979" t="s">
        <v>802</v>
      </c>
      <c r="B8" s="2978"/>
      <c r="C8" s="2978"/>
      <c r="D8" s="2978">
        <v>47526</v>
      </c>
      <c r="E8" s="3017">
        <v>42258</v>
      </c>
      <c r="F8" s="3017">
        <v>27023</v>
      </c>
      <c r="G8" s="3017">
        <v>28725</v>
      </c>
      <c r="H8" s="3011">
        <f t="shared" si="0"/>
        <v>38935.666666666664</v>
      </c>
      <c r="I8" s="2978"/>
      <c r="J8" s="3018">
        <v>0.15</v>
      </c>
      <c r="K8" s="3018">
        <v>1</v>
      </c>
      <c r="L8" s="3013">
        <v>0.14000000000000001</v>
      </c>
      <c r="M8" s="3001"/>
      <c r="N8" s="3002"/>
      <c r="O8" s="3000"/>
      <c r="P8" s="2974"/>
      <c r="Q8" s="2975"/>
      <c r="R8" s="2975"/>
      <c r="S8" s="2975"/>
      <c r="T8" s="2975"/>
      <c r="U8" s="2975"/>
      <c r="V8" s="2975"/>
      <c r="W8" s="2976"/>
      <c r="X8" s="2976"/>
      <c r="Y8" s="2976"/>
      <c r="Z8" s="2976"/>
      <c r="AA8" s="2976"/>
      <c r="AB8" s="2975"/>
      <c r="AC8" s="2975"/>
      <c r="AD8" s="2975"/>
      <c r="AE8" s="2975"/>
      <c r="AF8" s="2975"/>
      <c r="AG8" s="2975"/>
      <c r="AH8" s="2975"/>
      <c r="AI8" s="2975"/>
      <c r="AJ8" s="2975"/>
      <c r="AK8" s="2975"/>
      <c r="AL8" s="2975"/>
      <c r="AM8" s="2975"/>
      <c r="AN8" s="2975"/>
      <c r="AO8" s="2975"/>
    </row>
    <row r="9" spans="1:41" x14ac:dyDescent="0.25">
      <c r="A9" s="2979" t="s">
        <v>741</v>
      </c>
      <c r="B9" s="2978"/>
      <c r="C9" s="2978"/>
      <c r="D9" s="2978">
        <v>42750</v>
      </c>
      <c r="E9" s="3017">
        <v>37539</v>
      </c>
      <c r="F9" s="3017"/>
      <c r="G9" s="3017"/>
      <c r="H9" s="3011">
        <f t="shared" si="0"/>
        <v>40144.5</v>
      </c>
      <c r="I9" s="2978"/>
      <c r="J9" s="3018">
        <v>0.2</v>
      </c>
      <c r="K9" s="3018">
        <v>0.8</v>
      </c>
      <c r="L9" s="3013">
        <v>0.5</v>
      </c>
      <c r="M9" s="3001"/>
      <c r="N9" s="3002"/>
      <c r="O9" s="3000"/>
      <c r="P9" s="2974"/>
      <c r="Q9" s="2975"/>
      <c r="R9" s="2975"/>
      <c r="S9" s="2975"/>
      <c r="T9" s="2975"/>
      <c r="U9" s="2975"/>
      <c r="V9" s="2975"/>
      <c r="W9" s="2976"/>
      <c r="X9" s="2976"/>
      <c r="Y9" s="2976"/>
      <c r="Z9" s="2976"/>
      <c r="AA9" s="2976"/>
      <c r="AB9" s="2975"/>
      <c r="AC9" s="2975"/>
      <c r="AD9" s="2975"/>
      <c r="AE9" s="2975"/>
      <c r="AF9" s="2975"/>
      <c r="AG9" s="2975"/>
      <c r="AH9" s="2975"/>
      <c r="AI9" s="2975"/>
      <c r="AJ9" s="2975"/>
      <c r="AK9" s="2975"/>
      <c r="AL9" s="2975"/>
      <c r="AM9" s="2975"/>
      <c r="AN9" s="2975"/>
      <c r="AO9" s="2975"/>
    </row>
    <row r="10" spans="1:41" x14ac:dyDescent="0.25">
      <c r="A10" s="2979" t="s">
        <v>555</v>
      </c>
      <c r="B10" s="2978"/>
      <c r="C10" s="2978"/>
      <c r="D10" s="2978"/>
      <c r="E10" s="3019">
        <v>73382</v>
      </c>
      <c r="F10" s="3019">
        <v>39595</v>
      </c>
      <c r="G10" s="3019">
        <v>28692</v>
      </c>
      <c r="H10" s="3011">
        <f t="shared" si="0"/>
        <v>56488.5</v>
      </c>
      <c r="I10" s="2978"/>
      <c r="J10" s="3018">
        <v>0.12</v>
      </c>
      <c r="K10" s="3018">
        <v>0.75</v>
      </c>
      <c r="L10" s="3013">
        <v>0.54</v>
      </c>
      <c r="M10" s="3001"/>
      <c r="N10" s="3002"/>
      <c r="O10" s="3000"/>
      <c r="P10" s="2974"/>
      <c r="Q10" s="2975"/>
      <c r="R10" s="2975"/>
      <c r="S10" s="2975"/>
      <c r="T10" s="2975"/>
      <c r="U10" s="2975"/>
      <c r="V10" s="2975"/>
      <c r="W10" s="2976"/>
      <c r="X10" s="2976"/>
      <c r="Y10" s="2976"/>
      <c r="Z10" s="2976"/>
      <c r="AA10" s="2976"/>
      <c r="AB10" s="2975"/>
      <c r="AC10" s="2975"/>
      <c r="AD10" s="2975"/>
      <c r="AE10" s="2975"/>
      <c r="AF10" s="2975"/>
      <c r="AG10" s="2975"/>
      <c r="AH10" s="2975"/>
      <c r="AI10" s="2975"/>
      <c r="AJ10" s="2975"/>
      <c r="AK10" s="2975"/>
      <c r="AL10" s="2975"/>
      <c r="AM10" s="2975"/>
      <c r="AN10" s="2975"/>
      <c r="AO10" s="2975"/>
    </row>
    <row r="11" spans="1:41" s="2971" customFormat="1" x14ac:dyDescent="0.25">
      <c r="A11" s="2979" t="s">
        <v>846</v>
      </c>
      <c r="B11" s="2978"/>
      <c r="C11" s="2978"/>
      <c r="D11" s="2978">
        <v>46289</v>
      </c>
      <c r="E11" s="3017">
        <v>30153</v>
      </c>
      <c r="F11" s="3017">
        <v>30411</v>
      </c>
      <c r="G11" s="3017">
        <v>35501</v>
      </c>
      <c r="H11" s="3011">
        <f t="shared" si="0"/>
        <v>35617.666666666664</v>
      </c>
      <c r="I11" s="2978"/>
      <c r="J11" s="3018">
        <v>0.79</v>
      </c>
      <c r="K11" s="3018">
        <v>1</v>
      </c>
      <c r="L11" s="3013">
        <v>0.95</v>
      </c>
      <c r="M11" s="3001"/>
      <c r="N11" s="3002"/>
      <c r="O11" s="3000"/>
      <c r="P11" s="2974"/>
      <c r="Q11" s="2973"/>
      <c r="R11" s="2973"/>
      <c r="S11" s="2973"/>
      <c r="T11" s="2973"/>
      <c r="U11" s="2973"/>
      <c r="V11" s="2973"/>
      <c r="W11" s="2980"/>
      <c r="X11" s="2980"/>
      <c r="Y11" s="2980"/>
      <c r="Z11" s="2980"/>
      <c r="AA11" s="2980"/>
      <c r="AB11" s="2973"/>
      <c r="AC11" s="2973"/>
      <c r="AD11" s="2973"/>
      <c r="AE11" s="2973"/>
      <c r="AF11" s="2973"/>
      <c r="AG11" s="2973"/>
      <c r="AH11" s="2973"/>
      <c r="AI11" s="2973"/>
      <c r="AJ11" s="2973"/>
      <c r="AK11" s="2973"/>
      <c r="AL11" s="2973"/>
      <c r="AM11" s="2973"/>
      <c r="AN11" s="2973"/>
      <c r="AO11" s="2973"/>
    </row>
    <row r="12" spans="1:41" x14ac:dyDescent="0.25">
      <c r="A12" s="2979" t="s">
        <v>805</v>
      </c>
      <c r="B12" s="2978"/>
      <c r="C12" s="2978"/>
      <c r="D12" s="2978"/>
      <c r="E12" s="3017">
        <v>36872</v>
      </c>
      <c r="F12" s="3017">
        <v>29547</v>
      </c>
      <c r="G12" s="3017"/>
      <c r="H12" s="3011">
        <f t="shared" si="0"/>
        <v>33209.5</v>
      </c>
      <c r="I12" s="2978"/>
      <c r="J12" s="3018">
        <v>0.16</v>
      </c>
      <c r="K12" s="3018">
        <v>1</v>
      </c>
      <c r="L12" s="3013">
        <v>0.5</v>
      </c>
      <c r="M12" s="3001"/>
      <c r="N12" s="3002"/>
      <c r="O12" s="3000"/>
      <c r="P12" s="2974"/>
      <c r="Q12" s="2975"/>
      <c r="R12" s="2975"/>
      <c r="S12" s="2975"/>
      <c r="T12" s="2975"/>
      <c r="U12" s="2975"/>
      <c r="V12" s="2975"/>
      <c r="W12" s="2976"/>
      <c r="X12" s="2976"/>
      <c r="Y12" s="2976"/>
      <c r="Z12" s="2976"/>
      <c r="AA12" s="2976"/>
      <c r="AB12" s="2975"/>
      <c r="AC12" s="2975"/>
      <c r="AD12" s="2975"/>
      <c r="AE12" s="2975"/>
      <c r="AF12" s="2975"/>
      <c r="AG12" s="2975"/>
      <c r="AH12" s="2975"/>
      <c r="AI12" s="2975"/>
      <c r="AJ12" s="2975"/>
      <c r="AK12" s="2975"/>
      <c r="AL12" s="2975"/>
      <c r="AM12" s="2975"/>
      <c r="AN12" s="2975"/>
      <c r="AO12" s="2975"/>
    </row>
    <row r="13" spans="1:41" x14ac:dyDescent="0.25">
      <c r="A13" s="2979" t="s">
        <v>875</v>
      </c>
      <c r="B13" s="2978"/>
      <c r="C13" s="2978"/>
      <c r="D13" s="2978"/>
      <c r="E13" s="3019">
        <v>44321</v>
      </c>
      <c r="F13" s="3019">
        <v>33884</v>
      </c>
      <c r="G13" s="3019">
        <v>34275</v>
      </c>
      <c r="H13" s="3011">
        <f t="shared" si="0"/>
        <v>39102.5</v>
      </c>
      <c r="I13" s="2978"/>
      <c r="J13" s="3018">
        <v>0.1</v>
      </c>
      <c r="K13" s="3018">
        <v>1</v>
      </c>
      <c r="L13" s="3013">
        <v>0.65</v>
      </c>
      <c r="M13" s="3001"/>
      <c r="N13" s="3002"/>
      <c r="O13" s="3000"/>
      <c r="P13" s="2974"/>
      <c r="Q13" s="2975"/>
      <c r="R13" s="2975"/>
      <c r="S13" s="2975"/>
      <c r="T13" s="2975"/>
      <c r="U13" s="2975"/>
      <c r="V13" s="2975"/>
      <c r="W13" s="2976"/>
      <c r="X13" s="2976"/>
      <c r="Y13" s="2976"/>
      <c r="Z13" s="2976"/>
      <c r="AA13" s="2976"/>
      <c r="AB13" s="2975"/>
      <c r="AC13" s="2975"/>
      <c r="AD13" s="2975"/>
      <c r="AE13" s="2975"/>
      <c r="AF13" s="2975"/>
      <c r="AG13" s="2975"/>
      <c r="AH13" s="2975"/>
      <c r="AI13" s="2975"/>
      <c r="AJ13" s="2975"/>
      <c r="AK13" s="2975"/>
      <c r="AL13" s="2975"/>
      <c r="AM13" s="2975"/>
      <c r="AN13" s="2975"/>
      <c r="AO13" s="2975"/>
    </row>
    <row r="14" spans="1:41" x14ac:dyDescent="0.25">
      <c r="A14" s="2979" t="s">
        <v>1360</v>
      </c>
      <c r="B14" s="2978"/>
      <c r="C14" s="2978"/>
      <c r="D14" s="2978">
        <v>78019</v>
      </c>
      <c r="E14" s="3017">
        <v>92827</v>
      </c>
      <c r="F14" s="3017">
        <v>65084</v>
      </c>
      <c r="G14" s="3017">
        <v>75206</v>
      </c>
      <c r="H14" s="3011">
        <f t="shared" si="0"/>
        <v>78643.333333333328</v>
      </c>
      <c r="I14" s="2978"/>
      <c r="J14" s="3018">
        <v>0.1</v>
      </c>
      <c r="K14" s="3018">
        <v>1</v>
      </c>
      <c r="L14" s="3013">
        <v>1</v>
      </c>
      <c r="M14" s="3001"/>
      <c r="N14" s="3002"/>
      <c r="O14" s="3000"/>
      <c r="P14" s="2974"/>
      <c r="Q14" s="2975"/>
      <c r="R14" s="2975"/>
      <c r="S14" s="2975"/>
      <c r="T14" s="2975"/>
      <c r="U14" s="2975"/>
      <c r="V14" s="2975"/>
      <c r="W14" s="2976"/>
      <c r="X14" s="2976"/>
      <c r="Y14" s="2976"/>
      <c r="Z14" s="2976"/>
      <c r="AA14" s="2976"/>
      <c r="AB14" s="2975"/>
      <c r="AC14" s="2975"/>
      <c r="AD14" s="2975"/>
      <c r="AE14" s="2975"/>
      <c r="AF14" s="2975"/>
      <c r="AG14" s="2975"/>
      <c r="AH14" s="2975"/>
      <c r="AI14" s="2975"/>
      <c r="AJ14" s="2975"/>
      <c r="AK14" s="2975"/>
      <c r="AL14" s="2975"/>
      <c r="AM14" s="2975"/>
      <c r="AN14" s="2975"/>
      <c r="AO14" s="2975"/>
    </row>
    <row r="15" spans="1:41" x14ac:dyDescent="0.25">
      <c r="A15" s="2979" t="s">
        <v>877</v>
      </c>
      <c r="B15" s="2978"/>
      <c r="C15" s="2978"/>
      <c r="D15" s="2978">
        <v>33453</v>
      </c>
      <c r="E15" s="3017">
        <v>71387</v>
      </c>
      <c r="F15" s="3017">
        <v>35219</v>
      </c>
      <c r="G15" s="3017"/>
      <c r="H15" s="3011">
        <f t="shared" si="0"/>
        <v>46686.333333333336</v>
      </c>
      <c r="I15" s="2978"/>
      <c r="J15" s="3018">
        <v>0.21</v>
      </c>
      <c r="K15" s="3018">
        <v>1</v>
      </c>
      <c r="L15" s="3013">
        <v>0.9</v>
      </c>
      <c r="M15" s="3001"/>
      <c r="N15" s="3002"/>
      <c r="O15" s="3000"/>
      <c r="P15" s="2974"/>
      <c r="Q15" s="2975"/>
      <c r="R15" s="2975"/>
      <c r="S15" s="2975"/>
      <c r="T15" s="2975"/>
      <c r="U15" s="2975"/>
      <c r="V15" s="2975"/>
      <c r="W15" s="2976"/>
      <c r="X15" s="2976"/>
      <c r="Y15" s="2976"/>
      <c r="Z15" s="2976"/>
      <c r="AA15" s="2976"/>
      <c r="AB15" s="2975"/>
      <c r="AC15" s="2975"/>
      <c r="AD15" s="2975"/>
      <c r="AE15" s="2975"/>
      <c r="AF15" s="2975"/>
      <c r="AG15" s="2975"/>
      <c r="AH15" s="2975"/>
      <c r="AI15" s="2975"/>
      <c r="AJ15" s="2975"/>
      <c r="AK15" s="2975"/>
      <c r="AL15" s="2975"/>
      <c r="AM15" s="2975"/>
      <c r="AN15" s="2975"/>
      <c r="AO15" s="2975"/>
    </row>
    <row r="16" spans="1:41" s="2973" customFormat="1" x14ac:dyDescent="0.25">
      <c r="A16" s="2982" t="s">
        <v>1002</v>
      </c>
      <c r="B16" s="2981"/>
      <c r="C16" s="2981"/>
      <c r="D16" s="2981"/>
      <c r="E16" s="3020">
        <v>55646</v>
      </c>
      <c r="F16" s="3020">
        <v>57861</v>
      </c>
      <c r="G16" s="3020">
        <v>59816</v>
      </c>
      <c r="H16" s="3011">
        <f t="shared" si="0"/>
        <v>56753.5</v>
      </c>
      <c r="I16" s="2981"/>
      <c r="J16" s="3021">
        <v>0.08</v>
      </c>
      <c r="K16" s="3021">
        <v>0.95</v>
      </c>
      <c r="L16" s="3022">
        <v>0.9</v>
      </c>
      <c r="M16" s="3001"/>
      <c r="N16" s="3002"/>
      <c r="O16" s="3000"/>
      <c r="P16" s="2974"/>
      <c r="W16" s="2980"/>
      <c r="X16" s="2980"/>
      <c r="Y16" s="2980"/>
      <c r="Z16" s="2980"/>
      <c r="AA16" s="2980"/>
    </row>
    <row r="17" spans="1:41" x14ac:dyDescent="0.25">
      <c r="A17" s="2982" t="s">
        <v>1361</v>
      </c>
      <c r="B17" s="2981"/>
      <c r="C17" s="2981"/>
      <c r="D17" s="2981"/>
      <c r="E17" s="3023">
        <v>42795</v>
      </c>
      <c r="F17" s="3023">
        <v>47692</v>
      </c>
      <c r="G17" s="3023">
        <v>61475</v>
      </c>
      <c r="H17" s="3011">
        <f t="shared" si="0"/>
        <v>45243.5</v>
      </c>
      <c r="I17" s="2981"/>
      <c r="J17" s="3021">
        <v>0.3</v>
      </c>
      <c r="K17" s="3021">
        <v>1</v>
      </c>
      <c r="L17" s="3013">
        <v>0.76</v>
      </c>
      <c r="M17" s="3001"/>
      <c r="N17" s="3002"/>
      <c r="O17" s="3000"/>
      <c r="P17" s="2974"/>
      <c r="Q17" s="2975"/>
      <c r="R17" s="2975"/>
      <c r="S17" s="2975"/>
      <c r="T17" s="2975"/>
      <c r="U17" s="2975"/>
      <c r="V17" s="2975"/>
      <c r="W17" s="2976"/>
      <c r="X17" s="2976"/>
      <c r="Y17" s="2976"/>
      <c r="Z17" s="2976"/>
      <c r="AA17" s="2976"/>
      <c r="AB17" s="2975"/>
      <c r="AC17" s="2975"/>
      <c r="AD17" s="2975"/>
      <c r="AE17" s="2975"/>
      <c r="AF17" s="2975"/>
      <c r="AG17" s="2975"/>
      <c r="AH17" s="2975"/>
      <c r="AI17" s="2975"/>
      <c r="AJ17" s="2975"/>
      <c r="AK17" s="2975"/>
      <c r="AL17" s="2975"/>
      <c r="AM17" s="2975"/>
      <c r="AN17" s="2975"/>
      <c r="AO17" s="2975"/>
    </row>
    <row r="18" spans="1:41" s="2973" customFormat="1" x14ac:dyDescent="0.25">
      <c r="A18" s="2982" t="s">
        <v>1362</v>
      </c>
      <c r="B18" s="2981"/>
      <c r="C18" s="2981"/>
      <c r="D18" s="2981"/>
      <c r="E18" s="3020">
        <v>39967</v>
      </c>
      <c r="F18" s="3020">
        <v>39313</v>
      </c>
      <c r="G18" s="3020"/>
      <c r="H18" s="3011">
        <f t="shared" si="0"/>
        <v>39640</v>
      </c>
      <c r="I18" s="2981"/>
      <c r="J18" s="3021">
        <v>0.22</v>
      </c>
      <c r="K18" s="3021">
        <v>0.8</v>
      </c>
      <c r="L18" s="3022">
        <v>1</v>
      </c>
      <c r="M18" s="3001"/>
      <c r="N18" s="3002"/>
      <c r="O18" s="3000"/>
      <c r="P18" s="2974"/>
      <c r="W18" s="2980"/>
      <c r="X18" s="2980"/>
      <c r="Y18" s="2980"/>
      <c r="Z18" s="2980"/>
      <c r="AA18" s="2980"/>
    </row>
    <row r="19" spans="1:41" s="2973" customFormat="1" x14ac:dyDescent="0.25">
      <c r="A19" s="2982" t="s">
        <v>1350</v>
      </c>
      <c r="B19" s="2981"/>
      <c r="C19" s="2981"/>
      <c r="D19" s="2981"/>
      <c r="E19" s="3020">
        <v>41091</v>
      </c>
      <c r="F19" s="3020">
        <v>29304</v>
      </c>
      <c r="G19" s="3020">
        <v>32370</v>
      </c>
      <c r="H19" s="3011">
        <f t="shared" si="0"/>
        <v>35197.5</v>
      </c>
      <c r="I19" s="2981"/>
      <c r="J19" s="3021">
        <v>0.04</v>
      </c>
      <c r="K19" s="3021">
        <v>1</v>
      </c>
      <c r="L19" s="3022">
        <v>0</v>
      </c>
      <c r="M19" s="3001"/>
      <c r="N19" s="3002"/>
      <c r="O19" s="3000"/>
      <c r="P19" s="2974"/>
      <c r="W19" s="2980"/>
      <c r="X19" s="2980"/>
      <c r="Y19" s="2980"/>
      <c r="Z19" s="2980"/>
      <c r="AA19" s="2980"/>
    </row>
    <row r="20" spans="1:41" s="2973" customFormat="1" x14ac:dyDescent="0.25">
      <c r="A20" s="2982" t="s">
        <v>1351</v>
      </c>
      <c r="B20" s="2981"/>
      <c r="C20" s="2981"/>
      <c r="D20" s="2981"/>
      <c r="E20" s="3020">
        <v>46034</v>
      </c>
      <c r="F20" s="3020">
        <v>48873</v>
      </c>
      <c r="G20" s="3020">
        <v>74646</v>
      </c>
      <c r="H20" s="3011">
        <f t="shared" si="0"/>
        <v>47453.5</v>
      </c>
      <c r="I20" s="2981"/>
      <c r="J20" s="3021">
        <v>0.38</v>
      </c>
      <c r="K20" s="3021">
        <v>1</v>
      </c>
      <c r="L20" s="3022">
        <v>0.75</v>
      </c>
      <c r="M20" s="3001"/>
      <c r="N20" s="3002"/>
      <c r="O20" s="3000"/>
      <c r="P20" s="2974"/>
      <c r="W20" s="2980"/>
      <c r="X20" s="2980"/>
      <c r="Y20" s="2980"/>
      <c r="Z20" s="2980"/>
      <c r="AA20" s="2980"/>
    </row>
    <row r="21" spans="1:41" s="2973" customFormat="1" x14ac:dyDescent="0.25">
      <c r="A21" s="2982" t="s">
        <v>1019</v>
      </c>
      <c r="B21" s="2981"/>
      <c r="C21" s="2981"/>
      <c r="D21" s="2981"/>
      <c r="E21" s="3020">
        <v>79435</v>
      </c>
      <c r="F21" s="3020">
        <v>64045</v>
      </c>
      <c r="G21" s="3020">
        <v>64421</v>
      </c>
      <c r="H21" s="3011">
        <f t="shared" si="0"/>
        <v>71740</v>
      </c>
      <c r="I21" s="2981"/>
      <c r="J21" s="3021">
        <v>0.21</v>
      </c>
      <c r="K21" s="3021">
        <v>1</v>
      </c>
      <c r="L21" s="3022">
        <v>0.5</v>
      </c>
      <c r="M21" s="3001"/>
      <c r="N21" s="3002"/>
      <c r="O21" s="3000"/>
      <c r="P21" s="2974"/>
      <c r="W21" s="2980"/>
      <c r="X21" s="2980"/>
      <c r="Y21" s="2980"/>
      <c r="Z21" s="2980"/>
      <c r="AA21" s="2980"/>
    </row>
    <row r="22" spans="1:41" s="2973" customFormat="1" x14ac:dyDescent="0.25">
      <c r="A22" s="2982" t="s">
        <v>1352</v>
      </c>
      <c r="B22" s="2981"/>
      <c r="C22" s="2981"/>
      <c r="D22" s="2981"/>
      <c r="E22" s="3020">
        <v>64932</v>
      </c>
      <c r="F22" s="3020"/>
      <c r="G22" s="3020"/>
      <c r="H22" s="3011">
        <f t="shared" si="0"/>
        <v>64932</v>
      </c>
      <c r="I22" s="2981"/>
      <c r="J22" s="3021">
        <v>0.3</v>
      </c>
      <c r="K22" s="3021">
        <v>0.28999999999999998</v>
      </c>
      <c r="L22" s="3022">
        <v>1</v>
      </c>
      <c r="M22" s="3001"/>
      <c r="N22" s="3002"/>
      <c r="O22" s="3000"/>
      <c r="P22" s="2974"/>
      <c r="W22" s="2980"/>
      <c r="X22" s="2980"/>
      <c r="Y22" s="2980"/>
      <c r="Z22" s="2980"/>
      <c r="AA22" s="2980"/>
    </row>
    <row r="23" spans="1:41" s="2973" customFormat="1" x14ac:dyDescent="0.25">
      <c r="A23" s="2982" t="s">
        <v>1353</v>
      </c>
      <c r="B23" s="2981"/>
      <c r="C23" s="2981"/>
      <c r="D23" s="2981"/>
      <c r="E23" s="3020">
        <v>57497</v>
      </c>
      <c r="F23" s="3020">
        <v>56650</v>
      </c>
      <c r="G23" s="3020">
        <v>60339</v>
      </c>
      <c r="H23" s="3011">
        <f t="shared" si="0"/>
        <v>57073.5</v>
      </c>
      <c r="I23" s="2981"/>
      <c r="J23" s="3021">
        <v>0.1</v>
      </c>
      <c r="K23" s="3021">
        <v>0.99</v>
      </c>
      <c r="L23" s="3022">
        <v>1</v>
      </c>
      <c r="M23" s="3001"/>
      <c r="N23" s="3002"/>
      <c r="O23" s="3000"/>
      <c r="P23" s="2974"/>
      <c r="W23" s="2980"/>
      <c r="X23" s="2980"/>
      <c r="Y23" s="2980"/>
      <c r="Z23" s="2980"/>
      <c r="AA23" s="2980"/>
    </row>
    <row r="24" spans="1:41" s="2973" customFormat="1" x14ac:dyDescent="0.25">
      <c r="A24" s="2982" t="s">
        <v>1354</v>
      </c>
      <c r="B24" s="2981"/>
      <c r="C24" s="2981"/>
      <c r="D24" s="2981"/>
      <c r="E24" s="3020">
        <v>41636</v>
      </c>
      <c r="F24" s="3020">
        <v>37692</v>
      </c>
      <c r="G24" s="3020"/>
      <c r="H24" s="3011">
        <f t="shared" si="0"/>
        <v>39664</v>
      </c>
      <c r="I24" s="2981"/>
      <c r="J24" s="3021">
        <v>0.27</v>
      </c>
      <c r="K24" s="3021">
        <v>1</v>
      </c>
      <c r="L24" s="3022">
        <v>0.5</v>
      </c>
      <c r="M24" s="3001"/>
      <c r="N24" s="3002"/>
      <c r="O24" s="3000"/>
      <c r="P24" s="2974"/>
      <c r="W24" s="2980"/>
      <c r="X24" s="2980"/>
      <c r="Y24" s="2980"/>
      <c r="Z24" s="2980"/>
      <c r="AA24" s="2980"/>
    </row>
    <row r="25" spans="1:41" s="2973" customFormat="1" x14ac:dyDescent="0.25">
      <c r="A25" s="2982" t="s">
        <v>1363</v>
      </c>
      <c r="B25" s="2981"/>
      <c r="C25" s="2981"/>
      <c r="D25" s="2981"/>
      <c r="E25" s="3020">
        <v>35264</v>
      </c>
      <c r="F25" s="3020">
        <v>31291</v>
      </c>
      <c r="G25" s="3020">
        <v>35264</v>
      </c>
      <c r="H25" s="3011">
        <f t="shared" si="0"/>
        <v>33277.5</v>
      </c>
      <c r="I25" s="2981"/>
      <c r="J25" s="3021">
        <v>0.14000000000000001</v>
      </c>
      <c r="K25" s="3021">
        <v>1</v>
      </c>
      <c r="L25" s="3022">
        <v>0.96</v>
      </c>
      <c r="M25" s="3001"/>
      <c r="N25" s="3002"/>
      <c r="O25" s="3000"/>
      <c r="P25" s="2974"/>
      <c r="W25" s="2980"/>
      <c r="X25" s="2980"/>
      <c r="Y25" s="2980"/>
      <c r="Z25" s="2980"/>
      <c r="AA25" s="2980"/>
    </row>
    <row r="26" spans="1:41" s="2997" customFormat="1" x14ac:dyDescent="0.25">
      <c r="A26" s="2996" t="s">
        <v>1422</v>
      </c>
      <c r="B26" s="3024"/>
      <c r="C26" s="3024"/>
      <c r="D26" s="3024"/>
      <c r="E26" s="3025"/>
      <c r="F26" s="3025">
        <v>58205</v>
      </c>
      <c r="G26" s="3025">
        <v>37812</v>
      </c>
      <c r="H26" s="3011">
        <f t="shared" si="0"/>
        <v>58205</v>
      </c>
      <c r="I26" s="3024"/>
      <c r="J26" s="3026">
        <v>0.25</v>
      </c>
      <c r="K26" s="3026">
        <v>1</v>
      </c>
      <c r="L26" s="3027">
        <v>0.8</v>
      </c>
      <c r="M26" s="3003"/>
      <c r="N26" s="3004"/>
      <c r="O26" s="3005"/>
      <c r="P26" s="2998"/>
      <c r="W26" s="2999"/>
      <c r="X26" s="2999"/>
      <c r="Y26" s="2999"/>
      <c r="Z26" s="2999"/>
      <c r="AA26" s="2999"/>
    </row>
    <row r="27" spans="1:41" s="2997" customFormat="1" x14ac:dyDescent="0.25">
      <c r="A27" s="2996" t="s">
        <v>1423</v>
      </c>
      <c r="B27" s="3024"/>
      <c r="C27" s="3024"/>
      <c r="D27" s="3024"/>
      <c r="E27" s="3025"/>
      <c r="F27" s="3025">
        <v>34830</v>
      </c>
      <c r="G27" s="3025">
        <v>36590</v>
      </c>
      <c r="H27" s="3011">
        <f t="shared" si="0"/>
        <v>34830</v>
      </c>
      <c r="I27" s="3024"/>
      <c r="J27" s="3026">
        <v>0.3</v>
      </c>
      <c r="K27" s="3026">
        <v>1</v>
      </c>
      <c r="L27" s="3027">
        <v>1</v>
      </c>
      <c r="M27" s="3003"/>
      <c r="N27" s="3004"/>
      <c r="O27" s="3005"/>
      <c r="P27" s="2998"/>
      <c r="W27" s="2999"/>
      <c r="X27" s="2999"/>
      <c r="Y27" s="2999"/>
      <c r="Z27" s="2999"/>
      <c r="AA27" s="2999"/>
    </row>
    <row r="28" spans="1:41" s="2997" customFormat="1" x14ac:dyDescent="0.25">
      <c r="A28" s="2996" t="s">
        <v>1424</v>
      </c>
      <c r="B28" s="3024"/>
      <c r="C28" s="3024"/>
      <c r="D28" s="3024"/>
      <c r="E28" s="3025"/>
      <c r="F28" s="3025">
        <v>41813</v>
      </c>
      <c r="G28" s="3025">
        <v>43798</v>
      </c>
      <c r="H28" s="3011">
        <f t="shared" si="0"/>
        <v>41813</v>
      </c>
      <c r="I28" s="3024"/>
      <c r="J28" s="3026">
        <v>0.22</v>
      </c>
      <c r="K28" s="3026">
        <v>0.57999999999999996</v>
      </c>
      <c r="L28" s="3027">
        <v>0.65</v>
      </c>
      <c r="M28" s="3003"/>
      <c r="N28" s="3004"/>
      <c r="O28" s="3005"/>
      <c r="P28" s="2998"/>
      <c r="W28" s="2999"/>
      <c r="X28" s="2999"/>
      <c r="Y28" s="2999"/>
      <c r="Z28" s="2999"/>
      <c r="AA28" s="2999"/>
    </row>
    <row r="29" spans="1:41" s="2997" customFormat="1" x14ac:dyDescent="0.25">
      <c r="A29" s="2996" t="s">
        <v>1425</v>
      </c>
      <c r="B29" s="3024"/>
      <c r="C29" s="3024"/>
      <c r="D29" s="3024"/>
      <c r="E29" s="3025"/>
      <c r="F29" s="3025"/>
      <c r="G29" s="3025">
        <v>31314</v>
      </c>
      <c r="H29" s="3011"/>
      <c r="I29" s="3024"/>
      <c r="J29" s="3026">
        <v>0.1</v>
      </c>
      <c r="K29" s="3026">
        <v>1</v>
      </c>
      <c r="L29" s="3027">
        <v>0</v>
      </c>
      <c r="M29" s="3003"/>
      <c r="N29" s="3004"/>
      <c r="O29" s="3005"/>
      <c r="P29" s="2998"/>
      <c r="W29" s="2999"/>
      <c r="X29" s="2999"/>
      <c r="Y29" s="2999"/>
      <c r="Z29" s="2999"/>
      <c r="AA29" s="2999"/>
    </row>
    <row r="30" spans="1:41" s="2997" customFormat="1" x14ac:dyDescent="0.25">
      <c r="A30" s="2996" t="s">
        <v>1426</v>
      </c>
      <c r="B30" s="3024"/>
      <c r="C30" s="3024"/>
      <c r="D30" s="3024"/>
      <c r="E30" s="3025"/>
      <c r="F30" s="3025">
        <v>36830</v>
      </c>
      <c r="G30" s="3025">
        <v>70379</v>
      </c>
      <c r="H30" s="3011">
        <f t="shared" si="0"/>
        <v>36830</v>
      </c>
      <c r="I30" s="3024"/>
      <c r="J30" s="3026">
        <v>0.25</v>
      </c>
      <c r="K30" s="3026">
        <v>0.6</v>
      </c>
      <c r="L30" s="3027">
        <v>0.8</v>
      </c>
      <c r="M30" s="3003"/>
      <c r="N30" s="3004"/>
      <c r="O30" s="3005"/>
      <c r="P30" s="2998"/>
      <c r="W30" s="2999"/>
      <c r="X30" s="2999"/>
      <c r="Y30" s="2999"/>
      <c r="Z30" s="2999"/>
      <c r="AA30" s="2999"/>
    </row>
    <row r="31" spans="1:41" s="2997" customFormat="1" x14ac:dyDescent="0.25">
      <c r="A31" s="2996" t="s">
        <v>1427</v>
      </c>
      <c r="B31" s="3024"/>
      <c r="C31" s="3024"/>
      <c r="D31" s="3024"/>
      <c r="E31" s="3025"/>
      <c r="F31" s="3025">
        <v>86754</v>
      </c>
      <c r="G31" s="3025">
        <v>55300</v>
      </c>
      <c r="H31" s="3011">
        <f t="shared" si="0"/>
        <v>86754</v>
      </c>
      <c r="I31" s="3024"/>
      <c r="J31" s="3026">
        <v>0.2</v>
      </c>
      <c r="K31" s="3026">
        <v>1</v>
      </c>
      <c r="L31" s="3027">
        <v>0.75</v>
      </c>
      <c r="M31" s="3003"/>
      <c r="N31" s="3004"/>
      <c r="O31" s="3005"/>
      <c r="P31" s="2998"/>
      <c r="W31" s="2999"/>
      <c r="X31" s="2999"/>
      <c r="Y31" s="2999"/>
      <c r="Z31" s="2999"/>
      <c r="AA31" s="2999"/>
    </row>
    <row r="32" spans="1:41" s="2997" customFormat="1" x14ac:dyDescent="0.25">
      <c r="A32" s="2996" t="s">
        <v>877</v>
      </c>
      <c r="B32" s="3024"/>
      <c r="C32" s="3024"/>
      <c r="D32" s="3024"/>
      <c r="E32" s="3025"/>
      <c r="F32" s="3025">
        <v>57380</v>
      </c>
      <c r="G32" s="3025">
        <v>50762</v>
      </c>
      <c r="H32" s="3011">
        <f t="shared" si="0"/>
        <v>57380</v>
      </c>
      <c r="I32" s="3024"/>
      <c r="J32" s="3026">
        <v>0.21</v>
      </c>
      <c r="K32" s="3026">
        <v>1</v>
      </c>
      <c r="L32" s="3027">
        <v>0.9</v>
      </c>
      <c r="M32" s="3003"/>
      <c r="N32" s="3004"/>
      <c r="O32" s="3005"/>
      <c r="P32" s="2998"/>
      <c r="W32" s="2999"/>
      <c r="X32" s="2999"/>
      <c r="Y32" s="2999"/>
      <c r="Z32" s="2999"/>
      <c r="AA32" s="2999"/>
    </row>
    <row r="33" spans="1:27" s="2997" customFormat="1" x14ac:dyDescent="0.25">
      <c r="A33" s="2996" t="s">
        <v>1428</v>
      </c>
      <c r="B33" s="3024"/>
      <c r="C33" s="3024"/>
      <c r="D33" s="3024"/>
      <c r="E33" s="3025"/>
      <c r="F33" s="3025"/>
      <c r="G33" s="3025">
        <v>42351</v>
      </c>
      <c r="H33" s="3011"/>
      <c r="I33" s="3024"/>
      <c r="J33" s="3026">
        <v>0.2</v>
      </c>
      <c r="K33" s="3026">
        <v>1</v>
      </c>
      <c r="L33" s="3027">
        <v>0.75</v>
      </c>
      <c r="M33" s="3003"/>
      <c r="N33" s="3004"/>
      <c r="O33" s="3005"/>
      <c r="P33" s="2998"/>
      <c r="W33" s="2999"/>
      <c r="X33" s="2999"/>
      <c r="Y33" s="2999"/>
      <c r="Z33" s="2999"/>
      <c r="AA33" s="2999"/>
    </row>
    <row r="34" spans="1:27" s="3041" customFormat="1" x14ac:dyDescent="0.25">
      <c r="A34" s="3034" t="s">
        <v>1429</v>
      </c>
      <c r="B34" s="3035"/>
      <c r="C34" s="3035"/>
      <c r="D34" s="3035"/>
      <c r="E34" s="3036"/>
      <c r="F34" s="3036"/>
      <c r="G34" s="3036">
        <v>55254</v>
      </c>
      <c r="H34" s="3011"/>
      <c r="I34" s="3035"/>
      <c r="J34" s="3037">
        <v>0.35</v>
      </c>
      <c r="K34" s="3037">
        <v>0.76</v>
      </c>
      <c r="L34" s="3038">
        <v>0.9</v>
      </c>
      <c r="M34" s="3039"/>
      <c r="N34" s="3040"/>
      <c r="P34" s="3042"/>
      <c r="W34" s="3043"/>
      <c r="X34" s="3043"/>
      <c r="Y34" s="3043"/>
      <c r="Z34" s="3043"/>
      <c r="AA34" s="3043"/>
    </row>
    <row r="35" spans="1:27" s="3041" customFormat="1" x14ac:dyDescent="0.25">
      <c r="A35" s="3034" t="s">
        <v>1430</v>
      </c>
      <c r="B35" s="3035"/>
      <c r="C35" s="3035"/>
      <c r="D35" s="3035"/>
      <c r="E35" s="3036"/>
      <c r="F35" s="3036"/>
      <c r="G35" s="3036">
        <v>37702</v>
      </c>
      <c r="H35" s="3011"/>
      <c r="I35" s="3035"/>
      <c r="J35" s="3037">
        <v>0.11</v>
      </c>
      <c r="K35" s="3037">
        <v>0.57999999999999996</v>
      </c>
      <c r="L35" s="3038">
        <v>0.54</v>
      </c>
      <c r="M35" s="3039"/>
      <c r="N35" s="3040"/>
      <c r="P35" s="3042"/>
      <c r="W35" s="3043"/>
      <c r="X35" s="3043"/>
      <c r="Y35" s="3043"/>
      <c r="Z35" s="3043"/>
      <c r="AA35" s="3043"/>
    </row>
    <row r="36" spans="1:27" s="3041" customFormat="1" x14ac:dyDescent="0.25">
      <c r="A36" s="3034" t="s">
        <v>1431</v>
      </c>
      <c r="B36" s="3035"/>
      <c r="C36" s="3035"/>
      <c r="D36" s="3035"/>
      <c r="E36" s="3036"/>
      <c r="F36" s="3036"/>
      <c r="G36" s="3036">
        <v>52126</v>
      </c>
      <c r="H36" s="3011"/>
      <c r="I36" s="3035"/>
      <c r="J36" s="3037">
        <v>0.21</v>
      </c>
      <c r="K36" s="3037">
        <v>1</v>
      </c>
      <c r="L36" s="3038">
        <v>0.5</v>
      </c>
      <c r="M36" s="3039"/>
      <c r="N36" s="3040"/>
      <c r="P36" s="3042"/>
      <c r="W36" s="3043"/>
      <c r="X36" s="3043"/>
      <c r="Y36" s="3043"/>
      <c r="Z36" s="3043"/>
      <c r="AA36" s="3043"/>
    </row>
    <row r="37" spans="1:27" s="3041" customFormat="1" x14ac:dyDescent="0.25">
      <c r="A37" s="3034" t="s">
        <v>1432</v>
      </c>
      <c r="B37" s="3035"/>
      <c r="C37" s="3035"/>
      <c r="D37" s="3035"/>
      <c r="E37" s="3036"/>
      <c r="F37" s="3036"/>
      <c r="G37" s="3036">
        <v>194954</v>
      </c>
      <c r="H37" s="3011"/>
      <c r="I37" s="3035"/>
      <c r="J37" s="3037">
        <v>0.2</v>
      </c>
      <c r="K37" s="3037">
        <v>1</v>
      </c>
      <c r="L37" s="3038">
        <v>0.8</v>
      </c>
      <c r="M37" s="3039"/>
      <c r="N37" s="3040"/>
      <c r="P37" s="3042"/>
      <c r="W37" s="3043"/>
      <c r="X37" s="3043"/>
      <c r="Y37" s="3043"/>
      <c r="Z37" s="3043"/>
      <c r="AA37" s="3043"/>
    </row>
    <row r="38" spans="1:27" s="3041" customFormat="1" x14ac:dyDescent="0.25">
      <c r="A38" s="3034" t="s">
        <v>1433</v>
      </c>
      <c r="B38" s="3035"/>
      <c r="C38" s="3035"/>
      <c r="D38" s="3035"/>
      <c r="E38" s="3036"/>
      <c r="F38" s="3036"/>
      <c r="G38" s="3036">
        <v>105571</v>
      </c>
      <c r="H38" s="3011"/>
      <c r="I38" s="3035"/>
      <c r="J38" s="3037">
        <v>0.12</v>
      </c>
      <c r="K38" s="3037">
        <v>1</v>
      </c>
      <c r="L38" s="3038">
        <v>1</v>
      </c>
      <c r="M38" s="3039"/>
      <c r="N38" s="3040"/>
      <c r="P38" s="3042"/>
      <c r="W38" s="3043"/>
      <c r="X38" s="3043"/>
      <c r="Y38" s="3043"/>
      <c r="Z38" s="3043"/>
      <c r="AA38" s="3043"/>
    </row>
    <row r="39" spans="1:27" s="2973" customFormat="1" x14ac:dyDescent="0.25">
      <c r="A39" s="2995"/>
      <c r="B39" s="3028"/>
      <c r="C39" s="3028"/>
      <c r="D39" s="3028"/>
      <c r="E39" s="3029"/>
      <c r="F39" s="3029"/>
      <c r="G39" s="3029"/>
      <c r="H39" s="3030"/>
      <c r="I39" s="3028"/>
      <c r="J39" s="3031"/>
      <c r="K39" s="3031"/>
      <c r="L39" s="3032"/>
      <c r="M39" s="2992"/>
      <c r="N39" s="2993"/>
      <c r="P39" s="2974"/>
      <c r="W39" s="2980"/>
      <c r="X39" s="2980"/>
      <c r="Y39" s="2980"/>
      <c r="Z39" s="2980"/>
      <c r="AA39" s="2980"/>
    </row>
    <row r="40" spans="1:27" s="2973" customFormat="1" x14ac:dyDescent="0.25">
      <c r="A40" s="2995"/>
      <c r="B40" s="3028"/>
      <c r="C40" s="3028"/>
      <c r="D40" s="3028"/>
      <c r="E40" s="3029"/>
      <c r="F40" s="3029"/>
      <c r="G40" s="3029"/>
      <c r="H40" s="3030"/>
      <c r="I40" s="3028"/>
      <c r="J40" s="3031"/>
      <c r="K40" s="3031"/>
      <c r="L40" s="3032"/>
      <c r="M40" s="2992"/>
      <c r="N40" s="2993"/>
      <c r="P40" s="2974"/>
      <c r="W40" s="2980"/>
      <c r="X40" s="2980"/>
      <c r="Y40" s="2980"/>
      <c r="Z40" s="2980"/>
      <c r="AA40" s="2980"/>
    </row>
    <row r="41" spans="1:27" x14ac:dyDescent="0.25">
      <c r="B41" s="3033">
        <f>AVERAGE(B2:B3)</f>
        <v>39493</v>
      </c>
      <c r="C41" s="3033">
        <f>AVERAGE(C3:C5)</f>
        <v>47554.333333333336</v>
      </c>
      <c r="D41" s="3033">
        <f>AVERAGE(D3:D14)</f>
        <v>57304.444444444445</v>
      </c>
      <c r="E41" s="3033">
        <f>AVERAGE(E3:E25)</f>
        <v>52134.260869565216</v>
      </c>
      <c r="F41" s="3033">
        <f t="shared" ref="F41:G41" si="1">AVERAGE(F3:F25)</f>
        <v>43960.15</v>
      </c>
      <c r="G41" s="3033">
        <f t="shared" si="1"/>
        <v>48927.73333333333</v>
      </c>
      <c r="H41" s="3033">
        <f>AVERAGE(H2:H38)</f>
        <v>49394.063888888893</v>
      </c>
      <c r="J41" s="3010">
        <f>AVERAGE(J2:J38)</f>
        <v>0.22405405405405399</v>
      </c>
      <c r="K41" s="3010">
        <f>AVERAGE(K2:K38)</f>
        <v>0.92162162162162142</v>
      </c>
      <c r="L41" s="3010">
        <f>AVERAGE(L2:L38)</f>
        <v>0.69918918918918915</v>
      </c>
    </row>
    <row r="42" spans="1:27" x14ac:dyDescent="0.25">
      <c r="E42" s="3033"/>
      <c r="F42" s="3033"/>
      <c r="G42" s="3033">
        <f>AVERAGE(B41:G41)</f>
        <v>48228.986996779386</v>
      </c>
    </row>
  </sheetData>
  <mergeCells count="1">
    <mergeCell ref="M2:N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AE43"/>
  <sheetViews>
    <sheetView view="pageBreakPreview" topLeftCell="F1" zoomScaleNormal="100" zoomScaleSheetLayoutView="100" workbookViewId="0">
      <selection activeCell="Z10" sqref="Z10"/>
    </sheetView>
  </sheetViews>
  <sheetFormatPr defaultRowHeight="12.75" x14ac:dyDescent="0.2"/>
  <cols>
    <col min="1" max="1" width="4.85546875" customWidth="1"/>
    <col min="2" max="2" width="12.42578125" customWidth="1"/>
    <col min="3" max="3" width="12.140625" customWidth="1"/>
    <col min="4" max="4" width="7.7109375" customWidth="1"/>
    <col min="5" max="5" width="9.7109375" customWidth="1"/>
    <col min="6" max="6" width="12.7109375" customWidth="1"/>
    <col min="7" max="7" width="10.85546875" customWidth="1"/>
    <col min="9" max="9" width="10.28515625" customWidth="1"/>
    <col min="10" max="10" width="7" customWidth="1"/>
    <col min="11" max="11" width="7.28515625" customWidth="1"/>
    <col min="20" max="20" width="19.7109375" customWidth="1"/>
  </cols>
  <sheetData>
    <row r="1" spans="2:31" s="3050" customFormat="1" ht="24.6" customHeight="1" x14ac:dyDescent="0.2">
      <c r="B1" s="4113" t="s">
        <v>1581</v>
      </c>
      <c r="C1" s="4114"/>
      <c r="D1" s="4114"/>
      <c r="E1" s="4114"/>
      <c r="F1" s="4114"/>
      <c r="G1" s="4114"/>
      <c r="H1" s="4114"/>
      <c r="I1" s="4114"/>
      <c r="J1" s="4114"/>
      <c r="K1" s="4114"/>
      <c r="L1" s="4114"/>
      <c r="M1" s="4114"/>
      <c r="N1" s="4114"/>
      <c r="O1" s="4114"/>
      <c r="P1" s="4114"/>
      <c r="Q1" s="4114"/>
      <c r="R1" s="4114"/>
      <c r="S1" s="4114"/>
      <c r="T1" s="4115"/>
      <c r="X1" s="4392"/>
      <c r="Y1" s="4392"/>
      <c r="Z1" s="4392"/>
      <c r="AA1" s="3070"/>
      <c r="AB1" s="3070"/>
      <c r="AC1" s="3070"/>
      <c r="AD1" s="3070"/>
      <c r="AE1" s="3070"/>
    </row>
    <row r="2" spans="2:31" ht="16.149999999999999" customHeight="1" thickBot="1" x14ac:dyDescent="0.25">
      <c r="B2" s="4126" t="s">
        <v>1733</v>
      </c>
      <c r="C2" s="4127"/>
      <c r="D2" s="4127"/>
      <c r="E2" s="4127"/>
      <c r="F2" s="4127"/>
      <c r="G2" s="4127"/>
      <c r="H2" s="4127"/>
      <c r="I2" s="4127"/>
      <c r="J2" s="4127"/>
      <c r="K2" s="4127"/>
      <c r="L2" s="4127"/>
      <c r="M2" s="4127"/>
      <c r="N2" s="4127"/>
      <c r="O2" s="4127"/>
      <c r="P2" s="4127"/>
      <c r="Q2" s="4127"/>
      <c r="R2" s="4127"/>
      <c r="S2" s="4127"/>
      <c r="T2" s="4128"/>
      <c r="X2" s="5"/>
      <c r="Y2" s="5"/>
      <c r="Z2" s="5"/>
      <c r="AA2" s="5"/>
      <c r="AB2" s="5"/>
      <c r="AC2" s="5"/>
      <c r="AD2" s="5"/>
      <c r="AE2" s="5"/>
    </row>
    <row r="3" spans="2:31" s="39" customFormat="1" ht="16.149999999999999" customHeight="1" thickBot="1" x14ac:dyDescent="0.25">
      <c r="B3" s="3434"/>
      <c r="C3" s="3434"/>
      <c r="D3" s="3434"/>
      <c r="E3" s="3434"/>
      <c r="F3" s="3434"/>
      <c r="G3" s="3434"/>
      <c r="H3" s="3647"/>
      <c r="I3" s="3434"/>
      <c r="J3" s="3434"/>
      <c r="K3" s="3434"/>
      <c r="L3" s="3434"/>
      <c r="M3" s="3434"/>
      <c r="N3" s="3434"/>
      <c r="O3" s="3434"/>
      <c r="P3" s="3434"/>
      <c r="Q3" s="3434"/>
      <c r="R3" s="3434"/>
      <c r="S3" s="3434"/>
      <c r="T3" s="3434"/>
      <c r="X3" s="82"/>
      <c r="Y3" s="82"/>
      <c r="Z3" s="82"/>
      <c r="AA3" s="82"/>
      <c r="AB3" s="82"/>
      <c r="AC3" s="82"/>
      <c r="AD3" s="82"/>
      <c r="AE3" s="82"/>
    </row>
    <row r="4" spans="2:31" ht="19.5" thickBot="1" x14ac:dyDescent="0.35">
      <c r="B4" s="3428" t="s">
        <v>1533</v>
      </c>
      <c r="C4" s="3429"/>
      <c r="D4" s="3429"/>
      <c r="E4" s="3429"/>
      <c r="F4" s="3429"/>
      <c r="G4" s="3427"/>
      <c r="H4" s="3648"/>
      <c r="I4" s="3539" t="s">
        <v>1513</v>
      </c>
      <c r="J4" s="3430"/>
      <c r="K4" s="3431"/>
      <c r="L4" s="3430"/>
      <c r="M4" s="3430"/>
      <c r="N4" s="3429"/>
      <c r="O4" s="3429"/>
      <c r="P4" s="3429"/>
      <c r="Q4" s="3429"/>
      <c r="R4" s="3429"/>
      <c r="S4" s="3429"/>
      <c r="T4" s="3427"/>
      <c r="X4" s="4393"/>
      <c r="Y4" s="4394"/>
      <c r="Z4" s="4394"/>
      <c r="AA4" s="4394"/>
      <c r="AB4" s="4394"/>
      <c r="AC4" s="4394"/>
      <c r="AD4" s="4394"/>
      <c r="AE4" s="4395"/>
    </row>
    <row r="5" spans="2:31" ht="18.75" customHeight="1" x14ac:dyDescent="0.25">
      <c r="B5" s="4129" t="s">
        <v>1616</v>
      </c>
      <c r="C5" s="4130"/>
      <c r="D5" s="4130"/>
      <c r="E5" s="4130"/>
      <c r="F5" s="3534">
        <f>SUM(E24:G24)</f>
        <v>106</v>
      </c>
      <c r="G5" s="3649"/>
      <c r="H5" s="3661"/>
      <c r="I5" s="3640" t="s">
        <v>35</v>
      </c>
      <c r="J5" s="4123" t="s">
        <v>1514</v>
      </c>
      <c r="K5" s="4124"/>
      <c r="L5" s="4124"/>
      <c r="M5" s="4124"/>
      <c r="N5" s="4124"/>
      <c r="O5" s="4124"/>
      <c r="P5" s="4124"/>
      <c r="Q5" s="4124"/>
      <c r="R5" s="4124"/>
      <c r="S5" s="4124"/>
      <c r="T5" s="4125"/>
      <c r="X5" s="5"/>
      <c r="Y5" s="5"/>
      <c r="Z5" s="5"/>
      <c r="AA5" s="5"/>
      <c r="AB5" s="5"/>
      <c r="AC5" s="5"/>
      <c r="AD5" s="5"/>
      <c r="AE5" s="5"/>
    </row>
    <row r="6" spans="2:31" ht="16.5" thickBot="1" x14ac:dyDescent="0.3">
      <c r="B6" s="4131" t="s">
        <v>1617</v>
      </c>
      <c r="C6" s="4132"/>
      <c r="D6" s="4132"/>
      <c r="E6" s="4132"/>
      <c r="F6" s="3538">
        <f>F5/11</f>
        <v>9.6363636363636367</v>
      </c>
      <c r="G6" s="3650"/>
      <c r="H6" s="3661"/>
      <c r="I6" s="3639">
        <f>'[1]3.AppStatus'!$A$27</f>
        <v>12</v>
      </c>
      <c r="J6" s="4120" t="s">
        <v>1515</v>
      </c>
      <c r="K6" s="4121"/>
      <c r="L6" s="4121"/>
      <c r="M6" s="4121"/>
      <c r="N6" s="4121"/>
      <c r="O6" s="4121"/>
      <c r="P6" s="4121"/>
      <c r="Q6" s="4121"/>
      <c r="R6" s="4121"/>
      <c r="S6" s="4121"/>
      <c r="T6" s="4122"/>
    </row>
    <row r="7" spans="2:31" ht="15.75" x14ac:dyDescent="0.25">
      <c r="B7" s="4129" t="s">
        <v>1511</v>
      </c>
      <c r="C7" s="4130"/>
      <c r="D7" s="3533"/>
      <c r="E7" s="4137" t="s">
        <v>44</v>
      </c>
      <c r="F7" s="3535" t="s">
        <v>1536</v>
      </c>
      <c r="G7" s="4139" t="s">
        <v>46</v>
      </c>
      <c r="H7" s="3662"/>
      <c r="I7" s="3639">
        <f>'[1]3.AppStatus'!$A$28</f>
        <v>18</v>
      </c>
      <c r="J7" s="3550" t="s">
        <v>1516</v>
      </c>
      <c r="K7" s="3551"/>
      <c r="L7" s="3551"/>
      <c r="M7" s="3551"/>
      <c r="N7" s="3551"/>
      <c r="O7" s="3551"/>
      <c r="P7" s="3551"/>
      <c r="Q7" s="3551"/>
      <c r="R7" s="3551"/>
      <c r="S7" s="3551"/>
      <c r="T7" s="3572"/>
    </row>
    <row r="8" spans="2:31" ht="15.75" x14ac:dyDescent="0.25">
      <c r="B8" s="4141"/>
      <c r="C8" s="4142"/>
      <c r="D8" s="3636"/>
      <c r="E8" s="4138"/>
      <c r="F8" s="3277" t="s">
        <v>206</v>
      </c>
      <c r="G8" s="4140"/>
      <c r="H8" s="3662"/>
      <c r="I8" s="3639">
        <f>'[1]3.AppStatus'!$A$29</f>
        <v>8</v>
      </c>
      <c r="J8" s="3550" t="s">
        <v>1517</v>
      </c>
      <c r="K8" s="3551"/>
      <c r="L8" s="3551"/>
      <c r="M8" s="3551"/>
      <c r="N8" s="3551"/>
      <c r="O8" s="3551"/>
      <c r="P8" s="3551"/>
      <c r="Q8" s="3551"/>
      <c r="R8" s="3551"/>
      <c r="S8" s="3551"/>
      <c r="T8" s="3572"/>
    </row>
    <row r="9" spans="2:31" ht="15.75" x14ac:dyDescent="0.25">
      <c r="B9" s="4147"/>
      <c r="C9" s="3163">
        <v>2007</v>
      </c>
      <c r="D9" s="3163">
        <f>SUM(E9:G9)</f>
        <v>13</v>
      </c>
      <c r="E9" s="3163">
        <f>'[1]3.AppStatus'!$G$5</f>
        <v>1</v>
      </c>
      <c r="F9" s="3163">
        <f>'[1]3.AppStatus'!$H$5</f>
        <v>11</v>
      </c>
      <c r="G9" s="3651">
        <f>'[1]3.AppStatus'!$I$5</f>
        <v>1</v>
      </c>
      <c r="H9" s="3663"/>
      <c r="I9" s="3639">
        <f>'[1]3.AppStatus'!$A$30</f>
        <v>15</v>
      </c>
      <c r="J9" s="3550" t="s">
        <v>1518</v>
      </c>
      <c r="K9" s="3551"/>
      <c r="L9" s="3551"/>
      <c r="M9" s="3552"/>
      <c r="N9" s="3552"/>
      <c r="O9" s="3552"/>
      <c r="P9" s="3553"/>
      <c r="Q9" s="3552"/>
      <c r="R9" s="3553"/>
      <c r="S9" s="3553"/>
      <c r="T9" s="3573"/>
    </row>
    <row r="10" spans="2:31" ht="16.5" thickBot="1" x14ac:dyDescent="0.3">
      <c r="B10" s="4147"/>
      <c r="C10" s="3163">
        <v>2008</v>
      </c>
      <c r="D10" s="3164">
        <f t="shared" ref="D10:D13" si="0">SUM(E10:G10)</f>
        <v>11</v>
      </c>
      <c r="E10" s="3163">
        <f>'[1]3.AppStatus'!$G$6</f>
        <v>1</v>
      </c>
      <c r="F10" s="3163">
        <f>'[1]3.AppStatus'!$H$6</f>
        <v>8</v>
      </c>
      <c r="G10" s="3651">
        <f>'[1]3.AppStatus'!$I$6</f>
        <v>2</v>
      </c>
      <c r="H10" s="3663"/>
      <c r="I10" s="3641">
        <f>SUM(I6:I9)</f>
        <v>53</v>
      </c>
      <c r="J10" s="4135" t="s">
        <v>69</v>
      </c>
      <c r="K10" s="4135"/>
      <c r="L10" s="4135"/>
      <c r="M10" s="4135"/>
      <c r="N10" s="4135"/>
      <c r="O10" s="4135"/>
      <c r="P10" s="4135"/>
      <c r="Q10" s="4135"/>
      <c r="R10" s="4135"/>
      <c r="S10" s="4135"/>
      <c r="T10" s="4136"/>
    </row>
    <row r="11" spans="2:31" ht="15.75" x14ac:dyDescent="0.25">
      <c r="B11" s="4147"/>
      <c r="C11" s="3163">
        <v>2009</v>
      </c>
      <c r="D11" s="3164">
        <f t="shared" si="0"/>
        <v>13</v>
      </c>
      <c r="E11" s="3163">
        <f>'[1]3.AppStatus'!$G$7</f>
        <v>3</v>
      </c>
      <c r="F11" s="3163">
        <f>'[1]3.AppStatus'!$H$7</f>
        <v>10</v>
      </c>
      <c r="G11" s="3651">
        <f>'[1]3.AppStatus'!$I$7</f>
        <v>0</v>
      </c>
      <c r="H11" s="3663"/>
      <c r="I11" s="3642"/>
      <c r="J11" s="4144" t="s">
        <v>1519</v>
      </c>
      <c r="K11" s="4145"/>
      <c r="L11" s="4145"/>
      <c r="M11" s="4145"/>
      <c r="N11" s="4145"/>
      <c r="O11" s="4145"/>
      <c r="P11" s="4145"/>
      <c r="Q11" s="4145"/>
      <c r="R11" s="4145"/>
      <c r="S11" s="4145"/>
      <c r="T11" s="4146"/>
      <c r="U11" s="2713"/>
    </row>
    <row r="12" spans="2:31" ht="15.75" x14ac:dyDescent="0.25">
      <c r="B12" s="4147"/>
      <c r="C12" s="3163">
        <v>2010</v>
      </c>
      <c r="D12" s="3164">
        <f t="shared" si="0"/>
        <v>12</v>
      </c>
      <c r="E12" s="3536">
        <f>'[1]3.AppStatus'!$G$8</f>
        <v>3</v>
      </c>
      <c r="F12" s="3536">
        <f>'[1]3.AppStatus'!$H$8</f>
        <v>8</v>
      </c>
      <c r="G12" s="3652">
        <f>'[1]3.AppStatus'!$I$8</f>
        <v>1</v>
      </c>
      <c r="H12" s="3664"/>
      <c r="I12" s="3643">
        <f>'[1]3.AppStatus'!$D$34</f>
        <v>5</v>
      </c>
      <c r="J12" s="3558" t="s">
        <v>1520</v>
      </c>
      <c r="K12" s="3554"/>
      <c r="L12" s="3555"/>
      <c r="M12" s="3555"/>
      <c r="N12" s="3555"/>
      <c r="O12" s="3555"/>
      <c r="P12" s="3555"/>
      <c r="Q12" s="3555"/>
      <c r="R12" s="3555"/>
      <c r="S12" s="3555"/>
      <c r="T12" s="3574"/>
      <c r="U12" s="2713"/>
      <c r="V12" s="2713"/>
    </row>
    <row r="13" spans="2:31" ht="15.75" x14ac:dyDescent="0.25">
      <c r="B13" s="3529"/>
      <c r="C13" s="3163">
        <v>2011</v>
      </c>
      <c r="D13" s="3541">
        <f t="shared" si="0"/>
        <v>11</v>
      </c>
      <c r="E13" s="3720">
        <f>'[1]3.AppStatus'!$G$9</f>
        <v>4</v>
      </c>
      <c r="F13" s="3720">
        <f>'[1]3.AppStatus'!$H$9</f>
        <v>7</v>
      </c>
      <c r="G13" s="3721">
        <f>'[1]3.AppStatus'!$I$9</f>
        <v>0</v>
      </c>
      <c r="H13" s="3665"/>
      <c r="I13" s="3643">
        <f>'[1]3.AppStatus'!$D$35</f>
        <v>2</v>
      </c>
      <c r="J13" s="3558" t="s">
        <v>1521</v>
      </c>
      <c r="K13" s="3554"/>
      <c r="L13" s="3555"/>
      <c r="M13" s="3554"/>
      <c r="N13" s="3554"/>
      <c r="O13" s="3554"/>
      <c r="P13" s="3554"/>
      <c r="Q13" s="3554"/>
      <c r="R13" s="3554"/>
      <c r="S13" s="3554"/>
      <c r="T13" s="3575"/>
      <c r="U13" s="2713"/>
      <c r="V13" s="2713"/>
    </row>
    <row r="14" spans="2:31" ht="15.75" x14ac:dyDescent="0.25">
      <c r="B14" s="4133" t="s">
        <v>1653</v>
      </c>
      <c r="C14" s="4134"/>
      <c r="D14" s="3161">
        <f>SUM(D9:D13)</f>
        <v>60</v>
      </c>
      <c r="E14" s="3161">
        <f>SUM(E9:E13)</f>
        <v>12</v>
      </c>
      <c r="F14" s="3161">
        <f>SUM(F9:F13)</f>
        <v>44</v>
      </c>
      <c r="G14" s="3653">
        <f>SUM(G9:G13)</f>
        <v>4</v>
      </c>
      <c r="H14" s="3666"/>
      <c r="I14" s="3643">
        <f>'[1]3.AppStatus'!$D$36</f>
        <v>3</v>
      </c>
      <c r="J14" s="3558" t="s">
        <v>1522</v>
      </c>
      <c r="K14" s="3554"/>
      <c r="L14" s="3555"/>
      <c r="M14" s="3554"/>
      <c r="N14" s="3554"/>
      <c r="O14" s="3554"/>
      <c r="P14" s="3554"/>
      <c r="Q14" s="3554"/>
      <c r="R14" s="3554"/>
      <c r="S14" s="3554"/>
      <c r="T14" s="3575"/>
      <c r="U14" s="2713"/>
      <c r="V14" s="2713"/>
    </row>
    <row r="15" spans="2:31" ht="15.75" x14ac:dyDescent="0.25">
      <c r="B15" s="3529"/>
      <c r="C15" s="3527"/>
      <c r="D15" s="3527"/>
      <c r="E15" s="3162">
        <f>E14/D14</f>
        <v>0.2</v>
      </c>
      <c r="F15" s="3162">
        <f>F14/D14</f>
        <v>0.73333333333333328</v>
      </c>
      <c r="G15" s="3654">
        <f>G14/D14</f>
        <v>6.6666666666666666E-2</v>
      </c>
      <c r="H15" s="3664"/>
      <c r="I15" s="3643">
        <f>'[1]3.AppStatus'!$D$37</f>
        <v>2</v>
      </c>
      <c r="J15" s="3559" t="s">
        <v>1523</v>
      </c>
      <c r="K15" s="3556"/>
      <c r="L15" s="3555"/>
      <c r="M15" s="3554"/>
      <c r="N15" s="3554"/>
      <c r="O15" s="3554"/>
      <c r="P15" s="3554"/>
      <c r="Q15" s="3554"/>
      <c r="R15" s="3554"/>
      <c r="S15" s="3554"/>
      <c r="T15" s="3575"/>
      <c r="U15" s="2713"/>
      <c r="V15" s="2713"/>
    </row>
    <row r="16" spans="2:31" ht="15" customHeight="1" thickBot="1" x14ac:dyDescent="0.3">
      <c r="B16" s="3529"/>
      <c r="C16" s="3163">
        <v>2012</v>
      </c>
      <c r="D16" s="3163">
        <f>SUM(E16:G16)</f>
        <v>9</v>
      </c>
      <c r="E16" s="3536">
        <f>'[1]3.AppStatus'!$G$12</f>
        <v>5</v>
      </c>
      <c r="F16" s="3536">
        <f>'[1]3.AppStatus'!$H$12</f>
        <v>3</v>
      </c>
      <c r="G16" s="3652">
        <f>'[1]3.AppStatus'!$I$12</f>
        <v>1</v>
      </c>
      <c r="H16" s="3663"/>
      <c r="I16" s="3644">
        <f>SUM(I12:I15)</f>
        <v>12</v>
      </c>
      <c r="J16" s="3562" t="s">
        <v>1584</v>
      </c>
      <c r="K16" s="3525"/>
      <c r="L16" s="3557"/>
      <c r="M16" s="3528"/>
      <c r="N16" s="3528"/>
      <c r="O16" s="3528"/>
      <c r="P16" s="3528"/>
      <c r="Q16" s="3528"/>
      <c r="R16" s="3528"/>
      <c r="S16" s="3528"/>
      <c r="T16" s="3576"/>
      <c r="U16" s="2713"/>
      <c r="V16" s="2713"/>
    </row>
    <row r="17" spans="2:22" ht="15.75" x14ac:dyDescent="0.25">
      <c r="B17" s="3637"/>
      <c r="C17" s="3540">
        <v>2013</v>
      </c>
      <c r="D17" s="3541">
        <f t="shared" ref="D17:D21" si="1">SUM(E17:G17)</f>
        <v>7</v>
      </c>
      <c r="E17" s="3540">
        <f>'[1]3.AppStatus'!$G$13</f>
        <v>5</v>
      </c>
      <c r="F17" s="3540">
        <f>'[1]3.AppStatus'!$H$13</f>
        <v>2</v>
      </c>
      <c r="G17" s="3655">
        <f>'[1]3.AppStatus'!$I$13</f>
        <v>0</v>
      </c>
      <c r="H17" s="3663"/>
      <c r="I17" s="3642"/>
      <c r="J17" s="3561" t="s">
        <v>1524</v>
      </c>
      <c r="K17" s="3571"/>
      <c r="L17" s="3571"/>
      <c r="M17" s="3571"/>
      <c r="N17" s="3571"/>
      <c r="O17" s="3571"/>
      <c r="P17" s="3571"/>
      <c r="Q17" s="3571"/>
      <c r="R17" s="3571"/>
      <c r="S17" s="3571"/>
      <c r="T17" s="3577"/>
      <c r="U17" s="288"/>
      <c r="V17" s="2713"/>
    </row>
    <row r="18" spans="2:22" ht="15.75" x14ac:dyDescent="0.25">
      <c r="B18" s="3637"/>
      <c r="C18" s="3163">
        <v>2014</v>
      </c>
      <c r="D18" s="3164">
        <f t="shared" si="1"/>
        <v>6</v>
      </c>
      <c r="E18" s="3163">
        <f>'[1]3.AppStatus'!$G$14</f>
        <v>4</v>
      </c>
      <c r="F18" s="3163">
        <f>'[1]3.AppStatus'!$H$14</f>
        <v>2</v>
      </c>
      <c r="G18" s="3651">
        <f>'[1]3.AppStatus'!$I$14</f>
        <v>0</v>
      </c>
      <c r="H18" s="3663"/>
      <c r="I18" s="3645">
        <f>'[1]3.AppStatus'!$D$40</f>
        <v>21</v>
      </c>
      <c r="J18" s="3569" t="s">
        <v>1525</v>
      </c>
      <c r="K18" s="3570"/>
      <c r="L18" s="3570"/>
      <c r="M18" s="3570"/>
      <c r="N18" s="3570"/>
      <c r="O18" s="3570"/>
      <c r="P18" s="3570"/>
      <c r="Q18" s="3570"/>
      <c r="R18" s="3570"/>
      <c r="S18" s="3570"/>
      <c r="T18" s="3578"/>
      <c r="U18" s="2934"/>
      <c r="V18" s="2713"/>
    </row>
    <row r="19" spans="2:22" ht="15.75" x14ac:dyDescent="0.25">
      <c r="B19" s="3637"/>
      <c r="C19" s="3163">
        <v>2015</v>
      </c>
      <c r="D19" s="3291">
        <f t="shared" si="1"/>
        <v>9</v>
      </c>
      <c r="E19" s="3290">
        <f>'[1]3.AppStatus'!$G$15</f>
        <v>9</v>
      </c>
      <c r="F19" s="3290">
        <f>'[1]3.AppStatus'!$H$15</f>
        <v>0</v>
      </c>
      <c r="G19" s="3656">
        <f>'[1]3.AppStatus'!$I$15</f>
        <v>0</v>
      </c>
      <c r="H19" s="3667"/>
      <c r="I19" s="3646"/>
      <c r="J19" s="3930">
        <f>'[1]3.AppStatus'!$E$41</f>
        <v>10</v>
      </c>
      <c r="K19" s="4143" t="s">
        <v>1619</v>
      </c>
      <c r="L19" s="4143"/>
      <c r="M19" s="4143"/>
      <c r="N19" s="4143"/>
      <c r="O19" s="4143"/>
      <c r="P19" s="4143"/>
      <c r="Q19" s="4143"/>
      <c r="R19" s="4143"/>
      <c r="S19" s="4143"/>
      <c r="T19" s="3574"/>
      <c r="U19" s="2713"/>
      <c r="V19" s="2713"/>
    </row>
    <row r="20" spans="2:22" ht="15.75" x14ac:dyDescent="0.25">
      <c r="B20" s="3529"/>
      <c r="C20" s="3163">
        <v>2016</v>
      </c>
      <c r="D20" s="3291">
        <f t="shared" si="1"/>
        <v>11</v>
      </c>
      <c r="E20" s="3290">
        <f>'[1]3.AppStatus'!$G$16</f>
        <v>9</v>
      </c>
      <c r="F20" s="3290">
        <f>'[1]3.AppStatus'!$H$16</f>
        <v>2</v>
      </c>
      <c r="G20" s="3656">
        <f>'[1]3.AppStatus'!$I$16</f>
        <v>0</v>
      </c>
      <c r="H20" s="3666"/>
      <c r="I20" s="3646"/>
      <c r="J20" s="3930">
        <f>'[1]3.AppStatus'!$E$42</f>
        <v>11</v>
      </c>
      <c r="K20" s="4143" t="s">
        <v>1526</v>
      </c>
      <c r="L20" s="4143"/>
      <c r="M20" s="4143"/>
      <c r="N20" s="4143"/>
      <c r="O20" s="4143"/>
      <c r="P20" s="4143"/>
      <c r="Q20" s="4143"/>
      <c r="R20" s="4143"/>
      <c r="S20" s="4143"/>
      <c r="T20" s="3580"/>
      <c r="U20" s="2713"/>
      <c r="V20" s="2713"/>
    </row>
    <row r="21" spans="2:22" ht="15.75" x14ac:dyDescent="0.25">
      <c r="B21" s="3529"/>
      <c r="C21" s="3163">
        <v>2017</v>
      </c>
      <c r="D21" s="3291">
        <f t="shared" si="1"/>
        <v>4</v>
      </c>
      <c r="E21" s="3290">
        <f>'[1]3.AppStatus'!$G$17</f>
        <v>4</v>
      </c>
      <c r="F21" s="3290">
        <f>'[1]3.AppStatus'!$H$17</f>
        <v>0</v>
      </c>
      <c r="G21" s="3656">
        <f>'[1]3.AppStatus'!$I$17</f>
        <v>0</v>
      </c>
      <c r="H21" s="3668"/>
      <c r="I21" s="3639">
        <f>'[1]3.AppStatus'!$D$43</f>
        <v>6</v>
      </c>
      <c r="J21" s="3563" t="s">
        <v>1582</v>
      </c>
      <c r="K21" s="3555"/>
      <c r="L21" s="3555"/>
      <c r="M21" s="3555"/>
      <c r="N21" s="3555"/>
      <c r="O21" s="3555"/>
      <c r="P21" s="3555"/>
      <c r="Q21" s="3555"/>
      <c r="R21" s="3555"/>
      <c r="S21" s="3555"/>
      <c r="T21" s="3574"/>
      <c r="U21" s="2934"/>
      <c r="V21" s="2713"/>
    </row>
    <row r="22" spans="2:22" ht="15.75" x14ac:dyDescent="0.25">
      <c r="B22" s="4133" t="s">
        <v>1669</v>
      </c>
      <c r="C22" s="4134"/>
      <c r="D22" s="3722">
        <f>SUM(D16:D21)</f>
        <v>46</v>
      </c>
      <c r="E22" s="3542">
        <f t="shared" ref="E22:G22" si="2">SUM(E16:E21)</f>
        <v>36</v>
      </c>
      <c r="F22" s="3542">
        <f t="shared" si="2"/>
        <v>9</v>
      </c>
      <c r="G22" s="3657">
        <f t="shared" si="2"/>
        <v>1</v>
      </c>
      <c r="H22" s="3669"/>
      <c r="I22" s="3646"/>
      <c r="J22" s="3930">
        <f>'[1]3.AppStatus'!$E$44</f>
        <v>0</v>
      </c>
      <c r="K22" s="3564" t="s">
        <v>1619</v>
      </c>
      <c r="L22" s="3555"/>
      <c r="M22" s="3555"/>
      <c r="N22" s="3555"/>
      <c r="O22" s="3555"/>
      <c r="P22" s="3555"/>
      <c r="Q22" s="3555"/>
      <c r="R22" s="3555"/>
      <c r="S22" s="3555"/>
      <c r="T22" s="3574"/>
      <c r="U22" s="2713"/>
      <c r="V22" s="2713"/>
    </row>
    <row r="23" spans="2:22" ht="16.5" thickBot="1" x14ac:dyDescent="0.3">
      <c r="B23" s="3529"/>
      <c r="C23" s="3527"/>
      <c r="D23" s="3527"/>
      <c r="E23" s="3546">
        <f>E22/D22</f>
        <v>0.78260869565217395</v>
      </c>
      <c r="F23" s="3546">
        <f>F22/D22</f>
        <v>0.19565217391304349</v>
      </c>
      <c r="G23" s="3658">
        <f>G22/D22</f>
        <v>2.1739130434782608E-2</v>
      </c>
      <c r="H23" s="5"/>
      <c r="I23" s="3579"/>
      <c r="J23" s="3930">
        <f>'[1]3.AppStatus'!$E$45</f>
        <v>5</v>
      </c>
      <c r="K23" s="3564" t="s">
        <v>1583</v>
      </c>
      <c r="L23" s="3564"/>
      <c r="M23" s="3564"/>
      <c r="N23" s="3564"/>
      <c r="O23" s="3564"/>
      <c r="P23" s="3564"/>
      <c r="Q23" s="3564"/>
      <c r="R23" s="3564"/>
      <c r="S23" s="3564"/>
      <c r="T23" s="3580"/>
      <c r="U23" s="2713"/>
      <c r="V23" s="2713"/>
    </row>
    <row r="24" spans="2:22" ht="16.5" thickTop="1" x14ac:dyDescent="0.25">
      <c r="B24" s="3537"/>
      <c r="C24" s="3526"/>
      <c r="D24" s="3526" t="s">
        <v>1512</v>
      </c>
      <c r="E24" s="3547">
        <f>E14+E22</f>
        <v>48</v>
      </c>
      <c r="F24" s="3548">
        <f>F14+F22</f>
        <v>53</v>
      </c>
      <c r="G24" s="3659">
        <f>G14+G22</f>
        <v>5</v>
      </c>
      <c r="I24" s="3579"/>
      <c r="J24" s="3930">
        <f>'[1]3.AppStatus'!$E$46</f>
        <v>1</v>
      </c>
      <c r="K24" s="3564" t="s">
        <v>1526</v>
      </c>
      <c r="L24" s="3555"/>
      <c r="M24" s="3564"/>
      <c r="N24" s="3564"/>
      <c r="O24" s="3564"/>
      <c r="P24" s="3564"/>
      <c r="Q24" s="3564"/>
      <c r="R24" s="3564"/>
      <c r="S24" s="3564"/>
      <c r="T24" s="3580"/>
      <c r="U24" s="2713"/>
      <c r="V24" s="2713"/>
    </row>
    <row r="25" spans="2:22" ht="16.5" thickBot="1" x14ac:dyDescent="0.3">
      <c r="B25" s="3543"/>
      <c r="C25" s="3544"/>
      <c r="D25" s="3544" t="s">
        <v>1512</v>
      </c>
      <c r="E25" s="3545">
        <f>E24/F5</f>
        <v>0.45283018867924529</v>
      </c>
      <c r="F25" s="3545">
        <f>F24/F5</f>
        <v>0.5</v>
      </c>
      <c r="G25" s="3660">
        <f>G24/F5</f>
        <v>4.716981132075472E-2</v>
      </c>
      <c r="I25" s="3549">
        <f>'[1]3.AppStatus'!$D$47</f>
        <v>14</v>
      </c>
      <c r="J25" s="3565" t="s">
        <v>1527</v>
      </c>
      <c r="K25" s="3566"/>
      <c r="L25" s="3566"/>
      <c r="M25" s="3566"/>
      <c r="N25" s="3566"/>
      <c r="O25" s="3566"/>
      <c r="P25" s="3566"/>
      <c r="Q25" s="3566"/>
      <c r="R25" s="3566"/>
      <c r="S25" s="3566"/>
      <c r="T25" s="3574"/>
      <c r="U25" s="2934"/>
      <c r="V25" s="2713"/>
    </row>
    <row r="26" spans="2:22" ht="16.5" thickBot="1" x14ac:dyDescent="0.3">
      <c r="B26" s="3533"/>
      <c r="C26" s="3533"/>
      <c r="D26" s="3533"/>
      <c r="E26" s="3533"/>
      <c r="F26" s="3533"/>
      <c r="G26" s="3533"/>
      <c r="I26" s="3579"/>
      <c r="J26" s="3930">
        <f>'[1]3.AppStatus'!$E$48</f>
        <v>0</v>
      </c>
      <c r="K26" s="3564" t="s">
        <v>1528</v>
      </c>
      <c r="L26" s="3564"/>
      <c r="M26" s="3564"/>
      <c r="N26" s="3555"/>
      <c r="O26" s="3564"/>
      <c r="P26" s="3564"/>
      <c r="Q26" s="3564"/>
      <c r="R26" s="3564"/>
      <c r="S26" s="3564"/>
      <c r="T26" s="3580"/>
      <c r="U26" s="2713"/>
      <c r="V26" s="2713"/>
    </row>
    <row r="27" spans="2:22" ht="20.25" thickTop="1" thickBot="1" x14ac:dyDescent="0.35">
      <c r="B27" s="3943" t="s">
        <v>1794</v>
      </c>
      <c r="C27" s="3944"/>
      <c r="D27" s="3944"/>
      <c r="E27" s="3944"/>
      <c r="F27" s="3944"/>
      <c r="G27" s="3945"/>
      <c r="I27" s="3579"/>
      <c r="J27" s="3930">
        <f>'[1]3.AppStatus'!$E$49</f>
        <v>14</v>
      </c>
      <c r="K27" s="3564" t="s">
        <v>1526</v>
      </c>
      <c r="L27" s="3564"/>
      <c r="M27" s="3564"/>
      <c r="N27" s="3555"/>
      <c r="O27" s="3564"/>
      <c r="P27" s="3564"/>
      <c r="Q27" s="3564"/>
      <c r="R27" s="3564"/>
      <c r="S27" s="3564"/>
      <c r="T27" s="3580"/>
      <c r="U27" s="2713"/>
      <c r="V27" s="2713"/>
    </row>
    <row r="28" spans="2:22" ht="15.75" customHeight="1" thickBot="1" x14ac:dyDescent="0.3">
      <c r="B28" s="3946" t="s">
        <v>1240</v>
      </c>
      <c r="C28" s="3947"/>
      <c r="D28" s="3947"/>
      <c r="E28" s="3948" t="s">
        <v>1795</v>
      </c>
      <c r="F28" s="3965" t="s">
        <v>1807</v>
      </c>
      <c r="G28" s="3966" t="s">
        <v>1796</v>
      </c>
      <c r="I28" s="3581">
        <f>SUM(I18:I25)</f>
        <v>41</v>
      </c>
      <c r="J28" s="3567" t="s">
        <v>1584</v>
      </c>
      <c r="K28" s="3560"/>
      <c r="L28" s="3568"/>
      <c r="M28" s="3568"/>
      <c r="N28" s="3568"/>
      <c r="O28" s="3568"/>
      <c r="P28" s="3568"/>
      <c r="Q28" s="3568"/>
      <c r="R28" s="3568"/>
      <c r="S28" s="3568"/>
      <c r="T28" s="3582"/>
      <c r="U28" s="2713"/>
      <c r="V28" s="2713"/>
    </row>
    <row r="29" spans="2:22" ht="13.5" customHeight="1" x14ac:dyDescent="0.25">
      <c r="B29" s="3961" t="s">
        <v>1797</v>
      </c>
      <c r="C29" s="3962"/>
      <c r="D29" s="3962"/>
      <c r="E29" s="3963">
        <f>SUM(E30+E32+E33+E35+E36)</f>
        <v>113</v>
      </c>
      <c r="F29" s="3970">
        <f>SUM(F30+F31)</f>
        <v>1</v>
      </c>
      <c r="G29" s="3964">
        <f>SUM(G30+G32+G33+G35+G36)</f>
        <v>76226978</v>
      </c>
      <c r="I29" s="3583"/>
      <c r="J29" s="3584"/>
      <c r="K29" s="3584"/>
      <c r="L29" s="3585"/>
      <c r="M29" s="3585"/>
      <c r="N29" s="3585"/>
      <c r="O29" s="3585"/>
      <c r="P29" s="3585"/>
      <c r="Q29" s="3585"/>
      <c r="R29" s="3585"/>
      <c r="S29" s="3585"/>
      <c r="T29" s="3585"/>
      <c r="U29" s="2713"/>
      <c r="V29" s="2713"/>
    </row>
    <row r="30" spans="2:22" s="5" customFormat="1" x14ac:dyDescent="0.2">
      <c r="B30" s="3949" t="s">
        <v>1798</v>
      </c>
      <c r="C30" s="3555"/>
      <c r="D30" s="3555"/>
      <c r="E30" s="3950">
        <v>7</v>
      </c>
      <c r="F30" s="3967">
        <f>E30/$E$29</f>
        <v>6.1946902654867256E-2</v>
      </c>
      <c r="G30" s="3958">
        <v>1296379</v>
      </c>
      <c r="H30"/>
      <c r="I30"/>
      <c r="J30"/>
      <c r="K30"/>
      <c r="L30"/>
      <c r="M30"/>
      <c r="N30"/>
      <c r="O30"/>
      <c r="P30"/>
      <c r="Q30"/>
      <c r="R30"/>
      <c r="S30"/>
      <c r="T30"/>
      <c r="U30" s="3604"/>
      <c r="V30" s="3604"/>
    </row>
    <row r="31" spans="2:22" s="5" customFormat="1" x14ac:dyDescent="0.2">
      <c r="B31" s="3951" t="s">
        <v>1814</v>
      </c>
      <c r="C31" s="3952"/>
      <c r="D31" s="3555"/>
      <c r="E31" s="3953">
        <f>E29-E30</f>
        <v>106</v>
      </c>
      <c r="F31" s="3969">
        <f>E31/E29</f>
        <v>0.93805309734513276</v>
      </c>
      <c r="G31" s="3959">
        <f>G29-G30</f>
        <v>74930599</v>
      </c>
      <c r="H31"/>
      <c r="I31"/>
      <c r="J31"/>
      <c r="K31"/>
      <c r="L31"/>
      <c r="M31"/>
      <c r="N31"/>
      <c r="O31"/>
      <c r="P31"/>
      <c r="Q31"/>
      <c r="R31"/>
      <c r="S31"/>
      <c r="T31"/>
      <c r="U31" s="3604"/>
      <c r="V31" s="3604"/>
    </row>
    <row r="32" spans="2:22" x14ac:dyDescent="0.2">
      <c r="B32" s="3949" t="s">
        <v>1799</v>
      </c>
      <c r="C32" s="3555"/>
      <c r="D32" s="3555"/>
      <c r="E32" s="3950">
        <f>'[1]1.ApplicationSummary'!$AB$28</f>
        <v>5</v>
      </c>
      <c r="F32" s="3967">
        <f>E32/$E$31</f>
        <v>4.716981132075472E-2</v>
      </c>
      <c r="G32" s="3958">
        <f>'[1]1.ApplicationSummary'!$AD$28</f>
        <v>2198190</v>
      </c>
      <c r="V32" s="2713"/>
    </row>
    <row r="33" spans="2:22" x14ac:dyDescent="0.2">
      <c r="B33" s="3949" t="s">
        <v>1800</v>
      </c>
      <c r="C33" s="3555"/>
      <c r="D33" s="3555"/>
      <c r="E33" s="3950">
        <f>'[1]1.ApplicationSummary'!$AB$13</f>
        <v>12</v>
      </c>
      <c r="F33" s="3967">
        <f>E33/$E$31</f>
        <v>0.11320754716981132</v>
      </c>
      <c r="G33" s="3958">
        <f>'[1]1.ApplicationSummary'!$AE$12</f>
        <v>16392402</v>
      </c>
      <c r="V33" s="2713"/>
    </row>
    <row r="34" spans="2:22" x14ac:dyDescent="0.2">
      <c r="B34" s="3951" t="s">
        <v>1801</v>
      </c>
      <c r="C34" s="3952"/>
      <c r="D34" s="3952"/>
      <c r="E34" s="3953">
        <f>SUM(E35:E36)</f>
        <v>89</v>
      </c>
      <c r="F34" s="3969">
        <f>E34/$E$31</f>
        <v>0.839622641509434</v>
      </c>
      <c r="G34" s="3959">
        <f>SUM(G35:G36)</f>
        <v>56340007</v>
      </c>
      <c r="V34" s="2713"/>
    </row>
    <row r="35" spans="2:22" ht="15" customHeight="1" x14ac:dyDescent="0.2">
      <c r="B35" s="3949" t="s">
        <v>1802</v>
      </c>
      <c r="C35" s="3954"/>
      <c r="D35" s="3555"/>
      <c r="E35" s="3950">
        <f>'[1]1.ApplicationSummary'!$AB$25</f>
        <v>41</v>
      </c>
      <c r="F35" s="3967">
        <f>E35/$E$31</f>
        <v>0.3867924528301887</v>
      </c>
      <c r="G35" s="3958">
        <f>'[1]1.ApplicationSummary'!$AJ$13</f>
        <v>16731978</v>
      </c>
      <c r="V35" s="2713"/>
    </row>
    <row r="36" spans="2:22" ht="13.5" thickBot="1" x14ac:dyDescent="0.25">
      <c r="B36" s="3955" t="s">
        <v>1803</v>
      </c>
      <c r="C36" s="3956"/>
      <c r="D36" s="3956"/>
      <c r="E36" s="3957">
        <f>'[1]1.ApplicationSummary'!$AB$41</f>
        <v>48</v>
      </c>
      <c r="F36" s="3968">
        <f>E36/$E$31</f>
        <v>0.45283018867924529</v>
      </c>
      <c r="G36" s="3960">
        <f>'[1]1.ApplicationSummary'!$AJ$14</f>
        <v>39608029</v>
      </c>
    </row>
    <row r="37" spans="2:22" ht="13.5" thickTop="1" x14ac:dyDescent="0.2">
      <c r="E37" s="3940"/>
      <c r="G37" s="3941"/>
    </row>
    <row r="38" spans="2:22" x14ac:dyDescent="0.2">
      <c r="E38" s="3940"/>
      <c r="G38" s="3942"/>
    </row>
    <row r="39" spans="2:22" x14ac:dyDescent="0.2">
      <c r="R39" s="2713"/>
    </row>
    <row r="43" spans="2:22" x14ac:dyDescent="0.2">
      <c r="C43" s="288"/>
    </row>
  </sheetData>
  <mergeCells count="16">
    <mergeCell ref="B22:C22"/>
    <mergeCell ref="J10:T10"/>
    <mergeCell ref="E7:E8"/>
    <mergeCell ref="G7:G8"/>
    <mergeCell ref="B14:C14"/>
    <mergeCell ref="B7:C8"/>
    <mergeCell ref="K19:S19"/>
    <mergeCell ref="K20:S20"/>
    <mergeCell ref="J11:T11"/>
    <mergeCell ref="B9:B12"/>
    <mergeCell ref="J6:T6"/>
    <mergeCell ref="J5:T5"/>
    <mergeCell ref="B1:T1"/>
    <mergeCell ref="B2:T2"/>
    <mergeCell ref="B5:E5"/>
    <mergeCell ref="B6:E6"/>
  </mergeCells>
  <printOptions horizontalCentered="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R42"/>
  <sheetViews>
    <sheetView workbookViewId="0">
      <selection sqref="A1:P2"/>
    </sheetView>
  </sheetViews>
  <sheetFormatPr defaultRowHeight="12.75" x14ac:dyDescent="0.2"/>
  <cols>
    <col min="1" max="1" width="54.42578125" customWidth="1"/>
    <col min="2" max="2" width="15.140625" customWidth="1"/>
    <col min="3" max="10" width="15.85546875" customWidth="1"/>
    <col min="11" max="15" width="15.42578125" customWidth="1"/>
    <col min="16" max="16" width="16.7109375" customWidth="1"/>
    <col min="17" max="17" width="16" hidden="1" customWidth="1"/>
    <col min="18" max="18" width="12.28515625" hidden="1" customWidth="1"/>
  </cols>
  <sheetData>
    <row r="1" spans="1:18" x14ac:dyDescent="0.2">
      <c r="A1" s="4148" t="s">
        <v>1355</v>
      </c>
      <c r="B1" s="4148"/>
      <c r="C1" s="4148"/>
      <c r="D1" s="4148"/>
      <c r="E1" s="4148"/>
      <c r="F1" s="4148"/>
      <c r="G1" s="4148"/>
      <c r="H1" s="4148"/>
      <c r="I1" s="4148"/>
      <c r="J1" s="4148"/>
      <c r="K1" s="4148"/>
      <c r="L1" s="4148"/>
      <c r="M1" s="4148"/>
      <c r="N1" s="4148"/>
      <c r="O1" s="4148"/>
      <c r="P1" s="4148"/>
    </row>
    <row r="2" spans="1:18" ht="35.25" customHeight="1" thickBot="1" x14ac:dyDescent="0.25">
      <c r="A2" s="4148"/>
      <c r="B2" s="4148"/>
      <c r="C2" s="4148"/>
      <c r="D2" s="4148"/>
      <c r="E2" s="4148"/>
      <c r="F2" s="4148"/>
      <c r="G2" s="4148"/>
      <c r="H2" s="4148"/>
      <c r="I2" s="4148"/>
      <c r="J2" s="4148"/>
      <c r="K2" s="4148"/>
      <c r="L2" s="4148"/>
      <c r="M2" s="4148"/>
      <c r="N2" s="4148"/>
      <c r="O2" s="4148"/>
      <c r="P2" s="4148"/>
    </row>
    <row r="3" spans="1:18" s="2224" customFormat="1" ht="25.5" customHeight="1" thickTop="1" x14ac:dyDescent="0.2">
      <c r="A3" s="2725" t="s">
        <v>1338</v>
      </c>
      <c r="B3" s="2827">
        <v>2007</v>
      </c>
      <c r="C3" s="2827">
        <v>2008</v>
      </c>
      <c r="D3" s="2827">
        <v>2009</v>
      </c>
      <c r="E3" s="2827">
        <v>2010</v>
      </c>
      <c r="F3" s="2827">
        <v>2011</v>
      </c>
      <c r="G3" s="2827">
        <v>2012</v>
      </c>
      <c r="H3" s="2827">
        <v>2013</v>
      </c>
      <c r="I3" s="2827">
        <v>2014</v>
      </c>
      <c r="J3" s="2827">
        <v>2015</v>
      </c>
      <c r="K3" s="2827">
        <v>2016</v>
      </c>
      <c r="L3" s="2827">
        <v>2017</v>
      </c>
      <c r="M3" s="2827">
        <v>2018</v>
      </c>
      <c r="N3" s="2828">
        <v>2019</v>
      </c>
      <c r="O3" s="2828">
        <v>2020</v>
      </c>
      <c r="P3" s="2726" t="s">
        <v>69</v>
      </c>
      <c r="Q3" s="2224" t="s">
        <v>70</v>
      </c>
    </row>
    <row r="4" spans="1:18" ht="0.75" customHeight="1" thickBot="1" x14ac:dyDescent="0.25">
      <c r="A4" s="71"/>
      <c r="B4" s="103"/>
      <c r="C4" s="1059">
        <v>4.3552457318771802E-3</v>
      </c>
      <c r="D4" s="1059">
        <v>1.7708693050520273E-2</v>
      </c>
      <c r="E4" s="1059">
        <v>4.2840626316387659E-2</v>
      </c>
      <c r="F4" s="1059">
        <v>8.8558871964714098E-2</v>
      </c>
      <c r="G4" s="1059">
        <v>0.14466703613689319</v>
      </c>
      <c r="H4" s="1059">
        <v>0.15806692174001061</v>
      </c>
      <c r="I4" s="1059">
        <v>0.21390066919122233</v>
      </c>
      <c r="J4" s="1059">
        <v>0.20348098708104922</v>
      </c>
      <c r="K4" s="1059">
        <v>0.12642094878732543</v>
      </c>
      <c r="L4" s="1059"/>
      <c r="M4" s="1059"/>
      <c r="N4" s="1838"/>
      <c r="O4" s="1838"/>
      <c r="P4" s="1060">
        <f>SUM(C4:N4)</f>
        <v>1</v>
      </c>
    </row>
    <row r="5" spans="1:18" ht="18" customHeight="1" x14ac:dyDescent="0.25">
      <c r="A5" s="2727" t="s">
        <v>1115</v>
      </c>
      <c r="B5" s="2728"/>
      <c r="C5" s="2729">
        <f>C4*P5</f>
        <v>278179.82763016847</v>
      </c>
      <c r="D5" s="2729">
        <f>D4*P5</f>
        <v>1131096.0353610222</v>
      </c>
      <c r="E5" s="2729">
        <f>E4*P5</f>
        <v>2736331.9495464126</v>
      </c>
      <c r="F5" s="2729">
        <f>F4*P5</f>
        <v>5656464.2398829982</v>
      </c>
      <c r="G5" s="2729">
        <f>G4*P5</f>
        <v>9240225.1569356881</v>
      </c>
      <c r="H5" s="2729">
        <f>H4*P5</f>
        <v>10096107.487536706</v>
      </c>
      <c r="I5" s="2729">
        <f>I4*P5</f>
        <v>13662340.76072333</v>
      </c>
      <c r="J5" s="2729">
        <f>J4*P5</f>
        <v>12996811.063477112</v>
      </c>
      <c r="K5" s="2729">
        <f>K4*P5</f>
        <v>8074804.4789065626</v>
      </c>
      <c r="L5" s="2729"/>
      <c r="M5" s="2729"/>
      <c r="N5" s="2730"/>
      <c r="O5" s="2730"/>
      <c r="P5" s="2731">
        <v>63872361</v>
      </c>
      <c r="Q5" s="1">
        <f>SUM(C5:M5)</f>
        <v>63872361.000000007</v>
      </c>
    </row>
    <row r="6" spans="1:18" ht="15.75" hidden="1" x14ac:dyDescent="0.25">
      <c r="A6" s="2732"/>
      <c r="B6" s="2720"/>
      <c r="C6" s="2733">
        <v>2.7277692322844162E-3</v>
      </c>
      <c r="D6" s="2733">
        <v>1.4351247831046344E-2</v>
      </c>
      <c r="E6" s="2733">
        <v>4.0942610694978412E-2</v>
      </c>
      <c r="F6" s="2733">
        <v>8.7155747436202774E-2</v>
      </c>
      <c r="G6" s="2733">
        <v>0.15277330606734008</v>
      </c>
      <c r="H6" s="2733">
        <v>0.13705430576471619</v>
      </c>
      <c r="I6" s="2733">
        <v>0.20702760681816962</v>
      </c>
      <c r="J6" s="2733">
        <v>0.20812231734679443</v>
      </c>
      <c r="K6" s="2733">
        <v>0.14984508880846772</v>
      </c>
      <c r="L6" s="2734"/>
      <c r="M6" s="2734"/>
      <c r="N6" s="2735"/>
      <c r="O6" s="2735"/>
      <c r="P6" s="2736">
        <f>SUM(C6:N6)</f>
        <v>0.99999999999999989</v>
      </c>
      <c r="Q6" s="1"/>
    </row>
    <row r="7" spans="1:18" ht="18" customHeight="1" x14ac:dyDescent="0.25">
      <c r="A7" s="2732" t="s">
        <v>1114</v>
      </c>
      <c r="B7" s="2720"/>
      <c r="C7" s="2737">
        <f>C6*P7</f>
        <v>65652.530897467805</v>
      </c>
      <c r="D7" s="2737">
        <f>D6*P7</f>
        <v>345408.88961341139</v>
      </c>
      <c r="E7" s="2737">
        <f>E6*P7</f>
        <v>985415.47498281847</v>
      </c>
      <c r="F7" s="2737">
        <f>F6*P7</f>
        <v>2097683.0934687322</v>
      </c>
      <c r="G7" s="2737">
        <f>G6*P7</f>
        <v>3676980.4711429332</v>
      </c>
      <c r="H7" s="2737">
        <f>H6*P7</f>
        <v>3298652.2237123172</v>
      </c>
      <c r="I7" s="2737">
        <f>I6*P7</f>
        <v>4982784.5377799589</v>
      </c>
      <c r="J7" s="2737">
        <f>J6*P7</f>
        <v>5009132.2639562432</v>
      </c>
      <c r="K7" s="2737">
        <f>K6*P7</f>
        <v>3606503.5144461174</v>
      </c>
      <c r="L7" s="2737"/>
      <c r="M7" s="2737"/>
      <c r="N7" s="2738"/>
      <c r="O7" s="2738"/>
      <c r="P7" s="2739">
        <v>24068213</v>
      </c>
      <c r="Q7" s="1">
        <f>SUM(C7:M7)</f>
        <v>24068213</v>
      </c>
    </row>
    <row r="8" spans="1:18" ht="0.75" customHeight="1" x14ac:dyDescent="0.25">
      <c r="A8" s="2732"/>
      <c r="B8" s="2720"/>
      <c r="C8" s="2733">
        <v>4.9683497342502721E-3</v>
      </c>
      <c r="D8" s="2733">
        <v>1.6286378392518081E-2</v>
      </c>
      <c r="E8" s="2733">
        <v>2.877564331060093E-2</v>
      </c>
      <c r="F8" s="2733">
        <v>6.2702050423171077E-2</v>
      </c>
      <c r="G8" s="2733">
        <v>9.8960692678355888E-2</v>
      </c>
      <c r="H8" s="2733">
        <v>0.13930421031061929</v>
      </c>
      <c r="I8" s="2733">
        <v>0.15092764680650458</v>
      </c>
      <c r="J8" s="2733">
        <v>0.16769467853616052</v>
      </c>
      <c r="K8" s="2733">
        <v>0.13729794957682898</v>
      </c>
      <c r="L8" s="2733">
        <v>0.10103930732164412</v>
      </c>
      <c r="M8" s="2733">
        <v>5.5727439955130478E-2</v>
      </c>
      <c r="N8" s="2733">
        <v>3.2785974800977356E-2</v>
      </c>
      <c r="O8" s="2936">
        <v>3.5296781532385985E-3</v>
      </c>
      <c r="P8" s="2736">
        <f>SUM(C8:O8)</f>
        <v>1.0000000000000002</v>
      </c>
      <c r="Q8" s="1"/>
    </row>
    <row r="9" spans="1:18" ht="18" customHeight="1" x14ac:dyDescent="0.25">
      <c r="A9" s="2740" t="s">
        <v>1116</v>
      </c>
      <c r="B9" s="2741"/>
      <c r="C9" s="2742">
        <f>C8*P9</f>
        <v>119311.28700436455</v>
      </c>
      <c r="D9" s="2742">
        <f>D8*P9</f>
        <v>391105.47175371682</v>
      </c>
      <c r="E9" s="2742">
        <f>E8*P9</f>
        <v>691026.03910882131</v>
      </c>
      <c r="F9" s="2742">
        <f>F8*P9</f>
        <v>1505743.9057135941</v>
      </c>
      <c r="G9" s="2742">
        <f>G8*P9</f>
        <v>2376468.6944043688</v>
      </c>
      <c r="H9" s="2742">
        <f>H8*P9</f>
        <v>3345288.7792317853</v>
      </c>
      <c r="I9" s="2742">
        <f>I8*P9</f>
        <v>3624417.109948392</v>
      </c>
      <c r="J9" s="2742">
        <f>J8*P9</f>
        <v>4027065.120235885</v>
      </c>
      <c r="K9" s="2742">
        <f>K8*P9</f>
        <v>3297109.8942864072</v>
      </c>
      <c r="L9" s="2742">
        <f>L8*P9</f>
        <v>2426385.1055956315</v>
      </c>
      <c r="M9" s="2742">
        <f>M8*P9</f>
        <v>1338253.7337638512</v>
      </c>
      <c r="N9" s="2742">
        <f>N8*P9</f>
        <v>787331.21829789167</v>
      </c>
      <c r="O9" s="2937">
        <f>O8*P9</f>
        <v>84762.640655294919</v>
      </c>
      <c r="P9" s="2743">
        <v>24014269</v>
      </c>
      <c r="Q9" s="1">
        <f>SUM(C9:N9)</f>
        <v>23929506.359344706</v>
      </c>
    </row>
    <row r="10" spans="1:18" ht="15" hidden="1" x14ac:dyDescent="0.2">
      <c r="A10" s="2714"/>
      <c r="B10" s="2744"/>
      <c r="C10" s="2744"/>
      <c r="D10" s="2744"/>
      <c r="E10" s="2744"/>
      <c r="F10" s="2744"/>
      <c r="G10" s="2744"/>
      <c r="H10" s="2744"/>
      <c r="I10" s="2744"/>
      <c r="J10" s="2744"/>
      <c r="K10" s="2744"/>
      <c r="L10" s="2744"/>
      <c r="M10" s="2744"/>
      <c r="N10" s="2745"/>
      <c r="O10" s="2745"/>
      <c r="P10" s="2746"/>
    </row>
    <row r="11" spans="1:18" ht="18" customHeight="1" thickBot="1" x14ac:dyDescent="0.3">
      <c r="A11" s="2747" t="s">
        <v>1117</v>
      </c>
      <c r="B11" s="2748"/>
      <c r="C11" s="2749">
        <f>C5-C7-C9</f>
        <v>93216.00972833611</v>
      </c>
      <c r="D11" s="2749">
        <f t="shared" ref="D11:Q11" si="0">D5-D7-D9</f>
        <v>394581.67399389402</v>
      </c>
      <c r="E11" s="2749">
        <f t="shared" si="0"/>
        <v>1059890.4354547728</v>
      </c>
      <c r="F11" s="2749">
        <f t="shared" si="0"/>
        <v>2053037.2407006719</v>
      </c>
      <c r="G11" s="2749">
        <f t="shared" si="0"/>
        <v>3186775.9913883866</v>
      </c>
      <c r="H11" s="2749">
        <f t="shared" si="0"/>
        <v>3452166.4845926031</v>
      </c>
      <c r="I11" s="2749">
        <f t="shared" si="0"/>
        <v>5055139.1129949791</v>
      </c>
      <c r="J11" s="2749">
        <f t="shared" si="0"/>
        <v>3960613.6792849838</v>
      </c>
      <c r="K11" s="2749">
        <f t="shared" si="0"/>
        <v>1171191.0701740384</v>
      </c>
      <c r="L11" s="2749">
        <f t="shared" si="0"/>
        <v>-2426385.1055956315</v>
      </c>
      <c r="M11" s="2749">
        <f t="shared" si="0"/>
        <v>-1338253.7337638512</v>
      </c>
      <c r="N11" s="2750">
        <f t="shared" si="0"/>
        <v>-787331.21829789167</v>
      </c>
      <c r="O11" s="2750">
        <f t="shared" si="0"/>
        <v>-84762.640655294919</v>
      </c>
      <c r="P11" s="2751">
        <f>P5-P7-P9</f>
        <v>15789879</v>
      </c>
      <c r="Q11" s="1">
        <f t="shared" si="0"/>
        <v>15874641.640655302</v>
      </c>
      <c r="R11" s="1849">
        <f>SUM(C11:N11)</f>
        <v>15874641.640655294</v>
      </c>
    </row>
    <row r="12" spans="1:18" s="1050" customFormat="1" ht="18" customHeight="1" thickBot="1" x14ac:dyDescent="0.3">
      <c r="A12" s="2752" t="s">
        <v>1357</v>
      </c>
      <c r="B12" s="2753"/>
      <c r="C12" s="2833">
        <v>504102</v>
      </c>
      <c r="D12" s="2754">
        <v>1334993</v>
      </c>
      <c r="E12" s="2754">
        <v>1207468</v>
      </c>
      <c r="F12" s="2754">
        <v>958568</v>
      </c>
      <c r="G12" s="2754">
        <v>712645</v>
      </c>
      <c r="H12" s="2754">
        <v>99350</v>
      </c>
      <c r="I12" s="2754"/>
      <c r="J12" s="2754"/>
      <c r="K12" s="2754"/>
      <c r="L12" s="2754"/>
      <c r="M12" s="2754"/>
      <c r="N12" s="2755"/>
      <c r="O12" s="2755"/>
      <c r="P12" s="2756"/>
      <c r="Q12" s="1049"/>
    </row>
    <row r="13" spans="1:18" ht="15" customHeight="1" thickTop="1" thickBot="1" x14ac:dyDescent="0.25">
      <c r="A13" s="236"/>
      <c r="B13" s="26"/>
      <c r="C13" s="119"/>
      <c r="D13" s="119"/>
      <c r="E13" s="119"/>
      <c r="F13" s="119"/>
      <c r="G13" s="119"/>
      <c r="H13" s="119"/>
      <c r="I13" s="119"/>
      <c r="J13" s="119"/>
      <c r="K13" s="119"/>
      <c r="L13" s="119"/>
      <c r="M13" s="119"/>
      <c r="N13" s="119"/>
      <c r="O13" s="119"/>
      <c r="P13" s="292"/>
      <c r="Q13" s="1"/>
    </row>
    <row r="14" spans="1:18" ht="40.5" customHeight="1" thickTop="1" thickBot="1" x14ac:dyDescent="0.3">
      <c r="A14" s="2941" t="s">
        <v>1336</v>
      </c>
      <c r="B14" s="2829">
        <v>2007</v>
      </c>
      <c r="C14" s="2829">
        <v>2008</v>
      </c>
      <c r="D14" s="2829">
        <v>2009</v>
      </c>
      <c r="E14" s="2829">
        <v>2010</v>
      </c>
      <c r="F14" s="2829">
        <v>2011</v>
      </c>
      <c r="G14" s="2829">
        <v>2012</v>
      </c>
      <c r="H14" s="2829">
        <v>2013</v>
      </c>
      <c r="I14" s="2829">
        <v>2014</v>
      </c>
      <c r="J14" s="2829">
        <v>2015</v>
      </c>
      <c r="K14" s="2829">
        <v>2016</v>
      </c>
      <c r="L14" s="2829">
        <v>2017</v>
      </c>
      <c r="M14" s="2829">
        <v>2018</v>
      </c>
      <c r="N14" s="2830">
        <v>2019</v>
      </c>
      <c r="O14" s="2830">
        <v>2020</v>
      </c>
      <c r="P14" s="2757" t="s">
        <v>347</v>
      </c>
      <c r="Q14" s="1"/>
    </row>
    <row r="15" spans="1:18" ht="18" customHeight="1" x14ac:dyDescent="0.2">
      <c r="A15" s="2758" t="s">
        <v>1356</v>
      </c>
      <c r="B15" s="2729">
        <v>713549</v>
      </c>
      <c r="C15" s="2729">
        <v>1625483</v>
      </c>
      <c r="D15" s="2729">
        <v>1793694.6812738576</v>
      </c>
      <c r="E15" s="2729">
        <v>4872473.7918274477</v>
      </c>
      <c r="F15" s="2729">
        <v>5207426.8733919989</v>
      </c>
      <c r="G15" s="2759">
        <v>6507641.2444598991</v>
      </c>
      <c r="H15" s="2759">
        <v>3294828.3423833945</v>
      </c>
      <c r="I15" s="2759">
        <v>4201757.5922214165</v>
      </c>
      <c r="J15" s="2759">
        <v>506928.54796489223</v>
      </c>
      <c r="K15" s="2759"/>
      <c r="L15" s="2759"/>
      <c r="M15" s="2759"/>
      <c r="N15" s="2760"/>
      <c r="O15" s="2760"/>
      <c r="P15" s="2731">
        <f>SUM(B15:N15)</f>
        <v>28723783.073522907</v>
      </c>
      <c r="Q15" s="1"/>
    </row>
    <row r="16" spans="1:18" ht="33.75" customHeight="1" thickBot="1" x14ac:dyDescent="0.25">
      <c r="A16" s="2943" t="s">
        <v>1337</v>
      </c>
      <c r="B16" s="2749">
        <v>621413.2546623064</v>
      </c>
      <c r="C16" s="2749">
        <v>1411165.3672207519</v>
      </c>
      <c r="D16" s="2749">
        <v>1583730.1085022474</v>
      </c>
      <c r="E16" s="2749">
        <v>4415634.7315207236</v>
      </c>
      <c r="F16" s="2749">
        <v>4691908.6541796336</v>
      </c>
      <c r="G16" s="2749">
        <v>5687717.6362056294</v>
      </c>
      <c r="H16" s="2749">
        <v>2905840.8621456232</v>
      </c>
      <c r="I16" s="2749">
        <v>3868082.6737771332</v>
      </c>
      <c r="J16" s="2749">
        <v>490030.83837191388</v>
      </c>
      <c r="K16" s="2749"/>
      <c r="L16" s="2749"/>
      <c r="M16" s="2749"/>
      <c r="N16" s="2750"/>
      <c r="O16" s="2750"/>
      <c r="P16" s="2751">
        <f>SUM(B16:N16)</f>
        <v>25675524.126585964</v>
      </c>
      <c r="Q16" s="1"/>
    </row>
    <row r="17" spans="1:17" ht="15" customHeight="1" thickBot="1" x14ac:dyDescent="0.25">
      <c r="P17" s="3"/>
    </row>
    <row r="18" spans="1:17" ht="38.25" customHeight="1" thickTop="1" thickBot="1" x14ac:dyDescent="0.3">
      <c r="A18" s="2941" t="s">
        <v>837</v>
      </c>
      <c r="B18" s="2829">
        <v>2007</v>
      </c>
      <c r="C18" s="2829">
        <v>2008</v>
      </c>
      <c r="D18" s="2829">
        <v>2009</v>
      </c>
      <c r="E18" s="2829">
        <v>2010</v>
      </c>
      <c r="F18" s="2829">
        <v>2011</v>
      </c>
      <c r="G18" s="2829">
        <v>2012</v>
      </c>
      <c r="H18" s="2829">
        <v>2013</v>
      </c>
      <c r="I18" s="2829">
        <v>2014</v>
      </c>
      <c r="J18" s="2829">
        <v>2015</v>
      </c>
      <c r="K18" s="2829">
        <v>2016</v>
      </c>
      <c r="L18" s="2829">
        <v>2017</v>
      </c>
      <c r="M18" s="2829">
        <v>2018</v>
      </c>
      <c r="N18" s="2830">
        <v>2019</v>
      </c>
      <c r="O18" s="2830">
        <v>2020</v>
      </c>
      <c r="P18" s="2757" t="s">
        <v>347</v>
      </c>
    </row>
    <row r="19" spans="1:17" ht="18" customHeight="1" x14ac:dyDescent="0.2">
      <c r="A19" s="2758" t="s">
        <v>1340</v>
      </c>
      <c r="B19" s="2759"/>
      <c r="C19" s="2759">
        <v>142709.79999999999</v>
      </c>
      <c r="D19" s="2759">
        <v>467806.4</v>
      </c>
      <c r="E19" s="2759">
        <v>826545.33625477157</v>
      </c>
      <c r="F19" s="2759">
        <v>1801040.0946202609</v>
      </c>
      <c r="G19" s="2759">
        <v>2842525.4692986608</v>
      </c>
      <c r="H19" s="2759">
        <v>4001343.9181906409</v>
      </c>
      <c r="I19" s="2759">
        <v>4335212.9866673192</v>
      </c>
      <c r="J19" s="2759">
        <v>4816825.5688568316</v>
      </c>
      <c r="K19" s="2759">
        <v>3943716.520084321</v>
      </c>
      <c r="L19" s="2759">
        <v>2902231.1454059202</v>
      </c>
      <c r="M19" s="2759">
        <v>1600702.8965139408</v>
      </c>
      <c r="N19" s="2759">
        <v>941737.22803726175</v>
      </c>
      <c r="O19" s="2759">
        <v>101385.70959297844</v>
      </c>
      <c r="P19" s="2761">
        <f>SUM(C19:O19)</f>
        <v>28723783.073522907</v>
      </c>
    </row>
    <row r="20" spans="1:17" ht="36" customHeight="1" thickBot="1" x14ac:dyDescent="0.25">
      <c r="A20" s="2943" t="s">
        <v>1339</v>
      </c>
      <c r="B20" s="2762"/>
      <c r="C20" s="2762">
        <v>50574</v>
      </c>
      <c r="D20" s="2762">
        <v>253487.29403862159</v>
      </c>
      <c r="E20" s="2762">
        <v>616583.1853775034</v>
      </c>
      <c r="F20" s="2762">
        <v>1344206.2625030652</v>
      </c>
      <c r="G20" s="2762">
        <v>2327007.345383246</v>
      </c>
      <c r="H20" s="2762">
        <v>3181419.270262578</v>
      </c>
      <c r="I20" s="2762">
        <v>3946221.2326020594</v>
      </c>
      <c r="J20" s="2762">
        <v>4483149.696012903</v>
      </c>
      <c r="K20" s="2762">
        <v>3926818.4315770054</v>
      </c>
      <c r="L20" s="2762">
        <v>2902230.7026250749</v>
      </c>
      <c r="M20" s="2762">
        <v>1600703.1685736675</v>
      </c>
      <c r="N20" s="2762">
        <v>941737.82803726161</v>
      </c>
      <c r="O20" s="2762">
        <v>101385.70959297844</v>
      </c>
      <c r="P20" s="2763">
        <f>SUM(C20:O20)</f>
        <v>25675524.126585964</v>
      </c>
    </row>
    <row r="21" spans="1:17" s="1050" customFormat="1" ht="18" customHeight="1" x14ac:dyDescent="0.2">
      <c r="A21" s="2764" t="s">
        <v>834</v>
      </c>
      <c r="B21" s="2765"/>
      <c r="C21" s="2766">
        <v>208653</v>
      </c>
      <c r="D21" s="2767" t="e">
        <f>'TABLE 6'!#REF!</f>
        <v>#REF!</v>
      </c>
      <c r="E21" s="2765"/>
      <c r="F21" s="2765"/>
      <c r="G21" s="2765"/>
      <c r="H21" s="2765"/>
      <c r="I21" s="2765"/>
      <c r="J21" s="2765"/>
      <c r="K21" s="2765"/>
      <c r="L21" s="2765"/>
      <c r="M21" s="2765"/>
      <c r="N21" s="2768"/>
      <c r="O21" s="2768"/>
      <c r="P21" s="2769"/>
    </row>
    <row r="22" spans="1:17" s="1050" customFormat="1" ht="18" customHeight="1" x14ac:dyDescent="0.2">
      <c r="A22" s="2770" t="s">
        <v>1315</v>
      </c>
      <c r="B22" s="2771"/>
      <c r="C22" s="2772">
        <v>132712</v>
      </c>
      <c r="D22" s="2773" t="e">
        <f>'TABLE 6'!#REF!</f>
        <v>#REF!</v>
      </c>
      <c r="E22" s="2771"/>
      <c r="F22" s="2771"/>
      <c r="G22" s="2771"/>
      <c r="H22" s="2771"/>
      <c r="I22" s="2771"/>
      <c r="J22" s="2771"/>
      <c r="K22" s="2771"/>
      <c r="L22" s="2771"/>
      <c r="M22" s="2771"/>
      <c r="N22" s="2771"/>
      <c r="O22" s="2938"/>
      <c r="P22" s="2774"/>
    </row>
    <row r="23" spans="1:17" s="1050" customFormat="1" ht="18" customHeight="1" thickBot="1" x14ac:dyDescent="0.25">
      <c r="A23" s="2775" t="s">
        <v>1064</v>
      </c>
      <c r="B23" s="2776"/>
      <c r="C23" s="2777">
        <f>'TABLE 6'!D27</f>
        <v>544110</v>
      </c>
      <c r="D23" s="2778">
        <f>'TABLE 6'!E27</f>
        <v>654370</v>
      </c>
      <c r="E23" s="2776"/>
      <c r="F23" s="2776"/>
      <c r="G23" s="2776"/>
      <c r="H23" s="2776"/>
      <c r="I23" s="2776"/>
      <c r="J23" s="2776"/>
      <c r="K23" s="2776"/>
      <c r="L23" s="2776"/>
      <c r="M23" s="2776"/>
      <c r="N23" s="2776"/>
      <c r="O23" s="2939"/>
      <c r="P23" s="2779"/>
    </row>
    <row r="24" spans="1:17" ht="15" customHeight="1" thickTop="1" thickBot="1" x14ac:dyDescent="0.25">
      <c r="A24" s="1047"/>
      <c r="P24" s="3"/>
    </row>
    <row r="25" spans="1:17" ht="36" customHeight="1" thickTop="1" thickBot="1" x14ac:dyDescent="0.3">
      <c r="A25" s="2941" t="s">
        <v>1316</v>
      </c>
      <c r="B25" s="2829">
        <v>2007</v>
      </c>
      <c r="C25" s="2829">
        <v>2008</v>
      </c>
      <c r="D25" s="2829">
        <v>2009</v>
      </c>
      <c r="E25" s="2829">
        <v>2010</v>
      </c>
      <c r="F25" s="2829">
        <v>2011</v>
      </c>
      <c r="G25" s="2829">
        <v>2012</v>
      </c>
      <c r="H25" s="2829">
        <v>2013</v>
      </c>
      <c r="I25" s="2829">
        <v>2014</v>
      </c>
      <c r="J25" s="2829">
        <v>2015</v>
      </c>
      <c r="K25" s="2829">
        <v>2016</v>
      </c>
      <c r="L25" s="2829">
        <v>2017</v>
      </c>
      <c r="M25" s="2829">
        <v>2018</v>
      </c>
      <c r="N25" s="2830">
        <v>2019</v>
      </c>
      <c r="O25" s="2830">
        <v>2020</v>
      </c>
      <c r="P25" s="2757" t="s">
        <v>347</v>
      </c>
    </row>
    <row r="26" spans="1:17" ht="18" customHeight="1" x14ac:dyDescent="0.2">
      <c r="A26" s="2758" t="s">
        <v>1118</v>
      </c>
      <c r="B26" s="2724">
        <v>114</v>
      </c>
      <c r="C26" s="2724">
        <v>233</v>
      </c>
      <c r="D26" s="2724">
        <v>207</v>
      </c>
      <c r="E26" s="2724">
        <v>434</v>
      </c>
      <c r="F26" s="2724">
        <v>464</v>
      </c>
      <c r="G26" s="2724">
        <v>523</v>
      </c>
      <c r="H26" s="2724">
        <v>277</v>
      </c>
      <c r="I26" s="2724">
        <v>308</v>
      </c>
      <c r="J26" s="2724">
        <v>51</v>
      </c>
      <c r="K26" s="2721"/>
      <c r="L26" s="2721"/>
      <c r="M26" s="2721"/>
      <c r="N26" s="2780"/>
      <c r="O26" s="2780"/>
      <c r="P26" s="2817">
        <f>SUM(B26:N26)</f>
        <v>2611</v>
      </c>
      <c r="Q26">
        <f>'4. Jobs'!$G$131</f>
        <v>1885</v>
      </c>
    </row>
    <row r="27" spans="1:17" ht="18" customHeight="1" x14ac:dyDescent="0.2">
      <c r="A27" s="2781" t="s">
        <v>1119</v>
      </c>
      <c r="B27" s="2782">
        <v>3842588</v>
      </c>
      <c r="C27" s="2782">
        <v>7897077</v>
      </c>
      <c r="D27" s="2782">
        <v>10417072</v>
      </c>
      <c r="E27" s="2782">
        <v>22330914</v>
      </c>
      <c r="F27" s="2782">
        <v>24456485</v>
      </c>
      <c r="G27" s="2782">
        <v>27079687</v>
      </c>
      <c r="H27" s="2782">
        <v>13605459</v>
      </c>
      <c r="I27" s="2782">
        <v>13831087</v>
      </c>
      <c r="J27" s="2782">
        <v>2305800</v>
      </c>
      <c r="K27" s="2782"/>
      <c r="L27" s="2782"/>
      <c r="M27" s="2782"/>
      <c r="N27" s="2783"/>
      <c r="O27" s="2783"/>
      <c r="P27" s="2784">
        <f>SUM(B27:N27)</f>
        <v>125766169</v>
      </c>
      <c r="Q27" s="315">
        <f>'5. Payroll'!$E$130</f>
        <v>84024096</v>
      </c>
    </row>
    <row r="28" spans="1:17" ht="18" customHeight="1" thickBot="1" x14ac:dyDescent="0.25">
      <c r="A28" s="2785" t="s">
        <v>1358</v>
      </c>
      <c r="B28" s="2786">
        <v>14317077</v>
      </c>
      <c r="C28" s="2786">
        <v>13299891</v>
      </c>
      <c r="D28" s="2786">
        <v>23727561</v>
      </c>
      <c r="E28" s="2786">
        <v>40434067</v>
      </c>
      <c r="F28" s="2786">
        <v>60908290</v>
      </c>
      <c r="G28" s="2786">
        <v>71695139</v>
      </c>
      <c r="H28" s="2786">
        <v>94383680</v>
      </c>
      <c r="I28" s="2786">
        <v>25851080</v>
      </c>
      <c r="J28" s="2786">
        <v>204000</v>
      </c>
      <c r="K28" s="2786"/>
      <c r="L28" s="2786"/>
      <c r="M28" s="2786"/>
      <c r="N28" s="2787"/>
      <c r="O28" s="2787"/>
      <c r="P28" s="2788">
        <f>SUM(B28:N28)</f>
        <v>344820785</v>
      </c>
      <c r="Q28" s="315">
        <f>'6. Capex'!$E$132</f>
        <v>137131025</v>
      </c>
    </row>
    <row r="29" spans="1:17" s="1050" customFormat="1" ht="18" customHeight="1" x14ac:dyDescent="0.2">
      <c r="A29" s="2789" t="s">
        <v>839</v>
      </c>
      <c r="B29" s="2790">
        <f>'TABLE 6'!C23</f>
        <v>262</v>
      </c>
      <c r="C29" s="2790">
        <f>'TABLE 6'!D23</f>
        <v>255</v>
      </c>
      <c r="D29" s="2791"/>
      <c r="E29" s="2791"/>
      <c r="F29" s="2791"/>
      <c r="G29" s="2791"/>
      <c r="H29" s="2791"/>
      <c r="I29" s="2791"/>
      <c r="J29" s="2791"/>
      <c r="K29" s="2791"/>
      <c r="L29" s="2791"/>
      <c r="M29" s="2791"/>
      <c r="N29" s="2792"/>
      <c r="O29" s="2792"/>
      <c r="P29" s="2793"/>
    </row>
    <row r="30" spans="1:17" s="1050" customFormat="1" ht="18" customHeight="1" x14ac:dyDescent="0.2">
      <c r="A30" s="2794" t="s">
        <v>840</v>
      </c>
      <c r="B30" s="2772">
        <f>'TABLE 6'!C24</f>
        <v>10621976</v>
      </c>
      <c r="C30" s="2773">
        <f>'TABLE 6'!D24</f>
        <v>9214052</v>
      </c>
      <c r="D30" s="2795"/>
      <c r="E30" s="2795"/>
      <c r="F30" s="2795"/>
      <c r="G30" s="2795"/>
      <c r="H30" s="2795"/>
      <c r="I30" s="2795"/>
      <c r="J30" s="2795"/>
      <c r="K30" s="2795"/>
      <c r="L30" s="2795"/>
      <c r="M30" s="2795"/>
      <c r="N30" s="2796"/>
      <c r="O30" s="2796"/>
      <c r="P30" s="2797"/>
    </row>
    <row r="31" spans="1:17" s="1050" customFormat="1" ht="18" customHeight="1" thickBot="1" x14ac:dyDescent="0.25">
      <c r="A31" s="2798" t="s">
        <v>841</v>
      </c>
      <c r="B31" s="2777">
        <f>'TABLE 6'!C26</f>
        <v>22546350</v>
      </c>
      <c r="C31" s="2778">
        <f>'TABLE 6'!D26</f>
        <v>13388586</v>
      </c>
      <c r="D31" s="2799"/>
      <c r="E31" s="2799"/>
      <c r="F31" s="2799"/>
      <c r="G31" s="2799"/>
      <c r="H31" s="2799"/>
      <c r="I31" s="2799"/>
      <c r="J31" s="2799"/>
      <c r="K31" s="2799"/>
      <c r="L31" s="2799"/>
      <c r="M31" s="2799"/>
      <c r="N31" s="2800"/>
      <c r="O31" s="2800"/>
      <c r="P31" s="2801"/>
    </row>
    <row r="32" spans="1:17" ht="15" customHeight="1" thickTop="1" thickBot="1" x14ac:dyDescent="0.25">
      <c r="P32" s="3"/>
    </row>
    <row r="33" spans="1:17" ht="40.5" customHeight="1" thickTop="1" thickBot="1" x14ac:dyDescent="0.3">
      <c r="A33" s="2941" t="s">
        <v>1120</v>
      </c>
      <c r="B33" s="2829">
        <v>2007</v>
      </c>
      <c r="C33" s="2829">
        <v>2008</v>
      </c>
      <c r="D33" s="2829">
        <v>2009</v>
      </c>
      <c r="E33" s="2829">
        <v>2010</v>
      </c>
      <c r="F33" s="2829">
        <v>2011</v>
      </c>
      <c r="G33" s="2829">
        <v>2012</v>
      </c>
      <c r="H33" s="2829">
        <v>2013</v>
      </c>
      <c r="I33" s="2829">
        <v>2014</v>
      </c>
      <c r="J33" s="2829">
        <v>2015</v>
      </c>
      <c r="K33" s="2829">
        <v>2016</v>
      </c>
      <c r="L33" s="2829">
        <v>2017</v>
      </c>
      <c r="M33" s="2829">
        <v>2018</v>
      </c>
      <c r="N33" s="2830">
        <v>2019</v>
      </c>
      <c r="O33" s="2830">
        <v>2020</v>
      </c>
      <c r="P33" s="2757" t="s">
        <v>347</v>
      </c>
    </row>
    <row r="34" spans="1:17" ht="18" customHeight="1" x14ac:dyDescent="0.2">
      <c r="A34" s="2758" t="s">
        <v>483</v>
      </c>
      <c r="B34" s="2759">
        <v>10000000</v>
      </c>
      <c r="C34" s="2759">
        <v>10000000</v>
      </c>
      <c r="D34" s="2759">
        <v>10000000</v>
      </c>
      <c r="E34" s="2759">
        <v>23000000</v>
      </c>
      <c r="F34" s="2759">
        <v>10000000</v>
      </c>
      <c r="G34" s="2759">
        <v>10000000</v>
      </c>
      <c r="H34" s="2759">
        <v>10000000</v>
      </c>
      <c r="I34" s="2759">
        <v>10000000</v>
      </c>
      <c r="J34" s="2759">
        <v>10000000</v>
      </c>
      <c r="K34" s="2759">
        <v>10000000</v>
      </c>
      <c r="L34" s="2759">
        <v>10000000</v>
      </c>
      <c r="M34" s="2759">
        <v>10000000</v>
      </c>
      <c r="N34" s="2759">
        <v>10000000</v>
      </c>
      <c r="O34" s="2760">
        <v>10000000</v>
      </c>
      <c r="P34" s="2722"/>
    </row>
    <row r="35" spans="1:17" ht="18" customHeight="1" x14ac:dyDescent="0.2">
      <c r="A35" s="2781" t="s">
        <v>379</v>
      </c>
      <c r="B35" s="2782">
        <v>2125350</v>
      </c>
      <c r="C35" s="2782">
        <v>825344</v>
      </c>
      <c r="D35" s="2782">
        <v>5293295</v>
      </c>
      <c r="E35" s="2782">
        <v>10360059</v>
      </c>
      <c r="F35" s="2782">
        <v>10119732</v>
      </c>
      <c r="G35" s="2782"/>
      <c r="H35" s="2782"/>
      <c r="I35" s="2782"/>
      <c r="J35" s="2782"/>
      <c r="K35" s="2782"/>
      <c r="L35" s="2782"/>
      <c r="M35" s="2782"/>
      <c r="N35" s="2783"/>
      <c r="O35" s="2783"/>
      <c r="P35" s="2723">
        <f>SUM(B35:N35)</f>
        <v>28723780</v>
      </c>
      <c r="Q35" s="315">
        <f>'8. Incentives- Max'!$E$135</f>
        <v>16037504.587595981</v>
      </c>
    </row>
    <row r="36" spans="1:17" ht="18" customHeight="1" thickBot="1" x14ac:dyDescent="0.25">
      <c r="A36" s="2802" t="s">
        <v>484</v>
      </c>
      <c r="B36" s="2803">
        <f>B34-B35</f>
        <v>7874650</v>
      </c>
      <c r="C36" s="2804">
        <f>C34-C35</f>
        <v>9174656</v>
      </c>
      <c r="D36" s="2804">
        <f>D34-D35</f>
        <v>4706705</v>
      </c>
      <c r="E36" s="2804">
        <f>E34-E35</f>
        <v>12639941</v>
      </c>
      <c r="F36" s="2804">
        <f>F34-F35</f>
        <v>-119732</v>
      </c>
      <c r="G36" s="2804"/>
      <c r="H36" s="2804"/>
      <c r="I36" s="2804" t="s">
        <v>439</v>
      </c>
      <c r="J36" s="2804"/>
      <c r="K36" s="2804"/>
      <c r="L36" s="2804"/>
      <c r="M36" s="2804"/>
      <c r="N36" s="2805"/>
      <c r="O36" s="2805"/>
      <c r="P36" s="2806"/>
    </row>
    <row r="37" spans="1:17" ht="15" customHeight="1" thickTop="1" thickBot="1" x14ac:dyDescent="0.25">
      <c r="P37" s="3"/>
    </row>
    <row r="38" spans="1:17" ht="36.75" customHeight="1" thickTop="1" thickBot="1" x14ac:dyDescent="0.3">
      <c r="A38" s="2942" t="s">
        <v>1121</v>
      </c>
      <c r="B38" s="2831">
        <v>2007</v>
      </c>
      <c r="C38" s="2831">
        <v>2008</v>
      </c>
      <c r="D38" s="2831">
        <v>2009</v>
      </c>
      <c r="E38" s="2831">
        <v>2010</v>
      </c>
      <c r="F38" s="2831">
        <v>2011</v>
      </c>
      <c r="G38" s="2831">
        <v>2012</v>
      </c>
      <c r="H38" s="2831">
        <v>2013</v>
      </c>
      <c r="I38" s="2831">
        <v>2014</v>
      </c>
      <c r="J38" s="2831">
        <v>2015</v>
      </c>
      <c r="K38" s="2831">
        <v>2016</v>
      </c>
      <c r="L38" s="2831">
        <v>2017</v>
      </c>
      <c r="M38" s="2831">
        <v>2018</v>
      </c>
      <c r="N38" s="2832">
        <v>2019</v>
      </c>
      <c r="O38" s="2832">
        <v>2020</v>
      </c>
      <c r="P38" s="2807" t="s">
        <v>347</v>
      </c>
    </row>
    <row r="39" spans="1:17" ht="18" customHeight="1" x14ac:dyDescent="0.2">
      <c r="A39" s="2808" t="s">
        <v>485</v>
      </c>
      <c r="B39" s="2809">
        <v>1000000</v>
      </c>
      <c r="C39" s="2809">
        <v>1000000</v>
      </c>
      <c r="D39" s="2809">
        <v>1000000</v>
      </c>
      <c r="E39" s="2809">
        <v>1000000</v>
      </c>
      <c r="F39" s="2809">
        <v>1000000</v>
      </c>
      <c r="G39" s="2809">
        <v>1000000</v>
      </c>
      <c r="H39" s="2809">
        <v>1000000</v>
      </c>
      <c r="I39" s="2809">
        <v>1000000</v>
      </c>
      <c r="J39" s="2809">
        <v>1000000</v>
      </c>
      <c r="K39" s="2809">
        <v>1000000</v>
      </c>
      <c r="L39" s="2809">
        <v>1000000</v>
      </c>
      <c r="M39" s="2809">
        <v>1000000</v>
      </c>
      <c r="N39" s="2809">
        <v>1000000</v>
      </c>
      <c r="O39" s="2940"/>
      <c r="P39" s="2810"/>
    </row>
    <row r="40" spans="1:17" ht="18" customHeight="1" x14ac:dyDescent="0.2">
      <c r="A40" s="2781" t="s">
        <v>482</v>
      </c>
      <c r="B40" s="2782">
        <v>0</v>
      </c>
      <c r="C40" s="2782">
        <v>0</v>
      </c>
      <c r="D40" s="2782">
        <v>0</v>
      </c>
      <c r="E40" s="2782">
        <v>0</v>
      </c>
      <c r="F40" s="2944"/>
      <c r="G40" s="2782"/>
      <c r="H40" s="2782"/>
      <c r="I40" s="2782"/>
      <c r="J40" s="2782"/>
      <c r="K40" s="2782"/>
      <c r="L40" s="2782"/>
      <c r="M40" s="2811"/>
      <c r="N40" s="2812"/>
      <c r="O40" s="2812"/>
      <c r="P40" s="2813">
        <f>SUM(B40:L40)</f>
        <v>0</v>
      </c>
    </row>
    <row r="41" spans="1:17" ht="18" customHeight="1" thickBot="1" x14ac:dyDescent="0.25">
      <c r="A41" s="2802" t="s">
        <v>486</v>
      </c>
      <c r="B41" s="2803">
        <f>B39-B40</f>
        <v>1000000</v>
      </c>
      <c r="C41" s="2804">
        <f>C39-C40</f>
        <v>1000000</v>
      </c>
      <c r="D41" s="2804">
        <f>D39-D40</f>
        <v>1000000</v>
      </c>
      <c r="E41" s="2804">
        <f>E39-E40</f>
        <v>1000000</v>
      </c>
      <c r="F41" s="2804"/>
      <c r="G41" s="2804"/>
      <c r="H41" s="2804"/>
      <c r="I41" s="2804" t="s">
        <v>439</v>
      </c>
      <c r="J41" s="2804"/>
      <c r="K41" s="2804"/>
      <c r="L41" s="2804"/>
      <c r="M41" s="2814"/>
      <c r="N41" s="2815"/>
      <c r="O41" s="2815"/>
      <c r="P41" s="2816"/>
    </row>
    <row r="42" spans="1:17" ht="13.5" thickTop="1" x14ac:dyDescent="0.2"/>
  </sheetData>
  <mergeCells count="1">
    <mergeCell ref="A1:P2"/>
  </mergeCells>
  <printOptions gridLines="1"/>
  <pageMargins left="0.25" right="0.25" top="0.75" bottom="0.75" header="0.3" footer="0.3"/>
  <pageSetup scale="47"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A19"/>
  <sheetViews>
    <sheetView workbookViewId="0">
      <selection activeCell="N2" sqref="N2:W11"/>
    </sheetView>
  </sheetViews>
  <sheetFormatPr defaultColWidth="9.140625" defaultRowHeight="12.75" x14ac:dyDescent="0.2"/>
  <cols>
    <col min="1" max="1" width="3.28515625" style="3050" customWidth="1"/>
    <col min="2" max="2" width="39.7109375" style="3050" bestFit="1" customWidth="1"/>
    <col min="3" max="11" width="9.85546875" style="3050" customWidth="1"/>
    <col min="12" max="12" width="9.140625" style="3050"/>
    <col min="13" max="13" width="14.5703125" style="3050" bestFit="1" customWidth="1"/>
    <col min="14" max="16384" width="9.140625" style="3050"/>
  </cols>
  <sheetData>
    <row r="1" spans="1:27" ht="31.15" customHeight="1" x14ac:dyDescent="0.3">
      <c r="B1" s="4113" t="s">
        <v>1587</v>
      </c>
      <c r="C1" s="4114"/>
      <c r="D1" s="4114"/>
      <c r="E1" s="4114"/>
      <c r="F1" s="4114"/>
      <c r="G1" s="4114"/>
      <c r="H1" s="4114"/>
      <c r="I1" s="4114"/>
      <c r="J1" s="4114"/>
      <c r="K1" s="4115"/>
      <c r="L1" s="3097"/>
      <c r="M1" s="3097"/>
      <c r="N1" s="3097"/>
      <c r="O1" s="3097"/>
      <c r="P1" s="3097"/>
      <c r="Q1" s="3097"/>
      <c r="R1" s="3097"/>
      <c r="S1" s="3097"/>
      <c r="T1" s="3097"/>
    </row>
    <row r="2" spans="1:27" ht="16.5" thickBot="1" x14ac:dyDescent="0.25">
      <c r="B2" s="4126" t="s">
        <v>1759</v>
      </c>
      <c r="C2" s="4127"/>
      <c r="D2" s="4127"/>
      <c r="E2" s="4127"/>
      <c r="F2" s="4127"/>
      <c r="G2" s="4127"/>
      <c r="H2" s="4127"/>
      <c r="I2" s="4127"/>
      <c r="J2" s="4127"/>
      <c r="K2" s="4128"/>
      <c r="L2" s="3165"/>
      <c r="M2" s="3670"/>
      <c r="N2" s="3095"/>
      <c r="O2" s="3670"/>
      <c r="P2" s="3670"/>
      <c r="Q2" s="3670"/>
      <c r="R2" s="3670"/>
      <c r="S2" s="3670"/>
      <c r="T2" s="3670"/>
      <c r="U2" s="3670"/>
      <c r="V2" s="3670"/>
      <c r="W2" s="3165"/>
      <c r="X2" s="3165"/>
      <c r="Y2" s="3165"/>
      <c r="Z2" s="3165"/>
      <c r="AA2" s="3165"/>
    </row>
    <row r="3" spans="1:27" s="3671" customFormat="1" ht="16.5" thickBot="1" x14ac:dyDescent="0.25">
      <c r="B3" s="3672"/>
      <c r="C3" s="3672"/>
      <c r="D3" s="3672"/>
      <c r="E3" s="3672"/>
      <c r="F3" s="3672"/>
      <c r="G3" s="3672"/>
      <c r="H3" s="3672"/>
      <c r="I3" s="3672"/>
      <c r="J3" s="3672"/>
      <c r="K3" s="3672"/>
      <c r="L3" s="3670"/>
      <c r="M3" s="3670"/>
      <c r="N3" s="3670"/>
      <c r="O3" s="3670"/>
      <c r="P3" s="3670"/>
      <c r="Q3" s="3670"/>
      <c r="R3" s="3670"/>
      <c r="S3" s="3670"/>
      <c r="T3" s="3670"/>
      <c r="U3" s="3670"/>
      <c r="V3" s="3670"/>
      <c r="W3" s="3670"/>
      <c r="X3" s="3670"/>
      <c r="Y3" s="3670"/>
      <c r="Z3" s="3670"/>
      <c r="AA3" s="3670"/>
    </row>
    <row r="4" spans="1:27" s="3594" customFormat="1" ht="22.9" customHeight="1" thickBot="1" x14ac:dyDescent="0.25">
      <c r="A4" s="3104"/>
      <c r="B4" s="4157" t="s">
        <v>1760</v>
      </c>
      <c r="C4" s="4158"/>
      <c r="D4" s="4158"/>
      <c r="E4" s="4158"/>
      <c r="F4" s="4158"/>
      <c r="G4" s="4158"/>
      <c r="H4" s="4158"/>
      <c r="I4" s="4158"/>
      <c r="J4" s="4158"/>
      <c r="K4" s="4159"/>
      <c r="L4" s="3165"/>
      <c r="M4" s="3165"/>
      <c r="N4" s="3703"/>
      <c r="O4" s="3703"/>
      <c r="P4" s="3703"/>
      <c r="Q4" s="3165"/>
      <c r="R4" s="3165"/>
      <c r="S4" s="3165"/>
      <c r="T4" s="3165"/>
      <c r="U4" s="3165"/>
      <c r="V4" s="3165"/>
      <c r="W4" s="3165"/>
      <c r="X4" s="3165"/>
      <c r="Y4" s="3165"/>
      <c r="Z4" s="3165"/>
      <c r="AA4" s="3165"/>
    </row>
    <row r="5" spans="1:27" ht="18.75" thickBot="1" x14ac:dyDescent="0.3">
      <c r="B5" s="3098" t="s">
        <v>1601</v>
      </c>
      <c r="C5" s="3586" t="s">
        <v>69</v>
      </c>
      <c r="D5" s="3587" t="s">
        <v>1122</v>
      </c>
      <c r="E5" s="3587" t="s">
        <v>1123</v>
      </c>
      <c r="F5" s="3587" t="s">
        <v>1124</v>
      </c>
      <c r="G5" s="3587" t="s">
        <v>1125</v>
      </c>
      <c r="H5" s="3587" t="s">
        <v>1126</v>
      </c>
      <c r="I5" s="3587" t="s">
        <v>1127</v>
      </c>
      <c r="J5" s="3587" t="s">
        <v>1128</v>
      </c>
      <c r="K5" s="3588" t="s">
        <v>1129</v>
      </c>
      <c r="L5" s="3101"/>
      <c r="M5" s="3101"/>
      <c r="N5" s="3101"/>
      <c r="O5" s="3101"/>
      <c r="P5" s="3101"/>
      <c r="Q5" s="3101"/>
      <c r="R5" s="3101"/>
      <c r="S5" s="3101"/>
      <c r="T5" s="3101"/>
      <c r="U5" s="3095"/>
      <c r="V5" s="3095"/>
      <c r="W5" s="3095"/>
    </row>
    <row r="6" spans="1:27" s="3104" customFormat="1" ht="20.100000000000001" customHeight="1" x14ac:dyDescent="0.2">
      <c r="B6" s="3589" t="s">
        <v>1588</v>
      </c>
      <c r="C6" s="3054">
        <f>SUM(D6:K6)</f>
        <v>3302</v>
      </c>
      <c r="D6" s="3590">
        <f>'[1]11.JobWageAnalysis'!$D$331</f>
        <v>1007</v>
      </c>
      <c r="E6" s="3590">
        <f>'[1]11.JobWageAnalysis'!$D$332</f>
        <v>779</v>
      </c>
      <c r="F6" s="3590">
        <f>'[1]11.JobWageAnalysis'!$D$333</f>
        <v>498</v>
      </c>
      <c r="G6" s="3590">
        <f>'[1]11.JobWageAnalysis'!$D$334</f>
        <v>308</v>
      </c>
      <c r="H6" s="3590">
        <f>'[1]11.JobWageAnalysis'!$D$335</f>
        <v>278</v>
      </c>
      <c r="I6" s="3590">
        <f>'[1]11.JobWageAnalysis'!$D$336</f>
        <v>153</v>
      </c>
      <c r="J6" s="3590">
        <f>'[1]11.JobWageAnalysis'!$D$337</f>
        <v>209</v>
      </c>
      <c r="K6" s="3602">
        <f>'[1]11.JobWageAnalysis'!$D$338</f>
        <v>70</v>
      </c>
      <c r="L6" s="3101"/>
      <c r="M6" s="3469"/>
      <c r="N6" s="4396"/>
      <c r="O6" s="3101"/>
      <c r="P6" s="3101"/>
      <c r="Q6" s="3101"/>
      <c r="R6" s="3101"/>
      <c r="S6" s="3101"/>
      <c r="T6" s="3101"/>
      <c r="U6" s="3095"/>
      <c r="V6" s="3095"/>
      <c r="W6" s="3095"/>
    </row>
    <row r="7" spans="1:27" s="3104" customFormat="1" ht="20.100000000000001" customHeight="1" thickBot="1" x14ac:dyDescent="0.25">
      <c r="B7" s="3591" t="s">
        <v>1589</v>
      </c>
      <c r="C7" s="3592">
        <f>SUM(D7:K7)</f>
        <v>1</v>
      </c>
      <c r="D7" s="3592">
        <f>D6/C6</f>
        <v>0.30496668685645062</v>
      </c>
      <c r="E7" s="3592">
        <f>E6/C6</f>
        <v>0.2359176256814052</v>
      </c>
      <c r="F7" s="3592">
        <f>F6/C6</f>
        <v>0.15081768625075712</v>
      </c>
      <c r="G7" s="3592">
        <f>G6/C6</f>
        <v>9.3276801938219259E-2</v>
      </c>
      <c r="H7" s="3592">
        <f>H6/C6</f>
        <v>8.419139915202907E-2</v>
      </c>
      <c r="I7" s="3592">
        <f>I6/C6</f>
        <v>4.633555420956996E-2</v>
      </c>
      <c r="J7" s="3592">
        <f>J6/C6</f>
        <v>6.3294972743791644E-2</v>
      </c>
      <c r="K7" s="3593">
        <f>K6/C6</f>
        <v>2.1199273167777106E-2</v>
      </c>
      <c r="L7" s="3101"/>
      <c r="M7" s="3101"/>
      <c r="N7" s="3101"/>
      <c r="O7" s="3101"/>
      <c r="P7" s="3101"/>
      <c r="Q7" s="3101"/>
      <c r="R7" s="3101"/>
      <c r="S7" s="3101"/>
      <c r="T7" s="3101"/>
      <c r="U7" s="3095"/>
      <c r="V7" s="3095"/>
      <c r="W7" s="3095"/>
    </row>
    <row r="8" spans="1:27" ht="20.100000000000001" customHeight="1" x14ac:dyDescent="0.2">
      <c r="B8" s="4161" t="s">
        <v>1602</v>
      </c>
      <c r="C8" s="4163" t="s">
        <v>1598</v>
      </c>
      <c r="D8" s="4164"/>
      <c r="E8" s="4166" t="s">
        <v>1599</v>
      </c>
      <c r="F8" s="4167"/>
      <c r="G8" s="4166" t="s">
        <v>1600</v>
      </c>
      <c r="H8" s="4166"/>
      <c r="I8" s="3598"/>
      <c r="J8" s="3595"/>
      <c r="K8" s="3596"/>
      <c r="L8" s="3069"/>
      <c r="M8" s="3069"/>
      <c r="N8" s="3069"/>
      <c r="O8" s="3069"/>
      <c r="P8" s="3069"/>
      <c r="Q8" s="3069"/>
      <c r="R8" s="3069"/>
      <c r="S8" s="3069"/>
      <c r="T8" s="3095"/>
      <c r="U8" s="3095"/>
      <c r="V8" s="3095"/>
      <c r="W8" s="3095"/>
    </row>
    <row r="9" spans="1:27" ht="20.100000000000001" customHeight="1" thickBot="1" x14ac:dyDescent="0.3">
      <c r="B9" s="4162"/>
      <c r="C9" s="4165"/>
      <c r="D9" s="4165"/>
      <c r="E9" s="4168"/>
      <c r="F9" s="4168"/>
      <c r="G9" s="4169"/>
      <c r="H9" s="4169"/>
      <c r="I9" s="3599"/>
      <c r="J9" s="3597"/>
      <c r="K9" s="3600"/>
      <c r="L9" s="3069"/>
      <c r="M9" s="3069"/>
      <c r="N9" s="3137"/>
      <c r="O9" s="3137"/>
      <c r="P9" s="3137"/>
      <c r="Q9" s="3137"/>
      <c r="R9" s="3137"/>
      <c r="S9" s="3137"/>
      <c r="T9" s="4397"/>
      <c r="U9" s="4397"/>
      <c r="V9" s="3095"/>
      <c r="W9" s="3095"/>
    </row>
    <row r="10" spans="1:27" ht="20.100000000000001" customHeight="1" x14ac:dyDescent="0.2">
      <c r="B10" s="3601" t="s">
        <v>1590</v>
      </c>
      <c r="C10" s="4170">
        <f>'[1]12.EmployeeBenefits'!$C$66</f>
        <v>48</v>
      </c>
      <c r="D10" s="4170"/>
      <c r="E10" s="4171">
        <f>'[1]12.EmployeeBenefits'!$C$59</f>
        <v>1</v>
      </c>
      <c r="F10" s="4171"/>
      <c r="G10" s="4171">
        <f>'[1]12.EmployeeBenefits'!$X$61</f>
        <v>1</v>
      </c>
      <c r="H10" s="4171"/>
      <c r="I10" s="4149" t="s">
        <v>1620</v>
      </c>
      <c r="J10" s="4149"/>
      <c r="K10" s="4150"/>
      <c r="L10" s="3069"/>
      <c r="M10" s="3069"/>
      <c r="N10" s="3069"/>
      <c r="O10" s="3069"/>
      <c r="P10" s="3069"/>
      <c r="Q10" s="3069"/>
      <c r="R10" s="3069"/>
      <c r="S10" s="3069"/>
      <c r="T10" s="3095"/>
      <c r="U10" s="3095"/>
      <c r="V10" s="3095"/>
      <c r="W10" s="3095"/>
    </row>
    <row r="11" spans="1:27" ht="20.100000000000001" customHeight="1" x14ac:dyDescent="0.2">
      <c r="B11" s="3138" t="s">
        <v>1596</v>
      </c>
      <c r="C11" s="4160">
        <f>'[1]12.EmployeeBenefits'!$E$66</f>
        <v>37</v>
      </c>
      <c r="D11" s="4160"/>
      <c r="E11" s="4156">
        <f>'[1]12.EmployeeBenefits'!$E$59</f>
        <v>0.77083333333333337</v>
      </c>
      <c r="F11" s="4156"/>
      <c r="G11" s="4156">
        <f>'[1]12.EmployeeBenefits'!$X$63</f>
        <v>0.77083333333333337</v>
      </c>
      <c r="H11" s="4156"/>
      <c r="I11" s="4151"/>
      <c r="J11" s="4151"/>
      <c r="K11" s="4152"/>
      <c r="L11" s="3069"/>
      <c r="M11" s="3069"/>
      <c r="N11" s="3069"/>
      <c r="O11" s="3069"/>
      <c r="P11" s="3069"/>
      <c r="Q11" s="3069"/>
      <c r="R11" s="3069"/>
      <c r="S11" s="3069"/>
      <c r="T11" s="3095"/>
      <c r="U11" s="3095"/>
      <c r="V11" s="3095"/>
      <c r="W11" s="3095"/>
    </row>
    <row r="12" spans="1:27" ht="20.100000000000001" customHeight="1" x14ac:dyDescent="0.2">
      <c r="B12" s="3138" t="s">
        <v>1597</v>
      </c>
      <c r="C12" s="4160">
        <f>'[1]12.EmployeeBenefits'!$F$66</f>
        <v>28</v>
      </c>
      <c r="D12" s="4160"/>
      <c r="E12" s="4156">
        <f>'[1]12.EmployeeBenefits'!$F$59</f>
        <v>0.58333333333333337</v>
      </c>
      <c r="F12" s="4156"/>
      <c r="G12" s="4156">
        <f>'[1]12.EmployeeBenefits'!$X$64</f>
        <v>0.58333333333333337</v>
      </c>
      <c r="H12" s="4156"/>
      <c r="I12" s="4151"/>
      <c r="J12" s="4151"/>
      <c r="K12" s="4152"/>
      <c r="L12" s="3069"/>
      <c r="M12" s="3069"/>
      <c r="N12" s="3069"/>
      <c r="O12" s="3069"/>
      <c r="P12" s="3069"/>
      <c r="Q12" s="3069"/>
      <c r="R12" s="3069"/>
      <c r="S12" s="3069"/>
      <c r="T12" s="3095"/>
    </row>
    <row r="13" spans="1:27" ht="20.100000000000001" customHeight="1" x14ac:dyDescent="0.2">
      <c r="B13" s="3138" t="s">
        <v>1591</v>
      </c>
      <c r="C13" s="4160">
        <f>'[1]12.EmployeeBenefits'!$G$66</f>
        <v>36</v>
      </c>
      <c r="D13" s="4160"/>
      <c r="E13" s="4156">
        <f>'[1]12.EmployeeBenefits'!$G$59</f>
        <v>0.75</v>
      </c>
      <c r="F13" s="4156"/>
      <c r="G13" s="4156">
        <f>'[1]12.EmployeeBenefits'!$X$65</f>
        <v>0.75</v>
      </c>
      <c r="H13" s="4156"/>
      <c r="I13" s="4151"/>
      <c r="J13" s="4151"/>
      <c r="K13" s="4152"/>
      <c r="L13" s="3069"/>
      <c r="M13" s="3069"/>
      <c r="N13" s="3069"/>
      <c r="O13" s="3069"/>
      <c r="P13" s="3069"/>
      <c r="Q13" s="3069"/>
      <c r="R13" s="3069"/>
      <c r="S13" s="3069"/>
      <c r="T13" s="3095"/>
    </row>
    <row r="14" spans="1:27" ht="20.100000000000001" customHeight="1" x14ac:dyDescent="0.2">
      <c r="B14" s="3138" t="s">
        <v>1592</v>
      </c>
      <c r="C14" s="4160">
        <f>'[1]12.EmployeeBenefits'!$I$66</f>
        <v>33</v>
      </c>
      <c r="D14" s="4160"/>
      <c r="E14" s="4156">
        <f>'[1]12.EmployeeBenefits'!$I$59</f>
        <v>0.6875</v>
      </c>
      <c r="F14" s="4156"/>
      <c r="G14" s="4156">
        <f>'[1]12.EmployeeBenefits'!$X$66</f>
        <v>0.6875</v>
      </c>
      <c r="H14" s="4156"/>
      <c r="I14" s="4151"/>
      <c r="J14" s="4151"/>
      <c r="K14" s="4152"/>
      <c r="L14" s="3069"/>
      <c r="M14" s="3069"/>
      <c r="N14" s="3069"/>
      <c r="O14" s="3069"/>
      <c r="P14" s="3069"/>
      <c r="Q14" s="3069"/>
      <c r="R14" s="3069"/>
      <c r="S14" s="3069"/>
      <c r="T14" s="3095"/>
    </row>
    <row r="15" spans="1:27" ht="20.100000000000001" customHeight="1" x14ac:dyDescent="0.2">
      <c r="B15" s="3138" t="s">
        <v>1593</v>
      </c>
      <c r="C15" s="4160">
        <f>'[1]12.EmployeeBenefits'!$K$66</f>
        <v>11</v>
      </c>
      <c r="D15" s="4160"/>
      <c r="E15" s="4156">
        <f>'[1]12.EmployeeBenefits'!$K$59</f>
        <v>0.22916666666666666</v>
      </c>
      <c r="F15" s="4156"/>
      <c r="G15" s="4156">
        <v>1</v>
      </c>
      <c r="H15" s="4156"/>
      <c r="I15" s="4151"/>
      <c r="J15" s="4151"/>
      <c r="K15" s="4152"/>
      <c r="L15" s="3069"/>
      <c r="M15" s="3069"/>
      <c r="N15" s="3069"/>
      <c r="O15" s="3069"/>
      <c r="P15" s="3069"/>
      <c r="Q15" s="3069"/>
      <c r="R15" s="3069"/>
      <c r="S15" s="3069"/>
      <c r="T15" s="3095"/>
    </row>
    <row r="16" spans="1:27" ht="20.100000000000001" customHeight="1" x14ac:dyDescent="0.2">
      <c r="B16" s="3138" t="s">
        <v>1594</v>
      </c>
      <c r="C16" s="4160">
        <f>'[1]12.EmployeeBenefits'!$L$66</f>
        <v>35</v>
      </c>
      <c r="D16" s="4160"/>
      <c r="E16" s="4156">
        <f>'[1]12.EmployeeBenefits'!$L$59</f>
        <v>0.72916666666666663</v>
      </c>
      <c r="F16" s="4156"/>
      <c r="G16" s="4156">
        <f>'[1]12.EmployeeBenefits'!$X$68</f>
        <v>0.72916666666666663</v>
      </c>
      <c r="H16" s="4156"/>
      <c r="I16" s="4151"/>
      <c r="J16" s="4151"/>
      <c r="K16" s="4152"/>
      <c r="L16" s="3069"/>
      <c r="M16" s="3069"/>
      <c r="N16" s="3069"/>
      <c r="O16" s="3069"/>
      <c r="P16" s="3069"/>
      <c r="Q16" s="3069"/>
      <c r="R16" s="3069"/>
      <c r="S16" s="3069"/>
      <c r="T16" s="3095"/>
    </row>
    <row r="17" spans="2:20" ht="20.100000000000001" customHeight="1" x14ac:dyDescent="0.2">
      <c r="B17" s="3138" t="s">
        <v>1595</v>
      </c>
      <c r="C17" s="4160">
        <f>'[1]12.EmployeeBenefits'!$N$58</f>
        <v>41</v>
      </c>
      <c r="D17" s="4160"/>
      <c r="E17" s="4156">
        <f>'[1]12.EmployeeBenefits'!$N$59</f>
        <v>0.85416666666666663</v>
      </c>
      <c r="F17" s="4156"/>
      <c r="G17" s="4156">
        <f>'[1]12.EmployeeBenefits'!$X$69</f>
        <v>0.75</v>
      </c>
      <c r="H17" s="4156"/>
      <c r="I17" s="4151"/>
      <c r="J17" s="4151"/>
      <c r="K17" s="4152"/>
      <c r="L17" s="3069"/>
      <c r="M17" s="3069"/>
      <c r="N17" s="3069"/>
      <c r="O17" s="3069"/>
      <c r="P17" s="3069"/>
      <c r="Q17" s="3069"/>
      <c r="R17" s="3069"/>
      <c r="S17" s="3069"/>
      <c r="T17" s="3095"/>
    </row>
    <row r="18" spans="2:20" ht="20.100000000000001" customHeight="1" thickBot="1" x14ac:dyDescent="0.25">
      <c r="B18" s="3603" t="s">
        <v>1313</v>
      </c>
      <c r="C18" s="4172">
        <f>'[1]12.EmployeeBenefits'!$Q$58</f>
        <v>19</v>
      </c>
      <c r="D18" s="4172"/>
      <c r="E18" s="4155">
        <f>'[1]12.EmployeeBenefits'!$Q$59</f>
        <v>0.39583333333333331</v>
      </c>
      <c r="F18" s="4155"/>
      <c r="G18" s="4155">
        <f>'[1]12.EmployeeBenefits'!$X$70</f>
        <v>0.64583333333333337</v>
      </c>
      <c r="H18" s="4155"/>
      <c r="I18" s="4153"/>
      <c r="J18" s="4153"/>
      <c r="K18" s="4154"/>
      <c r="L18" s="3069"/>
      <c r="M18" s="3069"/>
      <c r="N18" s="3069"/>
      <c r="O18" s="3069"/>
      <c r="P18" s="3069"/>
      <c r="Q18" s="3069"/>
      <c r="R18" s="3069"/>
      <c r="S18" s="3069"/>
      <c r="T18" s="3095"/>
    </row>
    <row r="19" spans="2:20" x14ac:dyDescent="0.2">
      <c r="E19" s="3070"/>
    </row>
  </sheetData>
  <mergeCells count="35">
    <mergeCell ref="C18:D18"/>
    <mergeCell ref="E10:F10"/>
    <mergeCell ref="E11:F11"/>
    <mergeCell ref="E13:F13"/>
    <mergeCell ref="E14:F14"/>
    <mergeCell ref="E15:F15"/>
    <mergeCell ref="C12:D12"/>
    <mergeCell ref="E17:F17"/>
    <mergeCell ref="E18:F18"/>
    <mergeCell ref="E12:F12"/>
    <mergeCell ref="C16:D16"/>
    <mergeCell ref="B1:K1"/>
    <mergeCell ref="B2:K2"/>
    <mergeCell ref="B4:K4"/>
    <mergeCell ref="C17:D17"/>
    <mergeCell ref="B8:B9"/>
    <mergeCell ref="C8:D9"/>
    <mergeCell ref="E8:F9"/>
    <mergeCell ref="G8:H9"/>
    <mergeCell ref="C10:D10"/>
    <mergeCell ref="C11:D11"/>
    <mergeCell ref="C13:D13"/>
    <mergeCell ref="C14:D14"/>
    <mergeCell ref="C15:D15"/>
    <mergeCell ref="G10:H10"/>
    <mergeCell ref="G11:H11"/>
    <mergeCell ref="G13:H13"/>
    <mergeCell ref="I10:K18"/>
    <mergeCell ref="G18:H18"/>
    <mergeCell ref="G16:H16"/>
    <mergeCell ref="G17:H17"/>
    <mergeCell ref="E16:F16"/>
    <mergeCell ref="G14:H14"/>
    <mergeCell ref="G15:H15"/>
    <mergeCell ref="G12:H12"/>
  </mergeCells>
  <pageMargins left="0.7" right="0.7" top="0.75" bottom="0.75" header="0.3" footer="0.3"/>
  <pageSetup scale="44" orientation="landscape"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A36"/>
  <sheetViews>
    <sheetView topLeftCell="D1" zoomScale="90" zoomScaleNormal="90" workbookViewId="0">
      <selection activeCell="O2" sqref="O2:X32"/>
    </sheetView>
  </sheetViews>
  <sheetFormatPr defaultColWidth="9.140625" defaultRowHeight="12.75" x14ac:dyDescent="0.2"/>
  <cols>
    <col min="1" max="1" width="5.7109375" style="3050" customWidth="1"/>
    <col min="2" max="2" width="57.28515625" style="3050" bestFit="1" customWidth="1"/>
    <col min="3" max="3" width="16.85546875" style="3050" bestFit="1" customWidth="1"/>
    <col min="4" max="5" width="15.5703125" style="3050" bestFit="1" customWidth="1"/>
    <col min="6" max="6" width="15.5703125" style="3050" customWidth="1"/>
    <col min="7" max="7" width="16.85546875" style="3050" bestFit="1" customWidth="1"/>
    <col min="8" max="9" width="17.5703125" style="3050" customWidth="1"/>
    <col min="10" max="11" width="16.7109375" style="3050" customWidth="1"/>
    <col min="12" max="12" width="19.7109375" style="3050" customWidth="1"/>
    <col min="13" max="16384" width="9.140625" style="3050"/>
  </cols>
  <sheetData>
    <row r="1" spans="1:27" ht="31.15" customHeight="1" x14ac:dyDescent="0.3">
      <c r="A1" s="3686"/>
      <c r="B1" s="4113" t="s">
        <v>1586</v>
      </c>
      <c r="C1" s="4114"/>
      <c r="D1" s="4114"/>
      <c r="E1" s="4114"/>
      <c r="F1" s="4114"/>
      <c r="G1" s="4114"/>
      <c r="H1" s="4114"/>
      <c r="I1" s="4114"/>
      <c r="J1" s="4114"/>
      <c r="K1" s="4114"/>
      <c r="L1" s="4115"/>
      <c r="M1" s="3097"/>
      <c r="N1" s="3097"/>
      <c r="O1" s="3097"/>
      <c r="P1" s="3097"/>
      <c r="Q1" s="3097"/>
      <c r="R1" s="3097"/>
      <c r="S1" s="3097"/>
      <c r="T1" s="3097"/>
    </row>
    <row r="2" spans="1:27" ht="16.5" customHeight="1" thickBot="1" x14ac:dyDescent="0.25">
      <c r="B2" s="4116" t="s">
        <v>1735</v>
      </c>
      <c r="C2" s="4117"/>
      <c r="D2" s="4117"/>
      <c r="E2" s="4117"/>
      <c r="F2" s="4117"/>
      <c r="G2" s="4117"/>
      <c r="H2" s="4117"/>
      <c r="I2" s="4117"/>
      <c r="J2" s="4117"/>
      <c r="K2" s="4117"/>
      <c r="L2" s="4118"/>
      <c r="M2" s="3165"/>
      <c r="N2" s="3165"/>
      <c r="O2" s="3165"/>
      <c r="P2" s="3165"/>
      <c r="Q2" s="3165"/>
      <c r="R2" s="3165"/>
      <c r="S2" s="3165"/>
      <c r="T2" s="3165"/>
      <c r="U2" s="3165"/>
      <c r="V2" s="3165"/>
      <c r="W2" s="3165"/>
      <c r="X2" s="3165"/>
      <c r="Y2" s="3165"/>
      <c r="Z2" s="3165"/>
      <c r="AA2" s="3165"/>
    </row>
    <row r="3" spans="1:27" s="3104" customFormat="1" ht="16.5" thickBot="1" x14ac:dyDescent="0.25">
      <c r="B3" s="3775"/>
      <c r="C3" s="3775"/>
      <c r="D3" s="3775"/>
      <c r="E3" s="3775"/>
      <c r="F3" s="3775"/>
      <c r="G3" s="3775"/>
      <c r="H3" s="3775"/>
      <c r="I3" s="3433"/>
      <c r="J3" s="3433"/>
      <c r="K3" s="3433"/>
      <c r="L3" s="3165"/>
      <c r="M3" s="3165"/>
      <c r="N3" s="3165"/>
      <c r="O3" s="3165"/>
      <c r="P3" s="3165"/>
      <c r="Q3" s="3165"/>
      <c r="R3" s="3165"/>
      <c r="S3" s="3165"/>
      <c r="T3" s="3165"/>
      <c r="U3" s="3165"/>
      <c r="V3" s="3165"/>
      <c r="W3" s="3165"/>
      <c r="X3" s="3165"/>
      <c r="Y3" s="3165"/>
      <c r="Z3" s="3165"/>
      <c r="AA3" s="3165"/>
    </row>
    <row r="4" spans="1:27" ht="18.75" thickBot="1" x14ac:dyDescent="0.25">
      <c r="B4" s="3098" t="s">
        <v>1234</v>
      </c>
      <c r="C4" s="3099">
        <v>2007</v>
      </c>
      <c r="D4" s="3099">
        <v>2008</v>
      </c>
      <c r="E4" s="3099">
        <v>2009</v>
      </c>
      <c r="F4" s="3099">
        <v>2010</v>
      </c>
      <c r="G4" s="3099">
        <v>2011</v>
      </c>
      <c r="H4" s="3099">
        <v>2012</v>
      </c>
      <c r="I4" s="3723">
        <v>2013</v>
      </c>
      <c r="J4" s="3099">
        <v>2014</v>
      </c>
      <c r="K4" s="3100">
        <v>2015</v>
      </c>
      <c r="L4" s="3435"/>
      <c r="M4" s="3101"/>
      <c r="N4" s="3101"/>
      <c r="O4" s="3917"/>
      <c r="P4" s="3101"/>
      <c r="Q4" s="3101"/>
      <c r="R4" s="3101"/>
      <c r="S4" s="3101"/>
      <c r="T4" s="3101"/>
      <c r="U4" s="3101"/>
      <c r="V4" s="3104"/>
      <c r="W4" s="3104"/>
      <c r="X4" s="3104"/>
    </row>
    <row r="5" spans="1:27" s="3104" customFormat="1" ht="20.100000000000001" customHeight="1" x14ac:dyDescent="0.2">
      <c r="B5" s="3102" t="s">
        <v>1235</v>
      </c>
      <c r="C5" s="3103">
        <f>[2]Sheet1!$B$28</f>
        <v>7</v>
      </c>
      <c r="D5" s="3103">
        <f>[2]Sheet1!$C$28</f>
        <v>14</v>
      </c>
      <c r="E5" s="3103">
        <f>[2]Sheet1!$D$28</f>
        <v>22</v>
      </c>
      <c r="F5" s="3103">
        <f>[2]Sheet1!$E$28</f>
        <v>28</v>
      </c>
      <c r="G5" s="3147">
        <f>[2]Sheet1!$F$28</f>
        <v>34</v>
      </c>
      <c r="H5" s="3298">
        <f>[2]Sheet1!$G$28</f>
        <v>32</v>
      </c>
      <c r="I5" s="3103">
        <f>[2]Sheet1!$H$28</f>
        <v>34</v>
      </c>
      <c r="J5" s="3147">
        <f>[2]Sheet1!$I$28</f>
        <v>36</v>
      </c>
      <c r="K5" s="3724">
        <f>[2]Sheet1!$J$28</f>
        <v>39</v>
      </c>
      <c r="L5" s="3432"/>
      <c r="M5" s="3101"/>
      <c r="N5" s="3101"/>
      <c r="O5" s="3917"/>
      <c r="P5" s="3101"/>
      <c r="Q5" s="3101"/>
      <c r="R5" s="3101"/>
      <c r="S5" s="3101"/>
      <c r="T5" s="3101"/>
      <c r="U5" s="3101"/>
    </row>
    <row r="6" spans="1:27" s="3104" customFormat="1" ht="20.100000000000001" hidden="1" customHeight="1" x14ac:dyDescent="0.2">
      <c r="B6" s="3105" t="s">
        <v>1369</v>
      </c>
      <c r="C6" s="3106">
        <f>[3]Sheet1!$B$15</f>
        <v>7</v>
      </c>
      <c r="D6" s="3106">
        <f>[3]Sheet1!$C$15</f>
        <v>10</v>
      </c>
      <c r="E6" s="3106">
        <f>[3]Sheet1!$D$15</f>
        <v>18</v>
      </c>
      <c r="F6" s="3106">
        <f>[3]Sheet1!$E$15</f>
        <v>23</v>
      </c>
      <c r="G6" s="3148">
        <f>[3]Sheet1!$F$15</f>
        <v>28</v>
      </c>
      <c r="H6" s="3299">
        <f>[3]Sheet1!$G$15</f>
        <v>30</v>
      </c>
      <c r="I6" s="3106">
        <f>[3]Sheet1!$H$15</f>
        <v>33</v>
      </c>
      <c r="J6" s="3148">
        <f>[3]Sheet1!$I$15</f>
        <v>33</v>
      </c>
      <c r="K6" s="3901"/>
      <c r="L6" s="3432"/>
      <c r="M6" s="3101"/>
      <c r="N6" s="3101"/>
      <c r="O6" s="3917"/>
      <c r="P6" s="3101"/>
      <c r="Q6" s="3101"/>
      <c r="R6" s="3101"/>
      <c r="S6" s="3101"/>
      <c r="T6" s="3101"/>
      <c r="U6" s="3101"/>
    </row>
    <row r="7" spans="1:27" s="3104" customFormat="1" ht="20.100000000000001" customHeight="1" thickBot="1" x14ac:dyDescent="0.25">
      <c r="B7" s="3105" t="s">
        <v>1670</v>
      </c>
      <c r="C7" s="3106">
        <f>[2]Sheet1!$B$29</f>
        <v>0</v>
      </c>
      <c r="D7" s="3106">
        <f>[2]Sheet1!$C$29</f>
        <v>4</v>
      </c>
      <c r="E7" s="3106">
        <f>[2]Sheet1!$D$29</f>
        <v>4</v>
      </c>
      <c r="F7" s="3106">
        <f>[2]Sheet1!$E$29</f>
        <v>6</v>
      </c>
      <c r="G7" s="3148">
        <f>[2]Sheet1!$F$29</f>
        <v>6</v>
      </c>
      <c r="H7" s="3299">
        <f>[2]Sheet1!$G$29</f>
        <v>2</v>
      </c>
      <c r="I7" s="3106">
        <f>[2]Sheet1!$H$29</f>
        <v>1</v>
      </c>
      <c r="J7" s="3148">
        <f>[2]Sheet1!$I$29</f>
        <v>3</v>
      </c>
      <c r="K7" s="3679">
        <f>[2]Sheet1!$J$29</f>
        <v>1</v>
      </c>
      <c r="L7" s="3432"/>
      <c r="M7" s="3101"/>
      <c r="N7" s="3101"/>
      <c r="O7" s="3917"/>
      <c r="P7" s="3101"/>
      <c r="Q7" s="3101"/>
      <c r="R7" s="3101"/>
      <c r="S7" s="3101"/>
      <c r="T7" s="3101"/>
      <c r="U7" s="3101"/>
    </row>
    <row r="8" spans="1:27" s="3104" customFormat="1" ht="20.100000000000001" hidden="1" customHeight="1" x14ac:dyDescent="0.2">
      <c r="B8" s="3105" t="s">
        <v>1371</v>
      </c>
      <c r="C8" s="3106">
        <f>[3]Sheet1!$B$17</f>
        <v>4</v>
      </c>
      <c r="D8" s="3106">
        <f>[3]Sheet1!$C$17</f>
        <v>4</v>
      </c>
      <c r="E8" s="3106">
        <f>[3]Sheet1!$D$17</f>
        <v>12</v>
      </c>
      <c r="F8" s="3106">
        <f>[3]Sheet1!$E$17</f>
        <v>16</v>
      </c>
      <c r="G8" s="3148">
        <f>[3]Sheet1!$F$17</f>
        <v>19</v>
      </c>
      <c r="H8" s="3299">
        <f>[3]Sheet1!$G$17</f>
        <v>21</v>
      </c>
      <c r="I8" s="3106">
        <f>[3]Sheet1!$H$17</f>
        <v>20</v>
      </c>
      <c r="J8" s="3903">
        <f>[3]Sheet1!$I$17</f>
        <v>19</v>
      </c>
      <c r="K8" s="3901"/>
      <c r="L8" s="3432"/>
      <c r="M8" s="3101"/>
      <c r="N8" s="3101"/>
      <c r="O8" s="3101"/>
      <c r="P8" s="3101"/>
      <c r="Q8" s="3101"/>
      <c r="R8" s="3101"/>
      <c r="S8" s="3101"/>
      <c r="T8" s="3101"/>
      <c r="U8" s="3101"/>
    </row>
    <row r="9" spans="1:27" s="3104" customFormat="1" ht="20.100000000000001" hidden="1" customHeight="1" x14ac:dyDescent="0.2">
      <c r="B9" s="3105" t="s">
        <v>1372</v>
      </c>
      <c r="C9" s="3106">
        <f>[3]Sheet1!$B$18</f>
        <v>0</v>
      </c>
      <c r="D9" s="3106">
        <f>[3]Sheet1!$C$18</f>
        <v>0</v>
      </c>
      <c r="E9" s="3106">
        <f>[3]Sheet1!$D$18</f>
        <v>0</v>
      </c>
      <c r="F9" s="3106">
        <f>[3]Sheet1!$E$18</f>
        <v>0</v>
      </c>
      <c r="G9" s="3148">
        <f>[3]Sheet1!$F$18</f>
        <v>0</v>
      </c>
      <c r="H9" s="3299">
        <f>[3]Sheet1!$G$18</f>
        <v>0</v>
      </c>
      <c r="I9" s="3106">
        <f>[3]Sheet1!$H$18</f>
        <v>4</v>
      </c>
      <c r="J9" s="3148">
        <f>[3]Sheet1!$I$18</f>
        <v>11</v>
      </c>
      <c r="K9" s="3901"/>
      <c r="L9" s="3432"/>
      <c r="M9" s="3101"/>
      <c r="N9" s="3101"/>
      <c r="O9" s="3101"/>
      <c r="P9" s="3101"/>
      <c r="Q9" s="3101"/>
      <c r="R9" s="3101"/>
      <c r="S9" s="3101"/>
      <c r="T9" s="3101"/>
      <c r="U9" s="3101"/>
    </row>
    <row r="10" spans="1:27" s="3104" customFormat="1" ht="20.100000000000001" hidden="1" customHeight="1" x14ac:dyDescent="0.2">
      <c r="B10" s="3107" t="s">
        <v>1375</v>
      </c>
      <c r="C10" s="3108">
        <f>[3]Sheet1!$B$19+[3]Sheet1!$B$20</f>
        <v>3</v>
      </c>
      <c r="D10" s="3108">
        <f>[3]Sheet1!$C$19+[3]Sheet1!$C$20</f>
        <v>10</v>
      </c>
      <c r="E10" s="3108">
        <f>[3]Sheet1!$D$19+[3]Sheet1!$D$20</f>
        <v>10</v>
      </c>
      <c r="F10" s="3108">
        <f>[3]Sheet1!$E$19+[3]Sheet1!$E$20</f>
        <v>12</v>
      </c>
      <c r="G10" s="3149">
        <f>[3]Sheet1!$F$19+[3]Sheet1!$F$20</f>
        <v>16</v>
      </c>
      <c r="H10" s="3300">
        <f>[3]Sheet1!$G$19+[3]Sheet1!$G$20</f>
        <v>12</v>
      </c>
      <c r="I10" s="3108">
        <f>[3]Sheet1!$H$19+[3]Sheet1!$H$20</f>
        <v>10</v>
      </c>
      <c r="J10" s="3149">
        <f>[3]Sheet1!$I$19+[3]Sheet1!$I$20</f>
        <v>6</v>
      </c>
      <c r="K10" s="3901"/>
      <c r="L10" s="3432"/>
      <c r="M10" s="3101"/>
      <c r="N10" s="3101"/>
      <c r="O10" s="3101"/>
      <c r="P10" s="3101"/>
      <c r="Q10" s="3101"/>
      <c r="R10" s="3101"/>
      <c r="S10" s="3101"/>
      <c r="T10" s="3101"/>
      <c r="U10" s="3101"/>
    </row>
    <row r="11" spans="1:27" s="3104" customFormat="1" ht="20.100000000000001" hidden="1" customHeight="1" thickBot="1" x14ac:dyDescent="0.25">
      <c r="B11" s="3107" t="s">
        <v>1671</v>
      </c>
      <c r="C11" s="3108">
        <f>[3]Sheet1!$B$21</f>
        <v>0</v>
      </c>
      <c r="D11" s="3108">
        <f>[3]Sheet1!$C$21</f>
        <v>0</v>
      </c>
      <c r="E11" s="3108">
        <f>[3]Sheet1!$D$21</f>
        <v>0</v>
      </c>
      <c r="F11" s="3108">
        <f>[3]Sheet1!$E$21</f>
        <v>0</v>
      </c>
      <c r="G11" s="3149">
        <f>[3]Sheet1!$F$21</f>
        <v>0</v>
      </c>
      <c r="H11" s="3300">
        <f>[3]Sheet1!$G$21</f>
        <v>1</v>
      </c>
      <c r="I11" s="3108">
        <f>[3]Sheet1!$H$21</f>
        <v>1</v>
      </c>
      <c r="J11" s="3149">
        <f>[3]Sheet1!$I$21</f>
        <v>3</v>
      </c>
      <c r="K11" s="3901"/>
      <c r="L11" s="3432"/>
      <c r="M11" s="3101"/>
      <c r="N11" s="3101"/>
      <c r="O11" s="3101"/>
      <c r="P11" s="3101"/>
      <c r="Q11" s="3101"/>
      <c r="R11" s="3101"/>
      <c r="S11" s="3101"/>
      <c r="T11" s="3101"/>
      <c r="U11" s="3101"/>
    </row>
    <row r="12" spans="1:27" s="3104" customFormat="1" ht="20.100000000000001" customHeight="1" thickTop="1" thickBot="1" x14ac:dyDescent="0.25">
      <c r="B12" s="3168" t="s">
        <v>1420</v>
      </c>
      <c r="C12" s="3169">
        <f>[2]Sheet1!$B$30</f>
        <v>7</v>
      </c>
      <c r="D12" s="3169">
        <f>[2]Sheet1!$C$30</f>
        <v>10</v>
      </c>
      <c r="E12" s="3169">
        <f>[2]Sheet1!$D$30</f>
        <v>18</v>
      </c>
      <c r="F12" s="3169">
        <f>[2]Sheet1!$E$30</f>
        <v>22</v>
      </c>
      <c r="G12" s="3170">
        <f>[2]Sheet1!$F$30</f>
        <v>28</v>
      </c>
      <c r="H12" s="3725">
        <f>[2]Sheet1!$G$30</f>
        <v>30</v>
      </c>
      <c r="I12" s="3726">
        <f>[2]Sheet1!$H$30</f>
        <v>33</v>
      </c>
      <c r="J12" s="3170">
        <f>[2]Sheet1!$I$30</f>
        <v>33</v>
      </c>
      <c r="K12" s="3904">
        <f>[2]Sheet1!$J$30</f>
        <v>38</v>
      </c>
      <c r="L12" s="3432"/>
      <c r="M12" s="3917"/>
      <c r="N12" s="3101"/>
      <c r="O12" s="3101"/>
      <c r="P12" s="3101"/>
      <c r="Q12" s="3101"/>
      <c r="R12" s="3101"/>
      <c r="S12" s="3101"/>
      <c r="T12" s="3101"/>
      <c r="U12" s="3101"/>
      <c r="V12" s="3095"/>
      <c r="W12" s="3095"/>
      <c r="X12" s="3095"/>
      <c r="Y12" s="3095"/>
      <c r="Z12" s="3095"/>
      <c r="AA12" s="3095"/>
    </row>
    <row r="13" spans="1:27" s="3104" customFormat="1" ht="20.100000000000001" customHeight="1" thickBot="1" x14ac:dyDescent="0.25">
      <c r="B13" s="3675"/>
      <c r="C13" s="3673"/>
      <c r="D13" s="3673"/>
      <c r="E13" s="3673"/>
      <c r="F13" s="3673"/>
      <c r="G13" s="3673"/>
      <c r="H13" s="3673"/>
      <c r="I13" s="3674"/>
      <c r="J13" s="3673"/>
      <c r="K13" s="3673"/>
      <c r="L13" s="3676"/>
      <c r="M13" s="3101"/>
      <c r="N13" s="3101"/>
      <c r="O13" s="3101"/>
      <c r="P13" s="3101"/>
      <c r="Q13" s="3101"/>
      <c r="R13" s="3101"/>
      <c r="S13" s="3101"/>
      <c r="T13" s="3101"/>
      <c r="U13" s="3101"/>
    </row>
    <row r="14" spans="1:27" ht="20.100000000000001" customHeight="1" thickBot="1" x14ac:dyDescent="0.3">
      <c r="B14" s="3111" t="s">
        <v>1233</v>
      </c>
      <c r="C14" s="3099">
        <v>2007</v>
      </c>
      <c r="D14" s="3099">
        <v>2008</v>
      </c>
      <c r="E14" s="3099">
        <v>2009</v>
      </c>
      <c r="F14" s="3099">
        <v>2010</v>
      </c>
      <c r="G14" s="3099">
        <v>2011</v>
      </c>
      <c r="H14" s="3099">
        <v>2012</v>
      </c>
      <c r="I14" s="3727">
        <v>2013</v>
      </c>
      <c r="J14" s="3099">
        <v>2014</v>
      </c>
      <c r="K14" s="3100">
        <v>2015</v>
      </c>
      <c r="L14" s="3777" t="s">
        <v>357</v>
      </c>
      <c r="M14" s="3069"/>
      <c r="O14" s="3137"/>
      <c r="P14" s="3137"/>
      <c r="Q14" s="3137"/>
      <c r="R14" s="3137"/>
      <c r="S14" s="3137"/>
      <c r="T14" s="3137"/>
      <c r="U14" s="3137"/>
      <c r="V14" s="4397"/>
      <c r="W14" s="3104"/>
      <c r="X14" s="3104"/>
    </row>
    <row r="15" spans="1:27" ht="20.100000000000001" customHeight="1" x14ac:dyDescent="0.25">
      <c r="B15" s="3112" t="s">
        <v>1231</v>
      </c>
      <c r="C15" s="3113">
        <f>'[1]9.Jobs'!$H$364</f>
        <v>101</v>
      </c>
      <c r="D15" s="3113">
        <f>'[1]9.Jobs'!$I$364</f>
        <v>213</v>
      </c>
      <c r="E15" s="3113">
        <f>'[1]9.Jobs'!$J$364</f>
        <v>64</v>
      </c>
      <c r="F15" s="3113">
        <f>'[1]9.Jobs'!$K$364</f>
        <v>220</v>
      </c>
      <c r="G15" s="3113">
        <f>'[1]9.Jobs'!$L$364</f>
        <v>361</v>
      </c>
      <c r="H15" s="3292">
        <f>'[1]9.Jobs'!$M$364</f>
        <v>548</v>
      </c>
      <c r="I15" s="3113">
        <f>'[1]9.Jobs'!$N$364</f>
        <v>414</v>
      </c>
      <c r="J15" s="3902">
        <f>'[1]9.Jobs'!$O$364</f>
        <v>327</v>
      </c>
      <c r="K15" s="3905">
        <f>'[1]9.Jobs'!$P$364</f>
        <v>278</v>
      </c>
      <c r="L15" s="3776">
        <f>SUM(C15:K15)</f>
        <v>2526</v>
      </c>
      <c r="M15" s="3069"/>
      <c r="O15" s="3137"/>
      <c r="P15" s="3137"/>
      <c r="Q15" s="3137"/>
      <c r="R15" s="3137"/>
      <c r="S15" s="3137"/>
      <c r="T15" s="3137"/>
      <c r="U15" s="3137"/>
      <c r="V15" s="3095"/>
      <c r="W15" s="3104"/>
      <c r="X15" s="3104"/>
    </row>
    <row r="16" spans="1:27" ht="20.100000000000001" customHeight="1" x14ac:dyDescent="0.25">
      <c r="B16" s="3114" t="s">
        <v>1232</v>
      </c>
      <c r="C16" s="3115">
        <f>'[1]8.Payroll'!$F$364</f>
        <v>3438000</v>
      </c>
      <c r="D16" s="3115">
        <f>'[1]8.Payroll'!$G$364</f>
        <v>6942837</v>
      </c>
      <c r="E16" s="3115">
        <f>'[1]8.Payroll'!$H$364</f>
        <v>3849800</v>
      </c>
      <c r="F16" s="3115">
        <f>'[1]8.Payroll'!$I$364</f>
        <v>12703748</v>
      </c>
      <c r="G16" s="3115">
        <f>'[1]8.Payroll'!$J$364</f>
        <v>16659450</v>
      </c>
      <c r="H16" s="3293">
        <f>'[1]8.Payroll'!$K$364</f>
        <v>26325908</v>
      </c>
      <c r="I16" s="3115">
        <f>'[1]8.Payroll'!$L$364</f>
        <v>18791423</v>
      </c>
      <c r="J16" s="3293">
        <f>'[1]8.Payroll'!$M$364</f>
        <v>14482251</v>
      </c>
      <c r="K16" s="3116">
        <f>'[1]8.Payroll'!$N$364</f>
        <v>13372683</v>
      </c>
      <c r="L16" s="3773">
        <f>SUM(C16:K16)</f>
        <v>116566100</v>
      </c>
      <c r="M16" s="3069"/>
      <c r="O16" s="3137"/>
      <c r="P16" s="3069"/>
      <c r="Q16" s="3069"/>
      <c r="R16" s="3069"/>
      <c r="S16" s="3069"/>
      <c r="T16" s="3069"/>
      <c r="U16" s="3069"/>
      <c r="V16" s="3095"/>
      <c r="W16" s="3104"/>
      <c r="X16" s="3104"/>
    </row>
    <row r="17" spans="2:24" ht="20.100000000000001" customHeight="1" x14ac:dyDescent="0.25">
      <c r="B17" s="3114" t="s">
        <v>1098</v>
      </c>
      <c r="C17" s="3115">
        <f>C16/C15</f>
        <v>34039.603960396038</v>
      </c>
      <c r="D17" s="3115">
        <f t="shared" ref="D17:K17" si="0">D16/D15</f>
        <v>32595.478873239437</v>
      </c>
      <c r="E17" s="3115">
        <f t="shared" si="0"/>
        <v>60153.125</v>
      </c>
      <c r="F17" s="3115">
        <f t="shared" si="0"/>
        <v>57744.30909090909</v>
      </c>
      <c r="G17" s="3115">
        <f t="shared" si="0"/>
        <v>46148.060941828255</v>
      </c>
      <c r="H17" s="3115">
        <f t="shared" si="0"/>
        <v>48039.97810218978</v>
      </c>
      <c r="I17" s="3115">
        <f t="shared" si="0"/>
        <v>45389.910628019323</v>
      </c>
      <c r="J17" s="3115">
        <f t="shared" si="0"/>
        <v>44288.229357798162</v>
      </c>
      <c r="K17" s="3115">
        <f t="shared" si="0"/>
        <v>48103.176258992804</v>
      </c>
      <c r="L17" s="3773">
        <f>AVERAGE(C17:K17)</f>
        <v>46277.985801485876</v>
      </c>
      <c r="M17" s="3069"/>
      <c r="O17" s="3137"/>
      <c r="P17" s="3069"/>
      <c r="Q17" s="3069"/>
      <c r="R17" s="3069"/>
      <c r="S17" s="3069"/>
      <c r="T17" s="3069"/>
      <c r="U17" s="3069"/>
      <c r="V17" s="3095"/>
      <c r="W17" s="3104"/>
      <c r="X17" s="3104"/>
    </row>
    <row r="18" spans="2:24" ht="20.100000000000001" customHeight="1" x14ac:dyDescent="0.25">
      <c r="B18" s="3114" t="s">
        <v>1342</v>
      </c>
      <c r="C18" s="3115">
        <f>'[1]13.Capex'!$H$380</f>
        <v>13677077</v>
      </c>
      <c r="D18" s="3115">
        <f>'[1]13.Capex'!$I$380</f>
        <v>11786270</v>
      </c>
      <c r="E18" s="3115">
        <f>'[1]13.Capex'!$J$380</f>
        <v>14171000</v>
      </c>
      <c r="F18" s="3115">
        <f>'[1]13.Capex'!$K$380</f>
        <v>20763000</v>
      </c>
      <c r="G18" s="3115">
        <f>'[1]13.Capex'!$L$380</f>
        <v>63192599</v>
      </c>
      <c r="H18" s="3293">
        <f>'[1]13.Capex'!$M$380</f>
        <v>166153840</v>
      </c>
      <c r="I18" s="3115">
        <f>'[1]13.Capex'!$N$380</f>
        <v>133237344</v>
      </c>
      <c r="J18" s="3293">
        <f>'[1]13.Capex'!$O$380</f>
        <v>128593320</v>
      </c>
      <c r="K18" s="3116">
        <f>'[1]13.Capex'!$P$380</f>
        <v>28611664</v>
      </c>
      <c r="L18" s="3773">
        <f>SUM(C18:K18)</f>
        <v>580186114</v>
      </c>
      <c r="M18" s="3069"/>
      <c r="O18" s="3137"/>
      <c r="P18" s="3069"/>
      <c r="Q18" s="3069"/>
      <c r="R18" s="3069"/>
      <c r="S18" s="3069"/>
      <c r="T18" s="3069"/>
      <c r="U18" s="3069"/>
      <c r="V18" s="3095"/>
      <c r="W18" s="3104"/>
      <c r="X18" s="3104"/>
    </row>
    <row r="19" spans="2:24" ht="20.100000000000001" customHeight="1" thickBot="1" x14ac:dyDescent="0.3">
      <c r="B19" s="3117" t="s">
        <v>1314</v>
      </c>
      <c r="C19" s="3118">
        <f>'[1]16.Incentives- Max'!$F$351</f>
        <v>123712</v>
      </c>
      <c r="D19" s="3118">
        <f>'[1]16.Incentives- Max'!$G$351</f>
        <v>398712.4</v>
      </c>
      <c r="E19" s="3118">
        <f>'[1]16.Incentives- Max'!$H$351</f>
        <v>497036.26</v>
      </c>
      <c r="F19" s="3118">
        <f>'[1]16.Incentives- Max'!$I$351</f>
        <v>1031380.1147205125</v>
      </c>
      <c r="G19" s="3118">
        <f>'[1]16.Incentives- Max'!$J$351</f>
        <v>1590095.7920605591</v>
      </c>
      <c r="H19" s="3294">
        <f>'[1]16.Incentives- Max'!$K$351</f>
        <v>3016478.6456820588</v>
      </c>
      <c r="I19" s="3118">
        <f>'[1]16.Incentives- Max'!$L$351</f>
        <v>4137979.6190983797</v>
      </c>
      <c r="J19" s="3294">
        <f>'[1]16.Incentives- Max'!$M$351</f>
        <v>4573359.4865829833</v>
      </c>
      <c r="K19" s="3907">
        <f>'[1]16.Incentives- Max'!$N$351</f>
        <v>4625032.1902715806</v>
      </c>
      <c r="L19" s="3774">
        <f>SUM(C19:K19)</f>
        <v>19993786.508416075</v>
      </c>
      <c r="M19" s="3069"/>
      <c r="O19" s="3137"/>
      <c r="P19" s="3069"/>
      <c r="Q19" s="3069"/>
      <c r="R19" s="3069"/>
      <c r="S19" s="3069"/>
      <c r="T19" s="3069"/>
      <c r="U19" s="3069"/>
      <c r="V19" s="3095"/>
      <c r="W19" s="3104"/>
      <c r="X19" s="3104"/>
    </row>
    <row r="20" spans="2:24" ht="20.100000000000001" customHeight="1" thickTop="1" thickBot="1" x14ac:dyDescent="0.3">
      <c r="B20" s="3167" t="s">
        <v>1341</v>
      </c>
      <c r="C20" s="3914">
        <f>'[1]20.AggregateData'!$C$13</f>
        <v>365421.81864572637</v>
      </c>
      <c r="D20" s="3914">
        <f>'[1]20.AggregateData'!$D$13</f>
        <v>871614.617520347</v>
      </c>
      <c r="E20" s="3914">
        <f>'[1]20.AggregateData'!$E$13</f>
        <v>1349255.8264007051</v>
      </c>
      <c r="F20" s="3914">
        <f>'[1]20.AggregateData'!$F$13</f>
        <v>2122358.2250572033</v>
      </c>
      <c r="G20" s="3914">
        <f>'[1]20.AggregateData'!$G$13</f>
        <v>3456467.5083639743</v>
      </c>
      <c r="H20" s="3914">
        <f>'[1]20.AggregateData'!$H$13</f>
        <v>5575626.7407451198</v>
      </c>
      <c r="I20" s="3914">
        <f>'[1]20.AggregateData'!$I$13</f>
        <v>5034123.0920713646</v>
      </c>
      <c r="J20" s="3915">
        <f>'[1]20.AggregateData'!$J$13</f>
        <v>3814927.6281367047</v>
      </c>
      <c r="K20" s="3916">
        <f>'[1]20.AggregateData'!$K$13</f>
        <v>2441259.4044725145</v>
      </c>
      <c r="L20" s="3634">
        <f>SUM(C20:K20)</f>
        <v>25031054.861413661</v>
      </c>
      <c r="M20" s="3069"/>
      <c r="O20" s="3137"/>
      <c r="P20" s="3069"/>
      <c r="Q20" s="3069"/>
      <c r="R20" s="3069"/>
      <c r="S20" s="3069"/>
      <c r="T20" s="3069"/>
      <c r="U20" s="3069"/>
      <c r="V20" s="3095"/>
      <c r="W20" s="3104"/>
      <c r="X20" s="3104"/>
    </row>
    <row r="21" spans="2:24" ht="20.100000000000001" customHeight="1" thickBot="1" x14ac:dyDescent="0.3">
      <c r="B21" s="3137"/>
      <c r="C21" s="3677"/>
      <c r="D21" s="3677"/>
      <c r="E21" s="3677"/>
      <c r="F21" s="3677"/>
      <c r="G21" s="3677"/>
      <c r="H21" s="3677"/>
      <c r="I21" s="3677"/>
      <c r="J21" s="3677"/>
      <c r="K21" s="3677"/>
      <c r="L21" s="3678"/>
      <c r="M21" s="3069"/>
      <c r="N21" s="3069"/>
      <c r="O21" s="3069"/>
      <c r="P21" s="3069"/>
      <c r="Q21" s="3069"/>
      <c r="R21" s="3069"/>
      <c r="S21" s="3069"/>
      <c r="T21" s="3069"/>
      <c r="U21" s="3095"/>
      <c r="V21" s="3104"/>
      <c r="W21" s="3104"/>
      <c r="X21" s="3104"/>
    </row>
    <row r="22" spans="2:24" ht="20.100000000000001" customHeight="1" thickBot="1" x14ac:dyDescent="0.3">
      <c r="B22" s="3111" t="s">
        <v>1236</v>
      </c>
      <c r="C22" s="3099">
        <v>2007</v>
      </c>
      <c r="D22" s="3099">
        <v>2008</v>
      </c>
      <c r="E22" s="3099">
        <v>2009</v>
      </c>
      <c r="F22" s="3099">
        <v>2010</v>
      </c>
      <c r="G22" s="3099">
        <v>2011</v>
      </c>
      <c r="H22" s="3099">
        <v>2012</v>
      </c>
      <c r="I22" s="3727">
        <v>2013</v>
      </c>
      <c r="J22" s="3099">
        <v>2014</v>
      </c>
      <c r="K22" s="3909">
        <v>2015</v>
      </c>
      <c r="L22" s="3777" t="s">
        <v>357</v>
      </c>
      <c r="M22" s="3069"/>
      <c r="N22" s="3069"/>
      <c r="O22" s="3137"/>
      <c r="P22" s="3137"/>
      <c r="Q22" s="3137"/>
      <c r="R22" s="3137"/>
      <c r="S22" s="3137"/>
      <c r="T22" s="3069"/>
      <c r="U22" s="3095"/>
      <c r="V22" s="3104"/>
      <c r="W22" s="3104"/>
      <c r="X22" s="3104"/>
    </row>
    <row r="23" spans="2:24" ht="20.100000000000001" customHeight="1" x14ac:dyDescent="0.25">
      <c r="B23" s="3119" t="s">
        <v>1231</v>
      </c>
      <c r="C23" s="3120">
        <f>[2]Sheet1!$B$33</f>
        <v>262</v>
      </c>
      <c r="D23" s="3120">
        <f>[2]Sheet1!$C$33</f>
        <v>255</v>
      </c>
      <c r="E23" s="3120">
        <f>[2]Sheet1!$D$33</f>
        <v>265</v>
      </c>
      <c r="F23" s="3120">
        <f>[2]Sheet1!$E$33</f>
        <v>606</v>
      </c>
      <c r="G23" s="3120">
        <f>[2]Sheet1!$F$33</f>
        <v>844</v>
      </c>
      <c r="H23" s="3295">
        <f>[2]Sheet1!$G$33</f>
        <v>806</v>
      </c>
      <c r="I23" s="3120">
        <f>[2]Sheet1!$H$33</f>
        <v>859</v>
      </c>
      <c r="J23" s="3295">
        <f>[2]Sheet1!$I$33</f>
        <v>853</v>
      </c>
      <c r="K23" s="3905">
        <f>[2]Sheet1!$J$33</f>
        <v>773</v>
      </c>
      <c r="L23" s="3910">
        <f>SUM(C23:K23)</f>
        <v>5523</v>
      </c>
      <c r="M23" s="3069"/>
      <c r="N23" s="3069"/>
      <c r="O23" s="3137"/>
      <c r="P23" s="3069"/>
      <c r="Q23" s="3069"/>
      <c r="R23" s="3069"/>
      <c r="S23" s="3069"/>
      <c r="T23" s="3069"/>
      <c r="U23" s="3095"/>
      <c r="V23" s="3104"/>
      <c r="W23" s="3104"/>
      <c r="X23" s="3104"/>
    </row>
    <row r="24" spans="2:24" ht="20.100000000000001" customHeight="1" x14ac:dyDescent="0.25">
      <c r="B24" s="3121" t="s">
        <v>1232</v>
      </c>
      <c r="C24" s="3122">
        <f>[2]Sheet1!$B$34</f>
        <v>10621976</v>
      </c>
      <c r="D24" s="3123">
        <f>[2]Sheet1!$C$34</f>
        <v>9214052</v>
      </c>
      <c r="E24" s="3123">
        <f>[2]Sheet1!$D$34</f>
        <v>16137468</v>
      </c>
      <c r="F24" s="3123">
        <f>[2]Sheet1!$E$34</f>
        <v>34555726</v>
      </c>
      <c r="G24" s="3123">
        <f>[2]Sheet1!$F$34</f>
        <v>54269760</v>
      </c>
      <c r="H24" s="3296">
        <f>[2]Sheet1!$G$34</f>
        <v>62298865</v>
      </c>
      <c r="I24" s="3123">
        <f>[2]Sheet1!$H$34</f>
        <v>55490232</v>
      </c>
      <c r="J24" s="3296">
        <f>[2]Sheet1!$I$34</f>
        <v>50955135</v>
      </c>
      <c r="K24" s="3116">
        <f>[2]Sheet1!$J$34</f>
        <v>39177270</v>
      </c>
      <c r="L24" s="3911">
        <f>SUM(C24:K24)</f>
        <v>332720484</v>
      </c>
      <c r="M24" s="3069"/>
      <c r="N24" s="3069"/>
      <c r="O24" s="3137"/>
      <c r="P24" s="3069"/>
      <c r="Q24" s="3069"/>
      <c r="R24" s="3069"/>
      <c r="S24" s="3069"/>
      <c r="T24" s="3069"/>
      <c r="U24" s="3095"/>
      <c r="V24" s="3104"/>
      <c r="W24" s="3104"/>
      <c r="X24" s="3104"/>
    </row>
    <row r="25" spans="2:24" ht="20.100000000000001" customHeight="1" x14ac:dyDescent="0.25">
      <c r="B25" s="3121" t="s">
        <v>1098</v>
      </c>
      <c r="C25" s="3122">
        <f>C24/C23</f>
        <v>40541.893129770993</v>
      </c>
      <c r="D25" s="3122">
        <f t="shared" ref="D25:K25" si="1">D24/D23</f>
        <v>36133.537254901959</v>
      </c>
      <c r="E25" s="3122">
        <f t="shared" si="1"/>
        <v>60896.105660377361</v>
      </c>
      <c r="F25" s="3122">
        <f t="shared" si="1"/>
        <v>57022.650165016501</v>
      </c>
      <c r="G25" s="3122">
        <f t="shared" si="1"/>
        <v>64300.663507109006</v>
      </c>
      <c r="H25" s="3122">
        <f t="shared" si="1"/>
        <v>77293.877171215878</v>
      </c>
      <c r="I25" s="3122">
        <f t="shared" si="1"/>
        <v>64598.640279394647</v>
      </c>
      <c r="J25" s="3122">
        <f t="shared" si="1"/>
        <v>59736.383352872217</v>
      </c>
      <c r="K25" s="3122">
        <f t="shared" si="1"/>
        <v>50682.108667529108</v>
      </c>
      <c r="L25" s="3911">
        <f>AVERAGE(C25:K25)</f>
        <v>56800.651020909747</v>
      </c>
      <c r="M25" s="3069"/>
      <c r="N25" s="3069"/>
      <c r="O25" s="3137"/>
      <c r="P25" s="3069"/>
      <c r="Q25" s="3069"/>
      <c r="R25" s="3069"/>
      <c r="S25" s="3069"/>
      <c r="T25" s="3069"/>
      <c r="U25" s="3095"/>
      <c r="V25" s="3104"/>
      <c r="W25" s="3104"/>
      <c r="X25" s="3104"/>
    </row>
    <row r="26" spans="2:24" ht="20.100000000000001" customHeight="1" x14ac:dyDescent="0.25">
      <c r="B26" s="3121" t="s">
        <v>1342</v>
      </c>
      <c r="C26" s="3122">
        <f>[2]Sheet1!$B$35</f>
        <v>22546350</v>
      </c>
      <c r="D26" s="3123">
        <f>[2]Sheet1!$C$35</f>
        <v>13388586</v>
      </c>
      <c r="E26" s="3123">
        <f>[2]Sheet1!$D$35</f>
        <v>28100875</v>
      </c>
      <c r="F26" s="3123">
        <f>[2]Sheet1!$E$35</f>
        <v>47475449</v>
      </c>
      <c r="G26" s="3124">
        <f>[2]Sheet1!$F$35</f>
        <v>121412913</v>
      </c>
      <c r="H26" s="3296">
        <f>[2]Sheet1!$G$35</f>
        <v>262489273</v>
      </c>
      <c r="I26" s="3123">
        <f>[2]Sheet1!$H$35</f>
        <v>128030075</v>
      </c>
      <c r="J26" s="3296">
        <f>[2]Sheet1!$I$35</f>
        <v>59241141</v>
      </c>
      <c r="K26" s="3116">
        <f>[2]Sheet1!$J$35</f>
        <v>88946890</v>
      </c>
      <c r="L26" s="3911">
        <f>SUM(C26:K26)</f>
        <v>771631552</v>
      </c>
      <c r="M26" s="3069"/>
      <c r="N26" s="3069"/>
      <c r="O26" s="3137"/>
      <c r="P26" s="3069"/>
      <c r="Q26" s="3069"/>
      <c r="R26" s="3069"/>
      <c r="S26" s="3069"/>
      <c r="T26" s="3069"/>
      <c r="U26" s="3095"/>
      <c r="V26" s="3104"/>
      <c r="W26" s="3104"/>
      <c r="X26" s="3104"/>
    </row>
    <row r="27" spans="2:24" ht="20.100000000000001" customHeight="1" thickBot="1" x14ac:dyDescent="0.3">
      <c r="B27" s="3125" t="s">
        <v>1373</v>
      </c>
      <c r="C27" s="3126">
        <f>[2]Sheet1!$B$36</f>
        <v>208653</v>
      </c>
      <c r="D27" s="3126">
        <f>[2]Sheet1!$C$36</f>
        <v>544110</v>
      </c>
      <c r="E27" s="3126">
        <f>[2]Sheet1!$D$36</f>
        <v>654370</v>
      </c>
      <c r="F27" s="3126">
        <f>[2]Sheet1!$E$36</f>
        <v>1249733</v>
      </c>
      <c r="G27" s="3126">
        <f>[2]Sheet1!$F$36</f>
        <v>1852263</v>
      </c>
      <c r="H27" s="3297">
        <f>[2]Sheet1!$G$36</f>
        <v>2903935</v>
      </c>
      <c r="I27" s="3126">
        <f>[2]Sheet1!$H$36</f>
        <v>3751728</v>
      </c>
      <c r="J27" s="3297">
        <f>[2]Sheet1!$I$36</f>
        <v>4217057</v>
      </c>
      <c r="K27" s="3907">
        <f>[2]Sheet1!$J$36</f>
        <v>3473616</v>
      </c>
      <c r="L27" s="3912">
        <f>SUM(C27:K27)</f>
        <v>18855465</v>
      </c>
      <c r="M27" s="3069"/>
      <c r="N27" s="3069"/>
      <c r="O27" s="3137"/>
      <c r="P27" s="3069"/>
      <c r="Q27" s="3069"/>
      <c r="R27" s="3069"/>
      <c r="S27" s="3069"/>
      <c r="T27" s="3069"/>
      <c r="U27" s="3095"/>
      <c r="V27" s="3104"/>
      <c r="W27" s="3104"/>
      <c r="X27" s="3104"/>
    </row>
    <row r="28" spans="2:24" ht="20.100000000000001" customHeight="1" thickTop="1" thickBot="1" x14ac:dyDescent="0.3">
      <c r="B28" s="3166" t="s">
        <v>1341</v>
      </c>
      <c r="C28" s="3971">
        <f>'[4]TABLE 6'!C26</f>
        <v>107660</v>
      </c>
      <c r="D28" s="3971">
        <f>'[4]TABLE 6'!D26</f>
        <v>215320</v>
      </c>
      <c r="E28" s="3971">
        <f>'[4]TABLE 6'!E26</f>
        <v>753620</v>
      </c>
      <c r="F28" s="3971">
        <f>'[4]TABLE 6'!F26</f>
        <v>1643100</v>
      </c>
      <c r="G28" s="3971">
        <f>'[4]TABLE 6'!G26</f>
        <v>2580700</v>
      </c>
      <c r="H28" s="3971">
        <v>6282691</v>
      </c>
      <c r="I28" s="3971">
        <v>8785291</v>
      </c>
      <c r="J28" s="3908">
        <v>7769527</v>
      </c>
      <c r="K28" s="3906">
        <v>6546164</v>
      </c>
      <c r="L28" s="3913">
        <f>SUM(C28:K28)</f>
        <v>34684073</v>
      </c>
      <c r="M28" s="3069"/>
      <c r="N28" s="3069"/>
      <c r="O28" s="3137"/>
      <c r="P28" s="3137"/>
      <c r="Q28" s="3918"/>
      <c r="R28" s="3918"/>
      <c r="S28" s="3918"/>
      <c r="T28" s="3104"/>
      <c r="U28" s="3104"/>
      <c r="V28" s="3104"/>
      <c r="W28" s="3104"/>
      <c r="X28" s="3104"/>
    </row>
    <row r="29" spans="2:24" x14ac:dyDescent="0.2">
      <c r="D29" s="3070"/>
      <c r="O29" s="3104"/>
      <c r="P29" s="3104"/>
      <c r="Q29" s="3104"/>
      <c r="R29" s="3104"/>
      <c r="S29" s="3104"/>
      <c r="T29" s="3104"/>
      <c r="U29" s="3104"/>
      <c r="V29" s="3104"/>
      <c r="W29" s="3104"/>
      <c r="X29" s="3104"/>
    </row>
    <row r="30" spans="2:24" x14ac:dyDescent="0.2">
      <c r="H30" s="3972"/>
      <c r="I30" s="3972"/>
      <c r="J30" s="3972"/>
      <c r="K30" s="3972"/>
      <c r="L30" s="3973"/>
      <c r="O30" s="3104"/>
      <c r="P30" s="3104"/>
      <c r="Q30" s="3104"/>
      <c r="R30" s="3104"/>
      <c r="S30" s="3104"/>
      <c r="T30" s="3104"/>
      <c r="U30" s="3104"/>
      <c r="V30" s="3104"/>
      <c r="W30" s="3104"/>
      <c r="X30" s="3104"/>
    </row>
    <row r="31" spans="2:24" x14ac:dyDescent="0.2">
      <c r="O31" s="3104"/>
      <c r="P31" s="3104"/>
      <c r="Q31" s="3104"/>
      <c r="R31" s="3104"/>
      <c r="S31" s="3104"/>
      <c r="T31" s="3104"/>
      <c r="U31" s="3104"/>
      <c r="V31" s="3104"/>
      <c r="W31" s="3104"/>
      <c r="X31" s="3104"/>
    </row>
    <row r="32" spans="2:24" x14ac:dyDescent="0.2">
      <c r="O32" s="3104"/>
      <c r="P32" s="3104"/>
      <c r="Q32" s="3104"/>
      <c r="R32" s="3104"/>
      <c r="S32" s="3104"/>
      <c r="T32" s="3104"/>
      <c r="U32" s="3104"/>
      <c r="V32" s="3104"/>
      <c r="W32" s="3104"/>
      <c r="X32" s="3104"/>
    </row>
    <row r="36" spans="5:5" x14ac:dyDescent="0.2">
      <c r="E36" s="3055"/>
    </row>
  </sheetData>
  <mergeCells count="2">
    <mergeCell ref="B1:L1"/>
    <mergeCell ref="B2:L2"/>
  </mergeCell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W85"/>
  <sheetViews>
    <sheetView topLeftCell="E1" workbookViewId="0">
      <selection activeCell="S2" sqref="S2:W19"/>
    </sheetView>
  </sheetViews>
  <sheetFormatPr defaultColWidth="8.85546875" defaultRowHeight="12.75" x14ac:dyDescent="0.2"/>
  <cols>
    <col min="1" max="1" width="73.140625" style="3608" bestFit="1" customWidth="1"/>
    <col min="2" max="10" width="15.7109375" style="3608" customWidth="1"/>
    <col min="11" max="11" width="14" style="3608" bestFit="1" customWidth="1"/>
    <col min="12" max="13" width="13.42578125" style="3608" bestFit="1" customWidth="1"/>
    <col min="14" max="14" width="15" style="3608" bestFit="1" customWidth="1"/>
    <col min="15" max="16" width="15" style="3608" customWidth="1"/>
    <col min="17" max="17" width="15" style="3608" bestFit="1" customWidth="1"/>
    <col min="18" max="21" width="12.28515625" style="3608" bestFit="1" customWidth="1"/>
    <col min="22" max="22" width="14" style="3608" bestFit="1" customWidth="1"/>
    <col min="23" max="16384" width="8.85546875" style="3608"/>
  </cols>
  <sheetData>
    <row r="1" spans="1:23" ht="13.5" thickBot="1" x14ac:dyDescent="0.25">
      <c r="A1" s="3606" t="s">
        <v>835</v>
      </c>
      <c r="B1" s="3607">
        <v>2007</v>
      </c>
      <c r="C1" s="3607">
        <v>2008</v>
      </c>
      <c r="D1" s="3607">
        <v>2009</v>
      </c>
      <c r="E1" s="3607">
        <v>2010</v>
      </c>
      <c r="F1" s="3607">
        <v>2011</v>
      </c>
      <c r="G1" s="3607">
        <v>2012</v>
      </c>
      <c r="H1" s="3607">
        <v>2013</v>
      </c>
      <c r="I1" s="3607">
        <v>2014</v>
      </c>
      <c r="J1" s="3607">
        <v>2015</v>
      </c>
      <c r="K1" s="3607">
        <v>2016</v>
      </c>
      <c r="L1" s="3607">
        <v>2017</v>
      </c>
      <c r="M1" s="3607">
        <v>2018</v>
      </c>
      <c r="N1" s="3607">
        <v>2019</v>
      </c>
      <c r="O1" s="3757">
        <v>2020</v>
      </c>
      <c r="P1" s="3757">
        <v>2021</v>
      </c>
    </row>
    <row r="2" spans="1:23" ht="13.5" thickBot="1" x14ac:dyDescent="0.25"/>
    <row r="3" spans="1:23" x14ac:dyDescent="0.2">
      <c r="A3" s="3609" t="s">
        <v>375</v>
      </c>
      <c r="B3" s="4024">
        <f>'TABLE 6'!C20</f>
        <v>365421.81864572637</v>
      </c>
      <c r="C3" s="4025">
        <f>B3+'TABLE 6'!D20</f>
        <v>1237036.4361660734</v>
      </c>
      <c r="D3" s="4025">
        <f>C3+'TABLE 6'!E20</f>
        <v>2586292.2625667788</v>
      </c>
      <c r="E3" s="4025">
        <f>D3+'TABLE 6'!F20</f>
        <v>4708650.4876239821</v>
      </c>
      <c r="F3" s="4025">
        <f>E3+'TABLE 6'!G20</f>
        <v>8165117.9959879564</v>
      </c>
      <c r="G3" s="4025">
        <f>F3+'TABLE 6'!H20</f>
        <v>13740744.736733075</v>
      </c>
      <c r="H3" s="4025">
        <f>G3+'TABLE 6'!I20</f>
        <v>18774867.828804441</v>
      </c>
      <c r="I3" s="4025">
        <f>H3+'TABLE 6'!J20</f>
        <v>22589795.456941146</v>
      </c>
      <c r="J3" s="4025">
        <f>I3+'TABLE 6'!K20</f>
        <v>25031054.861413661</v>
      </c>
      <c r="K3" s="3610">
        <f>'[1]20.AggregateData'!$K$12</f>
        <v>2441259.4044725145</v>
      </c>
      <c r="L3" s="3610">
        <f>'[1]20.AggregateData'!$L$12</f>
        <v>2026856.9309129831</v>
      </c>
      <c r="M3" s="3610">
        <f>'[1]20.AggregateData'!$M$12</f>
        <v>2180285.455610957</v>
      </c>
      <c r="N3" s="3610">
        <f>'[1]20.AggregateData'!$N$12</f>
        <v>1803926.8085292366</v>
      </c>
      <c r="O3" s="3923">
        <f>'[1]20.AggregateData'!$O$12</f>
        <v>490331.4608316035</v>
      </c>
      <c r="P3" s="3758"/>
      <c r="Q3" s="315"/>
      <c r="S3" s="1110"/>
      <c r="T3" s="3929"/>
      <c r="U3" s="3929"/>
      <c r="V3" s="3929"/>
      <c r="W3" s="3929"/>
    </row>
    <row r="4" spans="1:23" ht="13.5" thickBot="1" x14ac:dyDescent="0.25">
      <c r="A4" s="3611" t="s">
        <v>1603</v>
      </c>
      <c r="B4" s="4026">
        <f>'TABLE 6'!C28</f>
        <v>107660</v>
      </c>
      <c r="C4" s="4027">
        <f>B4+'TABLE 6'!D28</f>
        <v>322980</v>
      </c>
      <c r="D4" s="4027">
        <f>C4+'TABLE 6'!E28</f>
        <v>1076600</v>
      </c>
      <c r="E4" s="4027">
        <f>D4+'TABLE 6'!F28</f>
        <v>2719700</v>
      </c>
      <c r="F4" s="4027">
        <f>E4+'TABLE 6'!G28</f>
        <v>5300400</v>
      </c>
      <c r="G4" s="4027">
        <f>F4+'TABLE 6'!H28</f>
        <v>11583091</v>
      </c>
      <c r="H4" s="4027">
        <f>G4+'TABLE 6'!I28</f>
        <v>20368382</v>
      </c>
      <c r="I4" s="4027">
        <f>H4+'TABLE 6'!J28</f>
        <v>28137909</v>
      </c>
      <c r="J4" s="4027">
        <f>I4+'TABLE 6'!K28</f>
        <v>34684073</v>
      </c>
      <c r="K4" s="3612">
        <f>'[1]20.AggregateData'!$L$14</f>
        <v>0</v>
      </c>
      <c r="L4" s="3612">
        <f>'[1]20.AggregateData'!$M$14</f>
        <v>0</v>
      </c>
      <c r="M4" s="3612">
        <f>'[1]20.AggregateData'!$N$14</f>
        <v>0</v>
      </c>
      <c r="N4" s="3612">
        <f>'[1]20.AggregateData'!$O$14</f>
        <v>0</v>
      </c>
      <c r="O4" s="3924">
        <f>'[1]20.AggregateData'!$P$14</f>
        <v>0</v>
      </c>
      <c r="P4" s="3759">
        <f>'[1]20.AggregateData'!$Q$14</f>
        <v>0</v>
      </c>
      <c r="S4" s="1110"/>
      <c r="T4" s="3929"/>
      <c r="U4" s="3929"/>
      <c r="V4" s="3929"/>
      <c r="W4" s="3929"/>
    </row>
    <row r="5" spans="1:23" x14ac:dyDescent="0.2">
      <c r="B5" s="4028"/>
      <c r="C5" s="4028"/>
      <c r="D5" s="4028"/>
      <c r="E5" s="4028"/>
      <c r="F5" s="4028"/>
      <c r="G5" s="4028"/>
      <c r="H5" s="4028"/>
      <c r="I5" s="4028"/>
      <c r="J5" s="4028"/>
    </row>
    <row r="6" spans="1:23" ht="13.5" thickBot="1" x14ac:dyDescent="0.25">
      <c r="B6" s="4029"/>
      <c r="C6" s="4029"/>
      <c r="D6" s="4029"/>
      <c r="E6" s="4029"/>
      <c r="F6" s="4029"/>
      <c r="G6" s="4029"/>
      <c r="H6" s="4029"/>
      <c r="I6" s="4029"/>
      <c r="J6" s="4029"/>
    </row>
    <row r="7" spans="1:23" ht="13.5" thickBot="1" x14ac:dyDescent="0.25">
      <c r="A7" s="3613" t="s">
        <v>838</v>
      </c>
      <c r="B7" s="4030"/>
      <c r="C7" s="4030"/>
      <c r="D7" s="4030"/>
      <c r="E7" s="4030"/>
      <c r="F7" s="4030"/>
      <c r="G7" s="4030"/>
      <c r="H7" s="4030"/>
      <c r="I7" s="4030"/>
      <c r="J7" s="4030"/>
      <c r="K7" s="3614"/>
      <c r="L7" s="3614"/>
      <c r="M7" s="3614"/>
      <c r="N7" s="3614"/>
      <c r="O7" s="3614"/>
      <c r="P7" s="3760"/>
    </row>
    <row r="8" spans="1:23" x14ac:dyDescent="0.2">
      <c r="A8" s="3615" t="s">
        <v>436</v>
      </c>
      <c r="B8" s="4031">
        <f>'TABLE 6'!C15</f>
        <v>101</v>
      </c>
      <c r="C8" s="4031">
        <f>B8+'TABLE 6'!D15</f>
        <v>314</v>
      </c>
      <c r="D8" s="4031">
        <f>C8+'TABLE 6'!E15</f>
        <v>378</v>
      </c>
      <c r="E8" s="4031">
        <f>D8+'TABLE 6'!F15</f>
        <v>598</v>
      </c>
      <c r="F8" s="4031">
        <f>E8+'TABLE 6'!G15</f>
        <v>959</v>
      </c>
      <c r="G8" s="4031">
        <f>F8+'TABLE 6'!H15</f>
        <v>1507</v>
      </c>
      <c r="H8" s="4031">
        <f>G8+'TABLE 6'!I15</f>
        <v>1921</v>
      </c>
      <c r="I8" s="4031">
        <f>H8+'TABLE 6'!J15</f>
        <v>2248</v>
      </c>
      <c r="J8" s="4031">
        <f>I8+'TABLE 6'!K15</f>
        <v>2526</v>
      </c>
      <c r="K8" s="3931">
        <f>J8+'[1]20.AggregateData'!$K$32</f>
        <v>2721</v>
      </c>
      <c r="L8" s="3931">
        <f>K8+'[1]20.AggregateData'!$L$32</f>
        <v>2914</v>
      </c>
      <c r="M8" s="3931">
        <f>L8+'[1]20.AggregateData'!$M$32</f>
        <v>3110</v>
      </c>
      <c r="N8" s="3931">
        <f>M8+'[1]20.AggregateData'!$N$32</f>
        <v>3226</v>
      </c>
      <c r="O8" s="3932">
        <f>N8+'[1]20.AggregateData'!$O$32</f>
        <v>3291</v>
      </c>
      <c r="P8" s="3933">
        <f>O8+'[1]20.AggregateData'!$P$32</f>
        <v>3302</v>
      </c>
      <c r="S8" s="1110"/>
    </row>
    <row r="9" spans="1:23" x14ac:dyDescent="0.2">
      <c r="A9" s="3616" t="s">
        <v>437</v>
      </c>
      <c r="B9" s="4032">
        <f>'TABLE 6'!C16</f>
        <v>3438000</v>
      </c>
      <c r="C9" s="4032">
        <f>B9+'TABLE 6'!D16</f>
        <v>10380837</v>
      </c>
      <c r="D9" s="4032">
        <f>C9+'TABLE 6'!E16</f>
        <v>14230637</v>
      </c>
      <c r="E9" s="4032">
        <f>D9+'TABLE 6'!F16</f>
        <v>26934385</v>
      </c>
      <c r="F9" s="4032">
        <f>E9+'TABLE 6'!G16</f>
        <v>43593835</v>
      </c>
      <c r="G9" s="4032">
        <f>F9+'TABLE 6'!H16</f>
        <v>69919743</v>
      </c>
      <c r="H9" s="4032">
        <f>G9+'TABLE 6'!I16</f>
        <v>88711166</v>
      </c>
      <c r="I9" s="4032">
        <f>H9+'TABLE 6'!J16</f>
        <v>103193417</v>
      </c>
      <c r="J9" s="4032">
        <f>I9+'TABLE 6'!K16</f>
        <v>116566100</v>
      </c>
      <c r="K9" s="2991">
        <f>J9+'[5]11. Aggregate'!K33</f>
        <v>124609989</v>
      </c>
      <c r="L9" s="2991">
        <f>K9+'[5]11. Aggregate'!L33</f>
        <v>132063258</v>
      </c>
      <c r="M9" s="2991">
        <f>L9+'[5]11. Aggregate'!M33</f>
        <v>137790995</v>
      </c>
      <c r="N9" s="2991">
        <f>M9+'[5]11. Aggregate'!N33</f>
        <v>140615900</v>
      </c>
      <c r="O9" s="2989">
        <v>147229984</v>
      </c>
      <c r="P9" s="2966">
        <f>N9+'[5]11. Aggregate'!O33</f>
        <v>141648680</v>
      </c>
      <c r="S9" s="1110"/>
    </row>
    <row r="10" spans="1:23" ht="13.5" thickBot="1" x14ac:dyDescent="0.25">
      <c r="A10" s="3617" t="s">
        <v>438</v>
      </c>
      <c r="B10" s="4033">
        <f>'TABLE 6'!C18</f>
        <v>13677077</v>
      </c>
      <c r="C10" s="4033">
        <f>B10+'TABLE 6'!D18</f>
        <v>25463347</v>
      </c>
      <c r="D10" s="4033">
        <f>C10+'TABLE 6'!E18</f>
        <v>39634347</v>
      </c>
      <c r="E10" s="4033">
        <f>D10+'TABLE 6'!F18</f>
        <v>60397347</v>
      </c>
      <c r="F10" s="4033">
        <f>E10+'TABLE 6'!G18</f>
        <v>123589946</v>
      </c>
      <c r="G10" s="4033">
        <f>F10+'TABLE 6'!H18</f>
        <v>289743786</v>
      </c>
      <c r="H10" s="4033">
        <f>G10+'TABLE 6'!I18</f>
        <v>422981130</v>
      </c>
      <c r="I10" s="4033">
        <f>H10+'TABLE 6'!J18</f>
        <v>551574450</v>
      </c>
      <c r="J10" s="4033">
        <f>I10+'TABLE 6'!K18</f>
        <v>580186114</v>
      </c>
      <c r="K10" s="3618">
        <f>J10+'[1]20.AggregateData'!$K$34</f>
        <v>632071298</v>
      </c>
      <c r="L10" s="3618">
        <f>K10+'[1]20.AggregateData'!$L$34</f>
        <v>682285558</v>
      </c>
      <c r="M10" s="3618">
        <f>L10+'[1]20.AggregateData'!$M$34</f>
        <v>717353058</v>
      </c>
      <c r="N10" s="3618">
        <f>M10+'[1]20.AggregateData'!$N$34</f>
        <v>739465058</v>
      </c>
      <c r="O10" s="3925">
        <f>N10+'[1]20.AggregateData'!$O$34</f>
        <v>755568058</v>
      </c>
      <c r="P10" s="3761">
        <f>O10+'[1]20.AggregateData'!$P$34</f>
        <v>763068058</v>
      </c>
      <c r="S10" s="1110"/>
    </row>
    <row r="11" spans="1:23" x14ac:dyDescent="0.2">
      <c r="A11" s="3619" t="s">
        <v>839</v>
      </c>
      <c r="B11" s="4034">
        <f>'TABLE 6'!C23</f>
        <v>262</v>
      </c>
      <c r="C11" s="4034">
        <f>B11+'TABLE 6'!D23</f>
        <v>517</v>
      </c>
      <c r="D11" s="4034">
        <f>C11+'TABLE 6'!E23</f>
        <v>782</v>
      </c>
      <c r="E11" s="4034">
        <f>D11+'TABLE 6'!F23</f>
        <v>1388</v>
      </c>
      <c r="F11" s="4034">
        <f>E11+'TABLE 6'!G23</f>
        <v>2232</v>
      </c>
      <c r="G11" s="4034">
        <f>F11+'TABLE 6'!H23</f>
        <v>3038</v>
      </c>
      <c r="H11" s="4034">
        <f>G11+'TABLE 6'!I23</f>
        <v>3897</v>
      </c>
      <c r="I11" s="4034">
        <f>H11+'TABLE 6'!J23</f>
        <v>4750</v>
      </c>
      <c r="J11" s="4034">
        <f>I11+'TABLE 6'!K23</f>
        <v>5523</v>
      </c>
      <c r="K11" s="3620"/>
      <c r="L11" s="3620"/>
      <c r="M11" s="3620"/>
      <c r="N11" s="3620"/>
      <c r="O11" s="3926"/>
      <c r="P11" s="3762"/>
    </row>
    <row r="12" spans="1:23" x14ac:dyDescent="0.2">
      <c r="A12" s="3765" t="s">
        <v>840</v>
      </c>
      <c r="B12" s="4032">
        <f>'TABLE 6'!C24</f>
        <v>10621976</v>
      </c>
      <c r="C12" s="4032">
        <f>B12+'TABLE 6'!D24</f>
        <v>19836028</v>
      </c>
      <c r="D12" s="4032">
        <f>C12+'TABLE 6'!E24</f>
        <v>35973496</v>
      </c>
      <c r="E12" s="4032">
        <f>D12+'TABLE 6'!F24</f>
        <v>70529222</v>
      </c>
      <c r="F12" s="4032">
        <f>E12+'TABLE 6'!G24</f>
        <v>124798982</v>
      </c>
      <c r="G12" s="4032">
        <f>F12+'TABLE 6'!H24</f>
        <v>187097847</v>
      </c>
      <c r="H12" s="4032">
        <f>G12+'TABLE 6'!I24</f>
        <v>242588079</v>
      </c>
      <c r="I12" s="4032">
        <f>H12+'TABLE 6'!J24</f>
        <v>293543214</v>
      </c>
      <c r="J12" s="4032">
        <f>I12+'TABLE 6'!K24</f>
        <v>332720484</v>
      </c>
      <c r="K12" s="3621"/>
      <c r="L12" s="3621"/>
      <c r="M12" s="3621"/>
      <c r="N12" s="3621"/>
      <c r="O12" s="3927"/>
      <c r="P12" s="3763"/>
    </row>
    <row r="13" spans="1:23" ht="13.5" thickBot="1" x14ac:dyDescent="0.25">
      <c r="A13" s="3622" t="s">
        <v>841</v>
      </c>
      <c r="B13" s="4033">
        <f>'TABLE 6'!C26</f>
        <v>22546350</v>
      </c>
      <c r="C13" s="4033">
        <f>B13+'TABLE 6'!D26</f>
        <v>35934936</v>
      </c>
      <c r="D13" s="4033">
        <f>C13+'TABLE 6'!E26</f>
        <v>64035811</v>
      </c>
      <c r="E13" s="4033">
        <f>D13+'TABLE 6'!F26</f>
        <v>111511260</v>
      </c>
      <c r="F13" s="4033">
        <f>E13+'TABLE 6'!G26</f>
        <v>232924173</v>
      </c>
      <c r="G13" s="4033">
        <f>F13+'TABLE 6'!H26</f>
        <v>495413446</v>
      </c>
      <c r="H13" s="4033">
        <f>G13+'TABLE 6'!I26</f>
        <v>623443521</v>
      </c>
      <c r="I13" s="4033">
        <f>H13+'TABLE 6'!J26</f>
        <v>682684662</v>
      </c>
      <c r="J13" s="4033">
        <f>I13+'TABLE 6'!K26</f>
        <v>771631552</v>
      </c>
      <c r="K13" s="3623"/>
      <c r="L13" s="3623"/>
      <c r="M13" s="3623"/>
      <c r="N13" s="3623"/>
      <c r="O13" s="3928"/>
      <c r="P13" s="3764"/>
    </row>
    <row r="14" spans="1:23" x14ac:dyDescent="0.2">
      <c r="B14" s="4029"/>
      <c r="C14" s="4029"/>
      <c r="D14" s="4029"/>
      <c r="E14" s="4029"/>
      <c r="F14" s="4029"/>
      <c r="G14" s="4029"/>
      <c r="H14" s="4029"/>
      <c r="I14" s="4029"/>
      <c r="J14" s="4029"/>
    </row>
    <row r="15" spans="1:23" ht="13.5" thickBot="1" x14ac:dyDescent="0.25">
      <c r="B15" s="4029"/>
      <c r="C15" s="4029"/>
      <c r="D15" s="4029"/>
      <c r="E15" s="4029"/>
      <c r="F15" s="4029"/>
      <c r="G15" s="4029"/>
      <c r="H15" s="4029"/>
      <c r="I15" s="4029"/>
      <c r="J15" s="4029"/>
    </row>
    <row r="16" spans="1:23" x14ac:dyDescent="0.2">
      <c r="A16" s="3624" t="s">
        <v>837</v>
      </c>
      <c r="B16" s="4035">
        <v>2007</v>
      </c>
      <c r="C16" s="4035">
        <v>2008</v>
      </c>
      <c r="D16" s="4035">
        <v>2009</v>
      </c>
      <c r="E16" s="4035">
        <v>2010</v>
      </c>
      <c r="F16" s="4035">
        <v>2011</v>
      </c>
      <c r="G16" s="4035">
        <v>2012</v>
      </c>
      <c r="H16" s="4035">
        <v>2013</v>
      </c>
      <c r="I16" s="4035">
        <v>2014</v>
      </c>
      <c r="J16" s="4035">
        <v>2015</v>
      </c>
      <c r="K16" s="3625">
        <v>2016</v>
      </c>
      <c r="L16" s="3625">
        <v>2017</v>
      </c>
      <c r="M16" s="3625">
        <v>2018</v>
      </c>
      <c r="N16" s="3625">
        <v>2019</v>
      </c>
      <c r="O16" s="3756">
        <v>2020</v>
      </c>
      <c r="P16" s="3756">
        <v>2021</v>
      </c>
      <c r="Q16" s="3626" t="s">
        <v>347</v>
      </c>
    </row>
    <row r="17" spans="1:19" x14ac:dyDescent="0.2">
      <c r="A17" s="3627" t="s">
        <v>833</v>
      </c>
      <c r="B17" s="4036">
        <f>'TABLE 6'!C19</f>
        <v>123712</v>
      </c>
      <c r="C17" s="4036">
        <f>B17+'TABLE 6'!D19</f>
        <v>522424.4</v>
      </c>
      <c r="D17" s="4036">
        <f>C17+'TABLE 6'!E19</f>
        <v>1019460.66</v>
      </c>
      <c r="E17" s="4036">
        <f>D17+'TABLE 6'!F19</f>
        <v>2050840.7747205126</v>
      </c>
      <c r="F17" s="4036">
        <f>E17+'TABLE 6'!G19</f>
        <v>3640936.5667810719</v>
      </c>
      <c r="G17" s="4036">
        <f>F17+'TABLE 6'!H19</f>
        <v>6657415.2124631312</v>
      </c>
      <c r="H17" s="4036">
        <f>G17+'TABLE 6'!I19</f>
        <v>10795394.831561511</v>
      </c>
      <c r="I17" s="4036">
        <f>H17+'TABLE 6'!J19</f>
        <v>15368754.318144495</v>
      </c>
      <c r="J17" s="4036">
        <f>I17+'TABLE 6'!K19</f>
        <v>19993786.508416075</v>
      </c>
      <c r="K17" s="1065">
        <f>J17+'[1]20.AggregateData'!$L$23</f>
        <v>24659449.43631627</v>
      </c>
      <c r="L17" s="1065">
        <f>K17+'[1]20.AggregateData'!$M$23</f>
        <v>28432599.686694026</v>
      </c>
      <c r="M17" s="1065">
        <f>L17+'[1]20.AggregateData'!$N$23</f>
        <v>31235216.283252578</v>
      </c>
      <c r="N17" s="1065">
        <f>M17+'[1]20.AggregateData'!$O$23</f>
        <v>33719536.606366441</v>
      </c>
      <c r="O17" s="1842">
        <f>N17+'[1]20.AggregateData'!$P$23</f>
        <v>35701508.248455733</v>
      </c>
      <c r="P17" s="1842">
        <f>O17+'[1]20.AggregateData'!$Q$23</f>
        <v>37095003.670732193</v>
      </c>
      <c r="Q17" s="3628">
        <f>SUM(B17:P17)</f>
        <v>251016039.20390406</v>
      </c>
      <c r="S17" s="1110"/>
    </row>
    <row r="18" spans="1:19" ht="13.5" thickBot="1" x14ac:dyDescent="0.25">
      <c r="A18" s="3629" t="s">
        <v>1604</v>
      </c>
      <c r="B18" s="4037">
        <f>'TABLE 6'!C27</f>
        <v>208653</v>
      </c>
      <c r="C18" s="4037">
        <f>B18+'TABLE 6'!D27</f>
        <v>752763</v>
      </c>
      <c r="D18" s="4037">
        <f>C18+'TABLE 6'!E27</f>
        <v>1407133</v>
      </c>
      <c r="E18" s="4037">
        <f>D18+'TABLE 6'!F27</f>
        <v>2656866</v>
      </c>
      <c r="F18" s="4037">
        <f>E18+'TABLE 6'!G27</f>
        <v>4509129</v>
      </c>
      <c r="G18" s="4037">
        <f>F18+'TABLE 6'!H27</f>
        <v>7413064</v>
      </c>
      <c r="H18" s="4037">
        <f>G18+'TABLE 6'!I27</f>
        <v>11164792</v>
      </c>
      <c r="I18" s="4037">
        <f>H18+'TABLE 6'!J27</f>
        <v>15381849</v>
      </c>
      <c r="J18" s="4037">
        <f>I18+'TABLE 6'!K27</f>
        <v>18855465</v>
      </c>
      <c r="K18" s="3630"/>
      <c r="L18" s="3630"/>
      <c r="M18" s="3630"/>
      <c r="N18" s="3630"/>
      <c r="O18" s="3630"/>
      <c r="P18" s="3630"/>
      <c r="Q18" s="3631">
        <f>SUM(B18:M18)</f>
        <v>62349714</v>
      </c>
    </row>
    <row r="19" spans="1:19" x14ac:dyDescent="0.2">
      <c r="C19" s="3635">
        <f>C17</f>
        <v>522424.4</v>
      </c>
      <c r="D19" s="3635">
        <f>D$17-C$17</f>
        <v>497036.26</v>
      </c>
      <c r="E19" s="3635">
        <f t="shared" ref="E19:J19" si="0">E$17-D$17</f>
        <v>1031380.1147205125</v>
      </c>
      <c r="F19" s="3635">
        <f t="shared" si="0"/>
        <v>1590095.7920605594</v>
      </c>
      <c r="G19" s="3635">
        <f t="shared" si="0"/>
        <v>3016478.6456820592</v>
      </c>
      <c r="H19" s="3635">
        <f t="shared" si="0"/>
        <v>4137979.6190983802</v>
      </c>
      <c r="I19" s="3635">
        <f t="shared" si="0"/>
        <v>4573359.4865829833</v>
      </c>
      <c r="J19" s="3772">
        <f t="shared" si="0"/>
        <v>4625032.1902715806</v>
      </c>
    </row>
    <row r="20" spans="1:19" x14ac:dyDescent="0.2">
      <c r="J20" s="3635">
        <f>SUM(C19:J19)</f>
        <v>19993786.508416075</v>
      </c>
    </row>
    <row r="21" spans="1:19" ht="20.25" x14ac:dyDescent="0.3">
      <c r="B21" s="4173" t="s">
        <v>1605</v>
      </c>
      <c r="C21" s="4173"/>
      <c r="D21" s="4173"/>
      <c r="E21" s="4173"/>
      <c r="F21" s="4173"/>
      <c r="G21" s="4173"/>
      <c r="H21" s="4173"/>
      <c r="I21" s="4173"/>
      <c r="J21" s="3803"/>
    </row>
    <row r="22" spans="1:19" ht="25.9" customHeight="1" x14ac:dyDescent="0.2">
      <c r="B22" s="4174" t="s">
        <v>1809</v>
      </c>
      <c r="C22" s="4174"/>
      <c r="D22" s="4174"/>
      <c r="E22" s="4174"/>
      <c r="F22" s="4174"/>
      <c r="G22" s="4174"/>
      <c r="H22" s="4174"/>
      <c r="I22" s="4174"/>
      <c r="J22" s="3804"/>
    </row>
    <row r="23" spans="1:19" x14ac:dyDescent="0.2">
      <c r="B23" s="3632"/>
      <c r="C23" s="3632"/>
      <c r="D23" s="3632"/>
      <c r="E23" s="3632"/>
      <c r="F23" s="3632"/>
      <c r="G23" s="3632"/>
      <c r="H23" s="3632"/>
      <c r="I23" s="3632"/>
      <c r="J23" s="3632"/>
    </row>
    <row r="24" spans="1:19" ht="15.75" x14ac:dyDescent="0.25">
      <c r="B24" s="4181" t="s">
        <v>1689</v>
      </c>
      <c r="C24" s="4181"/>
      <c r="D24" s="4181"/>
      <c r="E24" s="4181"/>
      <c r="F24" s="4181" t="s">
        <v>1690</v>
      </c>
      <c r="G24" s="4181"/>
      <c r="H24" s="4181"/>
      <c r="I24" s="4181"/>
      <c r="J24" s="3632"/>
    </row>
    <row r="25" spans="1:19" x14ac:dyDescent="0.2">
      <c r="B25" s="3680"/>
      <c r="C25" s="3974" t="s">
        <v>1606</v>
      </c>
      <c r="D25" s="3974" t="s">
        <v>1607</v>
      </c>
      <c r="E25" s="3782">
        <f>(J11-J8)/J8</f>
        <v>1.1864608076009502</v>
      </c>
      <c r="F25" s="3680"/>
      <c r="G25" s="3974" t="s">
        <v>1606</v>
      </c>
      <c r="H25" s="3974" t="s">
        <v>1607</v>
      </c>
      <c r="I25" s="3782">
        <f>(J12-J9)/J9</f>
        <v>1.8543503128267995</v>
      </c>
      <c r="J25" s="3632"/>
    </row>
    <row r="26" spans="1:19" x14ac:dyDescent="0.2">
      <c r="B26" s="3784" t="s">
        <v>1810</v>
      </c>
      <c r="C26" s="3935">
        <f>J8</f>
        <v>2526</v>
      </c>
      <c r="D26" s="3974">
        <f>J11</f>
        <v>5523</v>
      </c>
      <c r="E26" s="3783" t="s">
        <v>1608</v>
      </c>
      <c r="F26" s="3784" t="s">
        <v>1810</v>
      </c>
      <c r="G26" s="3785">
        <f>J9</f>
        <v>116566100</v>
      </c>
      <c r="H26" s="3785">
        <f>J12</f>
        <v>332720484</v>
      </c>
      <c r="I26" s="3788" t="s">
        <v>1609</v>
      </c>
      <c r="J26" s="3632"/>
    </row>
    <row r="27" spans="1:19" x14ac:dyDescent="0.2">
      <c r="B27" s="3680"/>
      <c r="C27" s="3680"/>
      <c r="D27" s="3680"/>
      <c r="E27" s="3680"/>
      <c r="F27" s="3680"/>
      <c r="G27" s="3680"/>
      <c r="H27" s="3680"/>
      <c r="I27" s="3680"/>
      <c r="J27" s="3632"/>
      <c r="M27" s="3633">
        <f>SUM(D26-C26)/C26</f>
        <v>1.1864608076009502</v>
      </c>
    </row>
    <row r="28" spans="1:19" x14ac:dyDescent="0.2">
      <c r="B28" s="3680"/>
      <c r="C28" s="3680"/>
      <c r="D28" s="3680"/>
      <c r="E28" s="3680"/>
      <c r="F28" s="3680"/>
      <c r="G28" s="3680"/>
      <c r="H28" s="3680"/>
      <c r="I28" s="3680"/>
      <c r="J28" s="3632"/>
    </row>
    <row r="29" spans="1:19" x14ac:dyDescent="0.2">
      <c r="B29" s="3680"/>
      <c r="C29" s="3680"/>
      <c r="D29" s="3680"/>
      <c r="E29" s="3680"/>
      <c r="F29" s="3680"/>
      <c r="G29" s="3680"/>
      <c r="H29" s="3680"/>
      <c r="I29" s="3680"/>
      <c r="J29" s="3632"/>
      <c r="M29" s="3633">
        <f>SUM(H26-G26)/G26</f>
        <v>1.8543503128267995</v>
      </c>
    </row>
    <row r="30" spans="1:19" x14ac:dyDescent="0.2">
      <c r="B30" s="3680"/>
      <c r="C30" s="3680"/>
      <c r="D30" s="3680"/>
      <c r="E30" s="3680"/>
      <c r="F30" s="3680"/>
      <c r="G30" s="3680"/>
      <c r="H30" s="3680"/>
      <c r="I30" s="3680"/>
      <c r="J30" s="3632"/>
    </row>
    <row r="31" spans="1:19" x14ac:dyDescent="0.2">
      <c r="B31" s="3680"/>
      <c r="C31" s="3680"/>
      <c r="D31" s="3680"/>
      <c r="E31" s="3680"/>
      <c r="F31" s="3680"/>
      <c r="G31" s="3680"/>
      <c r="H31" s="3680"/>
      <c r="I31" s="3680"/>
      <c r="J31" s="3632"/>
      <c r="N31" s="3633"/>
      <c r="O31" s="3633"/>
      <c r="P31" s="3633"/>
    </row>
    <row r="32" spans="1:19" x14ac:dyDescent="0.2">
      <c r="B32" s="3680"/>
      <c r="C32" s="3680"/>
      <c r="D32" s="3680"/>
      <c r="E32" s="3680"/>
      <c r="F32" s="3680"/>
      <c r="G32" s="3680"/>
      <c r="H32" s="3680"/>
      <c r="I32" s="3680"/>
      <c r="J32" s="3632"/>
    </row>
    <row r="33" spans="2:13" x14ac:dyDescent="0.2">
      <c r="B33" s="3680"/>
      <c r="C33" s="3680"/>
      <c r="D33" s="3680"/>
      <c r="E33" s="3680"/>
      <c r="F33" s="3680"/>
      <c r="G33" s="3680"/>
      <c r="H33" s="3680"/>
      <c r="I33" s="3680"/>
      <c r="J33" s="3632"/>
    </row>
    <row r="34" spans="2:13" x14ac:dyDescent="0.2">
      <c r="B34" s="3680"/>
      <c r="C34" s="3680"/>
      <c r="D34" s="3680"/>
      <c r="E34" s="3680"/>
      <c r="F34" s="3680"/>
      <c r="G34" s="3680"/>
      <c r="H34" s="3680"/>
      <c r="I34" s="3680"/>
      <c r="J34" s="3632"/>
    </row>
    <row r="35" spans="2:13" x14ac:dyDescent="0.2">
      <c r="B35" s="3680"/>
      <c r="C35" s="3680"/>
      <c r="D35" s="3680"/>
      <c r="E35" s="3680"/>
      <c r="F35" s="3680"/>
      <c r="G35" s="3680"/>
      <c r="H35" s="3680"/>
      <c r="I35" s="3680"/>
      <c r="J35" s="3632"/>
    </row>
    <row r="36" spans="2:13" x14ac:dyDescent="0.2">
      <c r="B36" s="3680"/>
      <c r="C36" s="3680"/>
      <c r="D36" s="3680"/>
      <c r="E36" s="3680"/>
      <c r="F36" s="3680"/>
      <c r="G36" s="3680"/>
      <c r="H36" s="3680"/>
      <c r="I36" s="3680"/>
      <c r="J36" s="3632"/>
    </row>
    <row r="37" spans="2:13" x14ac:dyDescent="0.2">
      <c r="B37" s="3680"/>
      <c r="C37" s="3680"/>
      <c r="D37" s="3680"/>
      <c r="E37" s="3680"/>
      <c r="F37" s="3680"/>
      <c r="G37" s="3680"/>
      <c r="H37" s="3680"/>
      <c r="I37" s="3680"/>
      <c r="J37" s="3632"/>
    </row>
    <row r="38" spans="2:13" x14ac:dyDescent="0.2">
      <c r="B38" s="3680"/>
      <c r="C38" s="3680"/>
      <c r="D38" s="3680"/>
      <c r="E38" s="3680"/>
      <c r="F38" s="3680"/>
      <c r="G38" s="3680"/>
      <c r="H38" s="3680"/>
      <c r="I38" s="3680"/>
      <c r="J38" s="3632"/>
    </row>
    <row r="39" spans="2:13" x14ac:dyDescent="0.2">
      <c r="B39" s="3680"/>
      <c r="C39" s="3680"/>
      <c r="D39" s="3680"/>
      <c r="E39" s="3680"/>
      <c r="F39" s="3680"/>
      <c r="G39" s="3680"/>
      <c r="H39" s="3786" t="s">
        <v>1610</v>
      </c>
      <c r="I39" s="3680"/>
      <c r="J39" s="3632"/>
    </row>
    <row r="40" spans="2:13" x14ac:dyDescent="0.2">
      <c r="B40" s="3680"/>
      <c r="C40" s="3680"/>
      <c r="D40" s="3680"/>
      <c r="E40" s="3680"/>
      <c r="F40" s="3680"/>
      <c r="G40" s="3680"/>
      <c r="H40" s="3680"/>
      <c r="I40" s="3680"/>
      <c r="J40" s="3632"/>
    </row>
    <row r="41" spans="2:13" x14ac:dyDescent="0.2">
      <c r="B41" s="3680"/>
      <c r="C41" s="3680"/>
      <c r="D41" s="3680"/>
      <c r="E41" s="3680"/>
      <c r="F41" s="3680"/>
      <c r="G41" s="3680"/>
      <c r="H41" s="3680"/>
      <c r="I41" s="3680"/>
      <c r="J41" s="3632"/>
    </row>
    <row r="42" spans="2:13" x14ac:dyDescent="0.2">
      <c r="B42" s="3680"/>
      <c r="C42" s="3680"/>
      <c r="D42" s="3680"/>
      <c r="E42" s="3680"/>
      <c r="F42" s="3680"/>
      <c r="G42" s="3680"/>
      <c r="H42" s="3680"/>
      <c r="I42" s="3680"/>
      <c r="J42" s="3632"/>
    </row>
    <row r="43" spans="2:13" ht="15.75" x14ac:dyDescent="0.25">
      <c r="B43" s="3680"/>
      <c r="C43" s="3680"/>
      <c r="D43" s="4181" t="s">
        <v>1691</v>
      </c>
      <c r="E43" s="4181"/>
      <c r="F43" s="4181"/>
      <c r="G43" s="4181"/>
      <c r="H43" s="3680"/>
      <c r="I43" s="3680"/>
      <c r="J43" s="3632"/>
    </row>
    <row r="44" spans="2:13" x14ac:dyDescent="0.2">
      <c r="B44" s="3680"/>
      <c r="C44" s="3680"/>
      <c r="D44" s="3680"/>
      <c r="E44" s="3974" t="s">
        <v>1606</v>
      </c>
      <c r="F44" s="3974" t="s">
        <v>1607</v>
      </c>
      <c r="G44" s="3782">
        <f>(J13-L10)/J10</f>
        <v>0.15399540224087474</v>
      </c>
      <c r="H44" s="3680"/>
      <c r="I44" s="3680"/>
      <c r="J44" s="3632"/>
    </row>
    <row r="45" spans="2:13" x14ac:dyDescent="0.2">
      <c r="B45" s="3680"/>
      <c r="C45" s="3680"/>
      <c r="D45" s="3784" t="s">
        <v>1810</v>
      </c>
      <c r="E45" s="3787">
        <f>J10</f>
        <v>580186114</v>
      </c>
      <c r="F45" s="3787">
        <f>J13</f>
        <v>771631552</v>
      </c>
      <c r="G45" s="3788" t="s">
        <v>1611</v>
      </c>
      <c r="H45" s="3680"/>
      <c r="I45" s="3680"/>
      <c r="J45" s="3632"/>
      <c r="M45" s="3633">
        <f>SUM(F45-E45)/E45</f>
        <v>0.32997245776895651</v>
      </c>
    </row>
    <row r="46" spans="2:13" x14ac:dyDescent="0.2">
      <c r="B46" s="3680"/>
      <c r="C46" s="3680"/>
      <c r="D46" s="3680"/>
      <c r="E46" s="3680"/>
      <c r="F46" s="3680"/>
      <c r="G46" s="3680"/>
      <c r="H46" s="3680"/>
      <c r="I46" s="3680"/>
      <c r="J46" s="3632"/>
    </row>
    <row r="47" spans="2:13" x14ac:dyDescent="0.2">
      <c r="B47" s="3680"/>
      <c r="C47" s="3680"/>
      <c r="D47" s="3680"/>
      <c r="E47" s="3680"/>
      <c r="F47" s="3680"/>
      <c r="G47" s="3680"/>
      <c r="H47" s="3680"/>
      <c r="I47" s="3680"/>
      <c r="J47" s="3632"/>
    </row>
    <row r="48" spans="2:13" x14ac:dyDescent="0.2">
      <c r="B48" s="3680"/>
      <c r="C48" s="3680"/>
      <c r="D48" s="3680"/>
      <c r="E48" s="3680"/>
      <c r="F48" s="3680"/>
      <c r="G48" s="3680"/>
      <c r="H48" s="3680"/>
      <c r="I48" s="3680"/>
      <c r="J48" s="3632"/>
    </row>
    <row r="49" spans="2:13" x14ac:dyDescent="0.2">
      <c r="B49" s="3680"/>
      <c r="C49" s="3680"/>
      <c r="D49" s="3680"/>
      <c r="E49" s="3680"/>
      <c r="F49" s="3680"/>
      <c r="G49" s="3680"/>
      <c r="H49" s="3680"/>
      <c r="I49" s="3680"/>
      <c r="J49" s="3632"/>
    </row>
    <row r="50" spans="2:13" x14ac:dyDescent="0.2">
      <c r="B50" s="3680"/>
      <c r="C50" s="3680"/>
      <c r="D50" s="3680"/>
      <c r="E50" s="3680"/>
      <c r="F50" s="3680"/>
      <c r="G50" s="3680"/>
      <c r="H50" s="3680"/>
      <c r="I50" s="3680"/>
      <c r="J50" s="3632"/>
    </row>
    <row r="51" spans="2:13" x14ac:dyDescent="0.2">
      <c r="B51" s="3680"/>
      <c r="C51" s="3680"/>
      <c r="D51" s="3680"/>
      <c r="E51" s="3680"/>
      <c r="F51" s="3680"/>
      <c r="G51" s="3680"/>
      <c r="H51" s="3680"/>
      <c r="I51" s="3680"/>
      <c r="J51" s="3632"/>
    </row>
    <row r="52" spans="2:13" x14ac:dyDescent="0.2">
      <c r="B52" s="3680"/>
      <c r="C52" s="3680"/>
      <c r="D52" s="3680"/>
      <c r="E52" s="3680"/>
      <c r="F52" s="3680"/>
      <c r="G52" s="3680"/>
      <c r="H52" s="3680"/>
      <c r="I52" s="3680"/>
      <c r="J52" s="3632"/>
    </row>
    <row r="53" spans="2:13" x14ac:dyDescent="0.2">
      <c r="B53" s="3680"/>
      <c r="C53" s="3680"/>
      <c r="D53" s="3680"/>
      <c r="E53" s="3680"/>
      <c r="F53" s="3680"/>
      <c r="G53" s="3680"/>
      <c r="H53" s="3680"/>
      <c r="I53" s="3680"/>
      <c r="J53" s="3632"/>
    </row>
    <row r="54" spans="2:13" x14ac:dyDescent="0.2">
      <c r="B54" s="3680"/>
      <c r="C54" s="3680"/>
      <c r="D54" s="3680"/>
      <c r="E54" s="3680"/>
      <c r="F54" s="3680"/>
      <c r="G54" s="3680"/>
      <c r="H54" s="3680"/>
      <c r="I54" s="3680"/>
      <c r="J54" s="3632"/>
    </row>
    <row r="55" spans="2:13" x14ac:dyDescent="0.2">
      <c r="B55" s="3680"/>
      <c r="C55" s="3680"/>
      <c r="D55" s="3680"/>
      <c r="E55" s="3680"/>
      <c r="F55" s="3680"/>
      <c r="G55" s="3680"/>
      <c r="H55" s="3680"/>
      <c r="I55" s="3680"/>
      <c r="J55" s="3632"/>
    </row>
    <row r="56" spans="2:13" x14ac:dyDescent="0.2">
      <c r="B56" s="3680"/>
      <c r="C56" s="3680"/>
      <c r="D56" s="3680"/>
      <c r="E56" s="3680"/>
      <c r="F56" s="3680"/>
      <c r="G56" s="3680"/>
      <c r="H56" s="3680"/>
      <c r="I56" s="3680"/>
      <c r="J56" s="3632"/>
    </row>
    <row r="57" spans="2:13" x14ac:dyDescent="0.2">
      <c r="B57" s="3680"/>
      <c r="C57" s="3680"/>
      <c r="D57" s="3680"/>
      <c r="E57" s="3680"/>
      <c r="F57" s="3680"/>
      <c r="G57" s="3680"/>
      <c r="H57" s="3680"/>
      <c r="I57" s="3680"/>
      <c r="J57" s="3632"/>
    </row>
    <row r="58" spans="2:13" x14ac:dyDescent="0.2">
      <c r="B58" s="3680"/>
      <c r="C58" s="3680"/>
      <c r="D58" s="3680"/>
      <c r="E58" s="3680"/>
      <c r="F58" s="3680"/>
      <c r="G58" s="3680"/>
      <c r="H58" s="3680"/>
      <c r="I58" s="3680"/>
      <c r="J58" s="3632"/>
    </row>
    <row r="59" spans="2:13" ht="15.75" x14ac:dyDescent="0.25">
      <c r="B59" s="4181" t="s">
        <v>1692</v>
      </c>
      <c r="C59" s="4181"/>
      <c r="D59" s="4181"/>
      <c r="E59" s="4181"/>
      <c r="F59" s="4181" t="s">
        <v>1693</v>
      </c>
      <c r="G59" s="4181"/>
      <c r="H59" s="4181"/>
      <c r="I59" s="4181"/>
      <c r="J59" s="3632"/>
    </row>
    <row r="60" spans="2:13" x14ac:dyDescent="0.2">
      <c r="B60" s="3680"/>
      <c r="C60" s="3974" t="s">
        <v>1606</v>
      </c>
      <c r="D60" s="3974" t="s">
        <v>1607</v>
      </c>
      <c r="E60" s="4038">
        <f>-(J18-J17)/J17</f>
        <v>5.6933763293757107E-2</v>
      </c>
      <c r="F60" s="3680"/>
      <c r="G60" s="3974" t="s">
        <v>1606</v>
      </c>
      <c r="H60" s="3974" t="s">
        <v>1607</v>
      </c>
      <c r="I60" s="3782">
        <f>(I4-I3)/I3</f>
        <v>0.24560264627602416</v>
      </c>
      <c r="J60" s="3632"/>
      <c r="M60" s="3633">
        <f>SUM(H61-G61)/G61</f>
        <v>0.38564168358189488</v>
      </c>
    </row>
    <row r="61" spans="2:13" x14ac:dyDescent="0.2">
      <c r="B61" s="3784" t="s">
        <v>1810</v>
      </c>
      <c r="C61" s="3785">
        <f>J17</f>
        <v>19993786.508416075</v>
      </c>
      <c r="D61" s="3785">
        <f>J18</f>
        <v>18855465</v>
      </c>
      <c r="E61" s="3974" t="s">
        <v>1811</v>
      </c>
      <c r="F61" s="3784" t="s">
        <v>1810</v>
      </c>
      <c r="G61" s="3787">
        <f>J3</f>
        <v>25031054.861413661</v>
      </c>
      <c r="H61" s="3787">
        <f>J4</f>
        <v>34684073</v>
      </c>
      <c r="I61" s="3788" t="s">
        <v>1612</v>
      </c>
      <c r="J61" s="3632"/>
    </row>
    <row r="62" spans="2:13" x14ac:dyDescent="0.2">
      <c r="B62" s="3680"/>
      <c r="C62" s="3680"/>
      <c r="D62" s="3680"/>
      <c r="E62" s="3680"/>
      <c r="F62" s="3680"/>
      <c r="G62" s="3789"/>
      <c r="H62" s="3680"/>
      <c r="I62" s="3680"/>
      <c r="J62" s="3632"/>
    </row>
    <row r="63" spans="2:13" x14ac:dyDescent="0.2">
      <c r="B63" s="3680"/>
      <c r="C63" s="3680"/>
      <c r="D63" s="3680"/>
      <c r="E63" s="3680"/>
      <c r="F63" s="3680"/>
      <c r="G63" s="3974"/>
      <c r="H63" s="3974"/>
      <c r="I63" s="3680"/>
      <c r="J63" s="3632"/>
    </row>
    <row r="64" spans="2:13" x14ac:dyDescent="0.2">
      <c r="B64" s="3680"/>
      <c r="C64" s="3680"/>
      <c r="D64" s="3680"/>
      <c r="E64" s="3680"/>
      <c r="F64" s="3680"/>
      <c r="G64" s="3680"/>
      <c r="H64" s="3680"/>
      <c r="I64" s="3680"/>
      <c r="J64" s="3632"/>
    </row>
    <row r="65" spans="2:10" x14ac:dyDescent="0.2">
      <c r="B65" s="3680"/>
      <c r="C65" s="3680"/>
      <c r="D65" s="3680"/>
      <c r="E65" s="3680"/>
      <c r="F65" s="3680"/>
      <c r="G65" s="3680"/>
      <c r="H65" s="3680"/>
      <c r="I65" s="3680"/>
      <c r="J65" s="3632"/>
    </row>
    <row r="66" spans="2:10" x14ac:dyDescent="0.2">
      <c r="B66" s="3680"/>
      <c r="C66" s="3680"/>
      <c r="D66" s="3680"/>
      <c r="E66" s="3680"/>
      <c r="F66" s="3680"/>
      <c r="G66" s="3680"/>
      <c r="H66" s="3680"/>
      <c r="I66" s="3680"/>
      <c r="J66" s="3632"/>
    </row>
    <row r="67" spans="2:10" x14ac:dyDescent="0.2">
      <c r="B67" s="3680"/>
      <c r="C67" s="3680"/>
      <c r="D67" s="3680"/>
      <c r="E67" s="3680"/>
      <c r="F67" s="3680"/>
      <c r="G67" s="3680"/>
      <c r="H67" s="3680"/>
      <c r="I67" s="3680"/>
      <c r="J67" s="3632"/>
    </row>
    <row r="68" spans="2:10" x14ac:dyDescent="0.2">
      <c r="B68" s="3680"/>
      <c r="C68" s="3680"/>
      <c r="D68" s="3680"/>
      <c r="E68" s="3680"/>
      <c r="F68" s="3680"/>
      <c r="G68" s="3680"/>
      <c r="H68" s="3680"/>
      <c r="I68" s="3680"/>
      <c r="J68" s="3632"/>
    </row>
    <row r="69" spans="2:10" x14ac:dyDescent="0.2">
      <c r="B69" s="3680"/>
      <c r="C69" s="3680"/>
      <c r="D69" s="3680"/>
      <c r="E69" s="3680"/>
      <c r="F69" s="3680"/>
      <c r="G69" s="3680"/>
      <c r="H69" s="3680"/>
      <c r="I69" s="3680"/>
      <c r="J69" s="3632"/>
    </row>
    <row r="70" spans="2:10" x14ac:dyDescent="0.2">
      <c r="B70" s="3680"/>
      <c r="C70" s="3680"/>
      <c r="D70" s="3680"/>
      <c r="E70" s="3680"/>
      <c r="F70" s="3680"/>
      <c r="G70" s="3680"/>
      <c r="H70" s="3680"/>
      <c r="I70" s="3680"/>
      <c r="J70" s="3632"/>
    </row>
    <row r="71" spans="2:10" x14ac:dyDescent="0.2">
      <c r="B71" s="3680"/>
      <c r="C71" s="3680"/>
      <c r="D71" s="3680"/>
      <c r="E71" s="3680"/>
      <c r="F71" s="3680"/>
      <c r="G71" s="3680"/>
      <c r="H71" s="3680"/>
      <c r="I71" s="3680"/>
      <c r="J71" s="3632"/>
    </row>
    <row r="72" spans="2:10" x14ac:dyDescent="0.2">
      <c r="B72" s="3680"/>
      <c r="C72" s="3680"/>
      <c r="D72" s="3680"/>
      <c r="E72" s="3680"/>
      <c r="F72" s="3680"/>
      <c r="G72" s="3680"/>
      <c r="H72" s="3680"/>
      <c r="I72" s="3680"/>
      <c r="J72" s="3632"/>
    </row>
    <row r="73" spans="2:10" x14ac:dyDescent="0.2">
      <c r="B73" s="3680"/>
      <c r="C73" s="3680"/>
      <c r="D73" s="3680"/>
      <c r="E73" s="3680"/>
      <c r="F73" s="3680"/>
      <c r="G73" s="3680"/>
      <c r="H73" s="3680"/>
      <c r="I73" s="3680"/>
      <c r="J73" s="3632"/>
    </row>
    <row r="74" spans="2:10" x14ac:dyDescent="0.2">
      <c r="B74" s="3680"/>
      <c r="C74" s="3680"/>
      <c r="D74" s="3680"/>
      <c r="E74" s="3680"/>
      <c r="F74" s="3680"/>
      <c r="G74" s="3680"/>
      <c r="H74" s="3680"/>
      <c r="I74" s="3680"/>
      <c r="J74" s="3632"/>
    </row>
    <row r="75" spans="2:10" x14ac:dyDescent="0.2">
      <c r="B75" s="3680"/>
      <c r="C75" s="3680"/>
      <c r="D75" s="3680"/>
      <c r="E75" s="3680"/>
      <c r="F75" s="3680"/>
      <c r="G75" s="3680"/>
      <c r="H75" s="3680"/>
      <c r="I75" s="3680"/>
      <c r="J75" s="3632"/>
    </row>
    <row r="76" spans="2:10" x14ac:dyDescent="0.2">
      <c r="B76" s="3632"/>
      <c r="C76" s="3632"/>
      <c r="D76" s="3632"/>
      <c r="E76" s="3632"/>
      <c r="F76" s="3632"/>
      <c r="G76" s="3632"/>
      <c r="H76" s="3632"/>
      <c r="I76" s="3632"/>
    </row>
    <row r="77" spans="2:10" x14ac:dyDescent="0.2">
      <c r="B77" s="3632"/>
      <c r="C77" s="3632"/>
      <c r="D77" s="3632"/>
      <c r="E77" s="3632"/>
      <c r="F77" s="3632"/>
      <c r="G77" s="3632"/>
      <c r="H77" s="3632"/>
      <c r="I77" s="3632"/>
    </row>
    <row r="78" spans="2:10" x14ac:dyDescent="0.2">
      <c r="B78" s="3632"/>
      <c r="C78" s="3632"/>
      <c r="D78" s="3632"/>
      <c r="E78" s="3632"/>
      <c r="F78" s="3632"/>
      <c r="G78" s="3632"/>
      <c r="H78" s="3632"/>
      <c r="I78" s="3632"/>
    </row>
    <row r="79" spans="2:10" x14ac:dyDescent="0.2">
      <c r="B79" s="3632"/>
      <c r="C79" s="3632"/>
      <c r="D79" s="3632"/>
      <c r="E79" s="3632"/>
      <c r="F79" s="3632"/>
      <c r="G79" s="3632"/>
      <c r="H79" s="3632"/>
      <c r="I79" s="3632"/>
    </row>
    <row r="80" spans="2:10" ht="13.5" thickBot="1" x14ac:dyDescent="0.25"/>
    <row r="81" spans="2:10" ht="25.15" customHeight="1" x14ac:dyDescent="0.2">
      <c r="B81" s="4175" t="s">
        <v>1613</v>
      </c>
      <c r="C81" s="4176"/>
      <c r="D81" s="4176"/>
      <c r="E81" s="4176"/>
      <c r="F81" s="4176"/>
      <c r="G81" s="4176"/>
      <c r="H81" s="4176"/>
      <c r="I81" s="4177"/>
      <c r="J81" s="3766"/>
    </row>
    <row r="82" spans="2:10" ht="16.5" thickBot="1" x14ac:dyDescent="0.3">
      <c r="B82" s="4178" t="s">
        <v>1614</v>
      </c>
      <c r="C82" s="4179"/>
      <c r="D82" s="4179"/>
      <c r="E82" s="4179"/>
      <c r="F82" s="4179"/>
      <c r="G82" s="4179"/>
      <c r="H82" s="4179"/>
      <c r="I82" s="4180"/>
      <c r="J82" s="3767"/>
    </row>
    <row r="83" spans="2:10" ht="13.5" thickBot="1" x14ac:dyDescent="0.25"/>
    <row r="84" spans="2:10" ht="28.9" customHeight="1" x14ac:dyDescent="0.3">
      <c r="B84" s="4175" t="s">
        <v>1813</v>
      </c>
      <c r="C84" s="4176"/>
      <c r="D84" s="4176"/>
      <c r="E84" s="4176"/>
      <c r="F84" s="4176"/>
      <c r="G84" s="4176"/>
      <c r="H84" s="4176"/>
      <c r="I84" s="4177"/>
      <c r="J84" s="3768"/>
    </row>
    <row r="85" spans="2:10" ht="17.45" customHeight="1" thickBot="1" x14ac:dyDescent="0.3">
      <c r="B85" s="4178" t="s">
        <v>1812</v>
      </c>
      <c r="C85" s="4179"/>
      <c r="D85" s="4179"/>
      <c r="E85" s="4179"/>
      <c r="F85" s="4179"/>
      <c r="G85" s="4179"/>
      <c r="H85" s="4179"/>
      <c r="I85" s="4180"/>
      <c r="J85" s="3767"/>
    </row>
  </sheetData>
  <mergeCells count="11">
    <mergeCell ref="B85:I85"/>
    <mergeCell ref="B24:E24"/>
    <mergeCell ref="F24:I24"/>
    <mergeCell ref="D43:G43"/>
    <mergeCell ref="B59:E59"/>
    <mergeCell ref="F59:I59"/>
    <mergeCell ref="B21:I21"/>
    <mergeCell ref="B22:I22"/>
    <mergeCell ref="B81:I81"/>
    <mergeCell ref="B82:I82"/>
    <mergeCell ref="B84:I84"/>
  </mergeCells>
  <printOptions horizontalCentered="1"/>
  <pageMargins left="0.7" right="0.7" top="0.75" bottom="0.75" header="0.3" footer="0.3"/>
  <pageSetup scale="73" orientation="portrait" r:id="rId1"/>
  <headerFooter>
    <oddFooter>&amp;R&amp;K04+000VERMONT ECONOMIC PROGRESS COUNCIL&amp;K000000 | August 24, 2015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AA162"/>
  <sheetViews>
    <sheetView workbookViewId="0">
      <selection sqref="A1:Q1"/>
    </sheetView>
  </sheetViews>
  <sheetFormatPr defaultColWidth="9.140625" defaultRowHeight="12.75" x14ac:dyDescent="0.2"/>
  <cols>
    <col min="1" max="1" width="50.28515625" style="3050" customWidth="1"/>
    <col min="2" max="3" width="19.140625" style="3050" bestFit="1" customWidth="1"/>
    <col min="4" max="4" width="16.28515625" style="3050" bestFit="1" customWidth="1"/>
    <col min="5" max="6" width="17.5703125" style="3050" bestFit="1" customWidth="1"/>
    <col min="7" max="7" width="16.85546875" style="3050" bestFit="1" customWidth="1"/>
    <col min="8" max="8" width="18" style="3050" customWidth="1"/>
    <col min="9" max="11" width="14.28515625" style="3050" bestFit="1" customWidth="1"/>
    <col min="12" max="13" width="12.28515625" style="3050" bestFit="1" customWidth="1"/>
    <col min="14" max="19" width="11.42578125" style="3050" customWidth="1"/>
    <col min="20" max="20" width="15.7109375" style="3050" customWidth="1"/>
    <col min="21" max="21" width="15.28515625" style="3050" customWidth="1"/>
    <col min="22" max="22" width="18.42578125" style="3050" customWidth="1"/>
    <col min="23" max="23" width="18.85546875" style="3050" customWidth="1"/>
    <col min="24" max="24" width="20.140625" style="3050" bestFit="1" customWidth="1"/>
    <col min="25" max="25" width="18.85546875" style="3050" bestFit="1" customWidth="1"/>
    <col min="26" max="26" width="16.85546875" style="3050" bestFit="1" customWidth="1"/>
    <col min="27" max="27" width="19" style="3050" bestFit="1" customWidth="1"/>
    <col min="28" max="16384" width="9.140625" style="3050"/>
  </cols>
  <sheetData>
    <row r="1" spans="1:27" ht="24.95" customHeight="1" x14ac:dyDescent="0.2">
      <c r="A1" s="4113" t="s">
        <v>1506</v>
      </c>
      <c r="B1" s="4114"/>
      <c r="C1" s="4114"/>
      <c r="D1" s="4114"/>
      <c r="E1" s="4114"/>
      <c r="F1" s="4114"/>
      <c r="G1" s="4114"/>
      <c r="H1" s="4114"/>
      <c r="I1" s="4114"/>
      <c r="J1" s="4114"/>
      <c r="K1" s="4114"/>
      <c r="L1" s="4114"/>
      <c r="M1" s="4114"/>
      <c r="N1" s="4114"/>
      <c r="O1" s="4114"/>
      <c r="P1" s="4114"/>
      <c r="Q1" s="4114"/>
      <c r="R1" s="3288"/>
      <c r="S1" s="3288"/>
    </row>
    <row r="2" spans="1:27" ht="24.95" customHeight="1" thickBot="1" x14ac:dyDescent="0.25">
      <c r="A2" s="4126" t="s">
        <v>1539</v>
      </c>
      <c r="B2" s="4127"/>
      <c r="C2" s="4127"/>
      <c r="D2" s="4127"/>
      <c r="E2" s="4127"/>
      <c r="F2" s="4127"/>
      <c r="G2" s="4127"/>
      <c r="H2" s="4127"/>
      <c r="I2" s="4127"/>
      <c r="J2" s="4127"/>
      <c r="K2" s="4127"/>
      <c r="L2" s="4127"/>
      <c r="M2" s="4127"/>
      <c r="N2" s="4127"/>
      <c r="O2" s="4127"/>
      <c r="P2" s="4127"/>
      <c r="Q2" s="4127"/>
      <c r="R2" s="3303"/>
      <c r="S2" s="3303"/>
    </row>
    <row r="3" spans="1:27" s="3052" customFormat="1" ht="24.95" customHeight="1" thickBot="1" x14ac:dyDescent="0.25">
      <c r="A3" s="3232" t="s">
        <v>1332</v>
      </c>
      <c r="B3" s="3233">
        <v>2007</v>
      </c>
      <c r="C3" s="3233">
        <v>2008</v>
      </c>
      <c r="D3" s="3233">
        <v>2009</v>
      </c>
      <c r="E3" s="3233">
        <v>2010</v>
      </c>
      <c r="F3" s="3233">
        <v>2011</v>
      </c>
      <c r="G3" s="3233">
        <v>2012</v>
      </c>
      <c r="H3" s="3233">
        <v>2013</v>
      </c>
      <c r="I3" s="3233">
        <v>2014</v>
      </c>
      <c r="J3" s="3233">
        <v>2015</v>
      </c>
      <c r="K3" s="3233">
        <v>2016</v>
      </c>
      <c r="L3" s="3233">
        <v>2017</v>
      </c>
      <c r="M3" s="3233">
        <v>2018</v>
      </c>
      <c r="N3" s="3233">
        <v>2019</v>
      </c>
      <c r="O3" s="3234">
        <v>2020</v>
      </c>
      <c r="P3" s="3234">
        <v>2021</v>
      </c>
      <c r="Q3" s="3234">
        <v>2022</v>
      </c>
      <c r="R3" s="3353">
        <v>2023</v>
      </c>
      <c r="S3" s="3304"/>
      <c r="T3" s="3051">
        <v>2007</v>
      </c>
      <c r="U3" s="3051">
        <v>2008</v>
      </c>
      <c r="V3" s="3051">
        <v>2009</v>
      </c>
      <c r="W3" s="3051">
        <v>2010</v>
      </c>
      <c r="X3" s="3051">
        <v>2011</v>
      </c>
      <c r="Y3" s="3051">
        <v>2012</v>
      </c>
      <c r="Z3" s="3051">
        <v>2013</v>
      </c>
      <c r="AA3" s="3051" t="s">
        <v>69</v>
      </c>
    </row>
    <row r="4" spans="1:27" s="3052" customFormat="1" ht="24.95" customHeight="1" thickBot="1" x14ac:dyDescent="0.25">
      <c r="A4" s="3470"/>
      <c r="B4" s="3471"/>
      <c r="C4" s="3471"/>
      <c r="D4" s="3471"/>
      <c r="E4" s="3471"/>
      <c r="F4" s="3471"/>
      <c r="G4" s="3471"/>
      <c r="H4" s="3471"/>
      <c r="I4" s="3471"/>
      <c r="J4" s="3471"/>
      <c r="K4" s="3471"/>
      <c r="L4" s="3471"/>
      <c r="M4" s="3471"/>
      <c r="N4" s="3471"/>
      <c r="O4" s="3471"/>
      <c r="P4" s="3471"/>
      <c r="Q4" s="3471"/>
      <c r="R4" s="3471"/>
      <c r="S4" s="3304"/>
      <c r="T4" s="3051"/>
      <c r="U4" s="3051"/>
      <c r="V4" s="3051"/>
      <c r="W4" s="3051"/>
      <c r="X4" s="3051"/>
      <c r="Y4" s="3051"/>
      <c r="Z4" s="3051"/>
      <c r="AA4" s="3051"/>
    </row>
    <row r="5" spans="1:27" ht="24.95" customHeight="1" thickBot="1" x14ac:dyDescent="0.25">
      <c r="A5" s="4186" t="s">
        <v>1333</v>
      </c>
      <c r="B5" s="4187"/>
      <c r="C5" s="4187"/>
      <c r="D5" s="4187"/>
      <c r="E5" s="4187"/>
      <c r="F5" s="4187"/>
      <c r="G5" s="4187"/>
      <c r="H5" s="4187"/>
      <c r="I5" s="4187"/>
      <c r="J5" s="4187"/>
      <c r="K5" s="4187"/>
      <c r="L5" s="3446"/>
      <c r="M5" s="3440"/>
      <c r="N5" s="3440"/>
      <c r="O5" s="3440"/>
      <c r="P5" s="3440"/>
      <c r="Q5" s="3441"/>
      <c r="R5" s="3442"/>
      <c r="S5" s="3305"/>
    </row>
    <row r="6" spans="1:27" ht="24.95" customHeight="1" thickBot="1" x14ac:dyDescent="0.25">
      <c r="A6" s="3241" t="s">
        <v>1332</v>
      </c>
      <c r="B6" s="3242">
        <v>1</v>
      </c>
      <c r="C6" s="3242">
        <v>2</v>
      </c>
      <c r="D6" s="3242">
        <v>3</v>
      </c>
      <c r="E6" s="3242">
        <v>4</v>
      </c>
      <c r="F6" s="3242">
        <v>5</v>
      </c>
      <c r="G6" s="3242">
        <v>6</v>
      </c>
      <c r="H6" s="3242">
        <v>7</v>
      </c>
      <c r="I6" s="3242">
        <v>8</v>
      </c>
      <c r="J6" s="3242">
        <v>9</v>
      </c>
      <c r="K6" s="3242">
        <v>10</v>
      </c>
      <c r="L6" s="3443"/>
      <c r="M6" s="3445"/>
      <c r="N6" s="3445"/>
      <c r="O6" s="3445"/>
      <c r="P6" s="3445"/>
      <c r="Q6" s="3445"/>
      <c r="R6" s="3444"/>
      <c r="S6" s="3306"/>
    </row>
    <row r="7" spans="1:27" s="3053" customFormat="1" ht="24.95" customHeight="1" thickBot="1" x14ac:dyDescent="0.25">
      <c r="A7" s="4188" t="s">
        <v>1234</v>
      </c>
      <c r="B7" s="4189"/>
      <c r="C7" s="4189"/>
      <c r="D7" s="4189"/>
      <c r="E7" s="4189"/>
      <c r="F7" s="4189"/>
      <c r="G7" s="4189"/>
      <c r="H7" s="4189"/>
      <c r="I7" s="4189"/>
      <c r="J7" s="4189"/>
      <c r="K7" s="4189"/>
      <c r="L7" s="3447"/>
      <c r="M7" s="3447"/>
      <c r="N7" s="3447"/>
      <c r="O7" s="3447"/>
      <c r="P7" s="3447"/>
      <c r="Q7" s="3423"/>
      <c r="R7" s="3424"/>
      <c r="S7" s="3307"/>
    </row>
    <row r="8" spans="1:27" s="3053" customFormat="1" ht="24.95" customHeight="1" x14ac:dyDescent="0.2">
      <c r="A8" s="3254" t="s">
        <v>1235</v>
      </c>
      <c r="B8" s="3278">
        <v>7</v>
      </c>
      <c r="C8" s="3278">
        <v>7</v>
      </c>
      <c r="D8" s="3278">
        <v>6</v>
      </c>
      <c r="E8" s="3278">
        <v>3</v>
      </c>
      <c r="F8" s="3278">
        <v>2</v>
      </c>
      <c r="G8" s="3278">
        <v>1</v>
      </c>
      <c r="H8" s="3066">
        <v>1</v>
      </c>
      <c r="I8" s="3066"/>
      <c r="J8" s="3066"/>
      <c r="K8" s="3348"/>
      <c r="L8" s="3054"/>
      <c r="M8" s="3054"/>
      <c r="N8" s="3054"/>
      <c r="O8" s="3054"/>
      <c r="P8" s="3054"/>
      <c r="Q8" s="3054"/>
      <c r="R8" s="3448"/>
      <c r="S8" s="3197"/>
      <c r="T8" s="3058">
        <f>B8</f>
        <v>7</v>
      </c>
      <c r="U8" s="3058">
        <f>C8+C29</f>
        <v>14</v>
      </c>
      <c r="V8" s="3058">
        <f>D8+D29+D54</f>
        <v>22</v>
      </c>
      <c r="W8" s="3058">
        <f>SUM(E8+E29+E54+E75)</f>
        <v>29</v>
      </c>
      <c r="X8" s="3059">
        <f>SUM(F8+F29+F54+F75+F100)</f>
        <v>34</v>
      </c>
      <c r="Y8" s="3059">
        <f>SUM(G8+G29+G54+G75+G100+G121)</f>
        <v>32</v>
      </c>
      <c r="AA8" s="3059">
        <f>SUM(T8:Y8)</f>
        <v>138</v>
      </c>
    </row>
    <row r="9" spans="1:27" s="3053" customFormat="1" ht="24.95" customHeight="1" x14ac:dyDescent="0.2">
      <c r="A9" s="3255" t="s">
        <v>1369</v>
      </c>
      <c r="B9" s="3279">
        <v>7</v>
      </c>
      <c r="C9" s="3279">
        <v>6</v>
      </c>
      <c r="D9" s="3279">
        <v>3</v>
      </c>
      <c r="E9" s="3279">
        <v>2</v>
      </c>
      <c r="F9" s="3279">
        <v>2</v>
      </c>
      <c r="G9" s="3279">
        <v>1</v>
      </c>
      <c r="H9" s="3056">
        <v>1</v>
      </c>
      <c r="I9" s="3056"/>
      <c r="J9" s="3056"/>
      <c r="K9" s="3150"/>
      <c r="L9" s="3056"/>
      <c r="M9" s="3056"/>
      <c r="N9" s="3056"/>
      <c r="O9" s="3056"/>
      <c r="P9" s="3056"/>
      <c r="Q9" s="3056"/>
      <c r="R9" s="3449"/>
      <c r="S9" s="3308"/>
      <c r="T9" s="3058">
        <f>B9</f>
        <v>7</v>
      </c>
      <c r="U9" s="3058">
        <f>C9+C30</f>
        <v>10</v>
      </c>
      <c r="V9" s="3058">
        <f>D9+D30+D55</f>
        <v>18</v>
      </c>
      <c r="W9" s="3058">
        <f>SUM(E9+E31+E55+E76)</f>
        <v>21</v>
      </c>
      <c r="X9" s="3059">
        <f>SUM(F9+F30+F55+F76+F101)</f>
        <v>28</v>
      </c>
      <c r="Y9" s="3059">
        <f>SUM(G9+G30+G55+G76+G101+G122)</f>
        <v>30</v>
      </c>
      <c r="AA9" s="3059">
        <f>SUM(T9:Y9)</f>
        <v>114</v>
      </c>
    </row>
    <row r="10" spans="1:27" s="3053" customFormat="1" ht="24.95" customHeight="1" x14ac:dyDescent="0.2">
      <c r="A10" s="3255" t="s">
        <v>1370</v>
      </c>
      <c r="B10" s="3279">
        <v>0</v>
      </c>
      <c r="C10" s="3279">
        <v>0</v>
      </c>
      <c r="D10" s="3279">
        <v>0</v>
      </c>
      <c r="E10" s="3279">
        <v>0</v>
      </c>
      <c r="F10" s="3279">
        <v>0</v>
      </c>
      <c r="G10" s="3279">
        <v>0</v>
      </c>
      <c r="H10" s="3056">
        <v>0</v>
      </c>
      <c r="I10" s="3056"/>
      <c r="J10" s="3056"/>
      <c r="K10" s="3150"/>
      <c r="L10" s="3056"/>
      <c r="M10" s="3056"/>
      <c r="N10" s="3056"/>
      <c r="O10" s="3056"/>
      <c r="P10" s="3056"/>
      <c r="Q10" s="3056"/>
      <c r="R10" s="3449"/>
      <c r="S10" s="3308"/>
      <c r="T10" s="3058">
        <f>B10</f>
        <v>0</v>
      </c>
      <c r="U10" s="3058">
        <f>C10+C31</f>
        <v>0</v>
      </c>
      <c r="V10" s="3058">
        <f>D10+D31+D56</f>
        <v>0</v>
      </c>
      <c r="W10" s="3058">
        <f>SUM(E10+E32+E56+E77)</f>
        <v>4</v>
      </c>
      <c r="X10" s="3059">
        <f>SUM(F10+F31+F56+F77+F102)</f>
        <v>6</v>
      </c>
      <c r="Y10" s="3059">
        <f>SUM(G10+G31+G56+G77+G102+G123)</f>
        <v>2</v>
      </c>
      <c r="AA10" s="3059">
        <f>SUM(T10:Y10)</f>
        <v>12</v>
      </c>
    </row>
    <row r="11" spans="1:27" s="3053" customFormat="1" ht="24.95" customHeight="1" x14ac:dyDescent="0.2">
      <c r="A11" s="3255" t="s">
        <v>1371</v>
      </c>
      <c r="B11" s="3279">
        <v>4</v>
      </c>
      <c r="C11" s="3279">
        <v>2</v>
      </c>
      <c r="D11" s="3279">
        <v>1</v>
      </c>
      <c r="E11" s="3279">
        <v>1</v>
      </c>
      <c r="F11" s="3279">
        <v>1</v>
      </c>
      <c r="G11" s="3279">
        <v>1</v>
      </c>
      <c r="H11" s="3056">
        <v>1</v>
      </c>
      <c r="I11" s="3056"/>
      <c r="J11" s="3056"/>
      <c r="K11" s="3150"/>
      <c r="L11" s="3056"/>
      <c r="M11" s="3056"/>
      <c r="N11" s="3056"/>
      <c r="O11" s="3056"/>
      <c r="P11" s="3056"/>
      <c r="Q11" s="3056"/>
      <c r="R11" s="3449"/>
      <c r="S11" s="3308"/>
      <c r="T11" s="3058">
        <f>B11</f>
        <v>4</v>
      </c>
      <c r="U11" s="3058">
        <f>C11+C32</f>
        <v>4</v>
      </c>
      <c r="V11" s="3058">
        <f>D11+D32+D57</f>
        <v>12</v>
      </c>
      <c r="W11" s="3058">
        <f>SUM(E11+E33+E57+E78)</f>
        <v>14</v>
      </c>
      <c r="X11" s="3059">
        <f>SUM(F11+F32+F57+F78+F103)</f>
        <v>19</v>
      </c>
      <c r="Y11" s="3059">
        <f>SUM(G11+G32+G57+G78+G103+G124)</f>
        <v>20</v>
      </c>
      <c r="AA11" s="3059">
        <f>SUM(T11:Y11)</f>
        <v>73</v>
      </c>
    </row>
    <row r="12" spans="1:27" s="3053" customFormat="1" ht="24.95" customHeight="1" x14ac:dyDescent="0.2">
      <c r="A12" s="3256" t="s">
        <v>1372</v>
      </c>
      <c r="B12" s="3279">
        <v>3</v>
      </c>
      <c r="C12" s="3279">
        <v>4</v>
      </c>
      <c r="D12" s="3279">
        <v>2</v>
      </c>
      <c r="E12" s="3279">
        <v>1</v>
      </c>
      <c r="F12" s="3279">
        <v>1</v>
      </c>
      <c r="G12" s="3279">
        <v>0</v>
      </c>
      <c r="H12" s="3056">
        <v>0</v>
      </c>
      <c r="I12" s="3056"/>
      <c r="J12" s="3056"/>
      <c r="K12" s="3150"/>
      <c r="L12" s="3056"/>
      <c r="M12" s="3056"/>
      <c r="N12" s="3056"/>
      <c r="O12" s="3056"/>
      <c r="P12" s="3056"/>
      <c r="Q12" s="3056"/>
      <c r="R12" s="3449"/>
      <c r="S12" s="3308"/>
      <c r="T12" s="3058"/>
      <c r="U12" s="3058"/>
      <c r="V12" s="3058"/>
      <c r="W12" s="3058"/>
      <c r="X12" s="3059"/>
      <c r="Y12" s="3059"/>
      <c r="AA12" s="3059"/>
    </row>
    <row r="13" spans="1:27" s="3053" customFormat="1" ht="24.95" customHeight="1" x14ac:dyDescent="0.2">
      <c r="A13" s="3256" t="s">
        <v>1375</v>
      </c>
      <c r="B13" s="3279">
        <v>0</v>
      </c>
      <c r="C13" s="3279">
        <v>1</v>
      </c>
      <c r="D13" s="3279">
        <v>3</v>
      </c>
      <c r="E13" s="3279">
        <v>1</v>
      </c>
      <c r="F13" s="3279">
        <v>1</v>
      </c>
      <c r="G13" s="3279">
        <v>0</v>
      </c>
      <c r="H13" s="3056">
        <v>0</v>
      </c>
      <c r="I13" s="3056"/>
      <c r="J13" s="3056"/>
      <c r="K13" s="3150"/>
      <c r="L13" s="3056"/>
      <c r="M13" s="3056"/>
      <c r="N13" s="3056"/>
      <c r="O13" s="3056"/>
      <c r="P13" s="3056"/>
      <c r="Q13" s="3056"/>
      <c r="R13" s="3449"/>
      <c r="S13" s="3308"/>
      <c r="T13" s="3058">
        <f>B13</f>
        <v>0</v>
      </c>
      <c r="U13" s="3058">
        <f>C13+C34</f>
        <v>4</v>
      </c>
      <c r="V13" s="3058">
        <f>D13+D34+D59</f>
        <v>4</v>
      </c>
      <c r="W13" s="3058">
        <f>E13+E34+E59+E80</f>
        <v>5</v>
      </c>
      <c r="X13" s="3059">
        <f>SUM(F13+F34+F59+F80+F105)</f>
        <v>7</v>
      </c>
      <c r="Y13" s="3059">
        <f>SUM(G13+G34+G59+G80+G105+G126)</f>
        <v>3</v>
      </c>
      <c r="AA13" s="3059">
        <f>SUM(T13:Y13)</f>
        <v>23</v>
      </c>
    </row>
    <row r="14" spans="1:27" s="3053" customFormat="1" ht="24.95" customHeight="1" thickBot="1" x14ac:dyDescent="0.25">
      <c r="A14" s="3256" t="s">
        <v>1335</v>
      </c>
      <c r="B14" s="3280">
        <v>7</v>
      </c>
      <c r="C14" s="3280">
        <v>6</v>
      </c>
      <c r="D14" s="3280" t="s">
        <v>1376</v>
      </c>
      <c r="E14" s="3280" t="s">
        <v>1377</v>
      </c>
      <c r="F14" s="3280" t="s">
        <v>1377</v>
      </c>
      <c r="G14" s="3280" t="s">
        <v>1510</v>
      </c>
      <c r="H14" s="3151" t="s">
        <v>1510</v>
      </c>
      <c r="I14" s="3151"/>
      <c r="J14" s="3151"/>
      <c r="K14" s="3152"/>
      <c r="L14" s="3151"/>
      <c r="M14" s="3151"/>
      <c r="N14" s="3151"/>
      <c r="O14" s="3151"/>
      <c r="P14" s="3151"/>
      <c r="Q14" s="3151"/>
      <c r="R14" s="3450"/>
      <c r="S14" s="3308"/>
      <c r="T14" s="3058">
        <f>B14</f>
        <v>7</v>
      </c>
      <c r="U14" s="3058">
        <f>C14+C35</f>
        <v>10</v>
      </c>
      <c r="V14" s="3154">
        <f>SUM(3+3+12)</f>
        <v>18</v>
      </c>
      <c r="W14" s="3058">
        <f>SUM(2+2+9+10)</f>
        <v>23</v>
      </c>
      <c r="X14" s="3059">
        <f>SUM(2+2+8+8+8)</f>
        <v>28</v>
      </c>
      <c r="Y14" s="3059">
        <f>SUM(1+1)+(G60+G81+G106+G127)</f>
        <v>30</v>
      </c>
      <c r="AA14" s="3059">
        <f>SUM(T14:Y14)</f>
        <v>116</v>
      </c>
    </row>
    <row r="15" spans="1:27" s="3053" customFormat="1" ht="24.95" customHeight="1" thickBot="1" x14ac:dyDescent="0.25">
      <c r="A15" s="4188" t="s">
        <v>1233</v>
      </c>
      <c r="B15" s="4189"/>
      <c r="C15" s="4189"/>
      <c r="D15" s="4189"/>
      <c r="E15" s="4189"/>
      <c r="F15" s="4189"/>
      <c r="G15" s="4189"/>
      <c r="H15" s="4189"/>
      <c r="I15" s="4189"/>
      <c r="J15" s="4189"/>
      <c r="K15" s="4189"/>
      <c r="L15" s="3447"/>
      <c r="M15" s="3447"/>
      <c r="N15" s="3447"/>
      <c r="O15" s="3447"/>
      <c r="P15" s="3447"/>
      <c r="Q15" s="3423"/>
      <c r="R15" s="3424"/>
      <c r="S15" s="3307"/>
      <c r="T15" s="3155"/>
      <c r="U15" s="3058"/>
      <c r="V15" s="3058"/>
      <c r="W15" s="3058"/>
      <c r="X15" s="3059"/>
      <c r="Y15" s="3059"/>
      <c r="AA15" s="3059"/>
    </row>
    <row r="16" spans="1:27" s="3053" customFormat="1" ht="24.95" customHeight="1" x14ac:dyDescent="0.2">
      <c r="A16" s="3258" t="s">
        <v>1231</v>
      </c>
      <c r="B16" s="3173">
        <v>101</v>
      </c>
      <c r="C16" s="3173">
        <v>189</v>
      </c>
      <c r="D16" s="3174">
        <v>22</v>
      </c>
      <c r="E16" s="3174">
        <v>32</v>
      </c>
      <c r="F16" s="3175">
        <v>32</v>
      </c>
      <c r="G16" s="3176"/>
      <c r="H16" s="3177"/>
      <c r="I16" s="3177"/>
      <c r="J16" s="3177"/>
      <c r="K16" s="3451"/>
      <c r="L16" s="3177"/>
      <c r="M16" s="3177"/>
      <c r="N16" s="3177"/>
      <c r="O16" s="3177"/>
      <c r="P16" s="3177"/>
      <c r="Q16" s="3177"/>
      <c r="R16" s="3454"/>
      <c r="S16" s="3197"/>
      <c r="T16" s="3058">
        <f>B16</f>
        <v>101</v>
      </c>
      <c r="U16" s="3058">
        <f>SUM(C16+C37)</f>
        <v>213</v>
      </c>
      <c r="V16" s="3058">
        <f>SUM(D62)</f>
        <v>54</v>
      </c>
      <c r="W16" s="3058">
        <f>SUM(E62+E83)</f>
        <v>219</v>
      </c>
      <c r="X16" s="3059">
        <f>SUM(F62+F83+F108)</f>
        <v>371</v>
      </c>
      <c r="Y16" s="3059">
        <f>G62+G83+G108+G129</f>
        <v>646</v>
      </c>
      <c r="AA16" s="3059">
        <f>SUM(T16:Y16)</f>
        <v>1604</v>
      </c>
    </row>
    <row r="17" spans="1:27" s="3053" customFormat="1" ht="24.95" customHeight="1" x14ac:dyDescent="0.2">
      <c r="A17" s="3259" t="s">
        <v>1232</v>
      </c>
      <c r="B17" s="3179">
        <v>3438000</v>
      </c>
      <c r="C17" s="3179">
        <v>5877000</v>
      </c>
      <c r="D17" s="3180">
        <v>660000</v>
      </c>
      <c r="E17" s="3180">
        <v>864000</v>
      </c>
      <c r="F17" s="3181">
        <v>864000</v>
      </c>
      <c r="G17" s="3182"/>
      <c r="H17" s="3183"/>
      <c r="I17" s="3183"/>
      <c r="J17" s="3183"/>
      <c r="K17" s="3452"/>
      <c r="L17" s="3183"/>
      <c r="M17" s="3183"/>
      <c r="N17" s="3183"/>
      <c r="O17" s="3183"/>
      <c r="P17" s="3183"/>
      <c r="Q17" s="3183"/>
      <c r="R17" s="3455"/>
      <c r="S17" s="3197"/>
      <c r="T17" s="3060">
        <f>B17</f>
        <v>3438000</v>
      </c>
      <c r="U17" s="3156">
        <f>SUM(C17,C38)</f>
        <v>6942837</v>
      </c>
      <c r="V17" s="3060">
        <f>SUM(D17,D38, D63)</f>
        <v>4569800</v>
      </c>
      <c r="W17" s="3060">
        <f>SUM(E63,E84)</f>
        <v>13819180</v>
      </c>
      <c r="X17" s="3063">
        <f>SUM(F63+F84+F109)</f>
        <v>17635036</v>
      </c>
      <c r="Y17" s="3063">
        <f>G63+G84+G109+G130</f>
        <v>30761224</v>
      </c>
      <c r="AA17" s="3063">
        <f>SUM(T17:Y17)</f>
        <v>77166077</v>
      </c>
    </row>
    <row r="18" spans="1:27" s="3053" customFormat="1" ht="24.95" customHeight="1" x14ac:dyDescent="0.2">
      <c r="A18" s="3259" t="s">
        <v>1342</v>
      </c>
      <c r="B18" s="3179">
        <v>13677077</v>
      </c>
      <c r="C18" s="3179">
        <v>11786270</v>
      </c>
      <c r="D18" s="3180">
        <v>5142000</v>
      </c>
      <c r="E18" s="3180">
        <v>2985000</v>
      </c>
      <c r="F18" s="3181">
        <v>385000</v>
      </c>
      <c r="G18" s="3182"/>
      <c r="H18" s="3183"/>
      <c r="I18" s="3183"/>
      <c r="J18" s="3183"/>
      <c r="K18" s="3452"/>
      <c r="L18" s="3183"/>
      <c r="M18" s="3183"/>
      <c r="N18" s="3183"/>
      <c r="O18" s="3183"/>
      <c r="P18" s="3183"/>
      <c r="Q18" s="3183"/>
      <c r="R18" s="3455"/>
      <c r="S18" s="3197"/>
      <c r="T18" s="3060">
        <f>B18</f>
        <v>13677077</v>
      </c>
      <c r="U18" s="3156">
        <f>SUM(C18,C39)</f>
        <v>11786270</v>
      </c>
      <c r="V18" s="3060">
        <f>SUM(D18,D39, D64)</f>
        <v>14646000</v>
      </c>
      <c r="W18" s="3060">
        <f>SUM(E18,E39, E64,E85)</f>
        <v>23756656</v>
      </c>
      <c r="X18" s="3063">
        <f>SUM(F64+F85+F110)</f>
        <v>70719499</v>
      </c>
      <c r="Y18" s="3063">
        <f>G64+G85+G110+G131</f>
        <v>171753840</v>
      </c>
      <c r="AA18" s="3063">
        <f>SUM(T18:Y18)</f>
        <v>306339342</v>
      </c>
    </row>
    <row r="19" spans="1:27" s="3053" customFormat="1" ht="24.95" customHeight="1" thickBot="1" x14ac:dyDescent="0.25">
      <c r="A19" s="3260" t="s">
        <v>1314</v>
      </c>
      <c r="B19" s="3186">
        <v>41237</v>
      </c>
      <c r="C19" s="3186">
        <v>201597</v>
      </c>
      <c r="D19" s="3187">
        <v>357365.58992089058</v>
      </c>
      <c r="E19" s="3187">
        <v>357365.58992089058</v>
      </c>
      <c r="F19" s="3188">
        <v>357365.58992089058</v>
      </c>
      <c r="G19" s="3188">
        <v>233654.08718678108</v>
      </c>
      <c r="H19" s="3189">
        <v>0</v>
      </c>
      <c r="I19" s="3189">
        <v>0</v>
      </c>
      <c r="J19" s="3189">
        <v>0</v>
      </c>
      <c r="K19" s="3453">
        <v>0</v>
      </c>
      <c r="L19" s="3189">
        <v>0</v>
      </c>
      <c r="M19" s="3189">
        <v>0</v>
      </c>
      <c r="N19" s="3189">
        <v>0</v>
      </c>
      <c r="O19" s="3189">
        <v>0</v>
      </c>
      <c r="P19" s="3189">
        <v>0</v>
      </c>
      <c r="Q19" s="3189">
        <v>0</v>
      </c>
      <c r="R19" s="3456">
        <v>0</v>
      </c>
      <c r="S19" s="3197"/>
      <c r="T19" s="3060">
        <f>B19</f>
        <v>41237</v>
      </c>
      <c r="U19" s="3156">
        <f>SUM(C19,C40)</f>
        <v>215379.48037304499</v>
      </c>
      <c r="V19" s="3156">
        <f>SUM(D19,D40, D65)</f>
        <v>432897.43104002561</v>
      </c>
      <c r="W19" s="3060">
        <f>SUM(E19,E40, E65,E86)</f>
        <v>917473.98874924309</v>
      </c>
      <c r="X19" s="3063">
        <f>SUM(F65+F86+F111)</f>
        <v>1192433.4740572325</v>
      </c>
      <c r="Y19" s="3063">
        <f>G65+G86+G111+G132</f>
        <v>2601487.9063543174</v>
      </c>
      <c r="AA19" s="3063">
        <f>SUM(T19:Y19)</f>
        <v>5400909.2805738635</v>
      </c>
    </row>
    <row r="20" spans="1:27" s="3053" customFormat="1" ht="24.95" customHeight="1" thickBot="1" x14ac:dyDescent="0.25">
      <c r="A20" s="4188" t="s">
        <v>1236</v>
      </c>
      <c r="B20" s="4189"/>
      <c r="C20" s="4189"/>
      <c r="D20" s="4189"/>
      <c r="E20" s="4189"/>
      <c r="F20" s="4189"/>
      <c r="G20" s="4189"/>
      <c r="H20" s="4189"/>
      <c r="I20" s="4189"/>
      <c r="J20" s="4189"/>
      <c r="K20" s="4189"/>
      <c r="L20" s="3447"/>
      <c r="M20" s="3447"/>
      <c r="N20" s="3447"/>
      <c r="O20" s="3447"/>
      <c r="P20" s="3447"/>
      <c r="Q20" s="3423"/>
      <c r="R20" s="3424"/>
      <c r="S20" s="3307"/>
      <c r="T20" s="3058"/>
      <c r="U20" s="3155"/>
      <c r="V20" s="3155"/>
      <c r="W20" s="3155"/>
    </row>
    <row r="21" spans="1:27" s="3053" customFormat="1" ht="24.95" customHeight="1" x14ac:dyDescent="0.2">
      <c r="A21" s="3261" t="s">
        <v>1231</v>
      </c>
      <c r="B21" s="3173">
        <v>262</v>
      </c>
      <c r="C21" s="3173">
        <v>214</v>
      </c>
      <c r="D21" s="3191" t="s">
        <v>1374</v>
      </c>
      <c r="E21" s="3191" t="s">
        <v>1374</v>
      </c>
      <c r="F21" s="3178"/>
      <c r="G21" s="3192" t="s">
        <v>1397</v>
      </c>
      <c r="H21" s="3193"/>
      <c r="I21" s="3193"/>
      <c r="J21" s="3193"/>
      <c r="K21" s="3193"/>
      <c r="L21" s="3457"/>
      <c r="M21" s="3457"/>
      <c r="N21" s="3457"/>
      <c r="O21" s="3457"/>
      <c r="P21" s="3457"/>
      <c r="Q21" s="3457"/>
      <c r="R21" s="3332"/>
      <c r="S21" s="3197"/>
      <c r="T21" s="3058">
        <f>B21</f>
        <v>262</v>
      </c>
      <c r="U21" s="3058">
        <f>SUM(C21,C42)</f>
        <v>255</v>
      </c>
      <c r="V21" s="3058">
        <f>SUM(D21,D42, D67)</f>
        <v>128</v>
      </c>
      <c r="W21" s="3058">
        <f>SUM(E21,E42, E67,E88)</f>
        <v>371</v>
      </c>
      <c r="X21" s="3059">
        <f>SUM(F67+F88+F113)</f>
        <v>814</v>
      </c>
      <c r="Y21" s="3059">
        <f>G67+G88+G113+G134</f>
        <v>800</v>
      </c>
      <c r="AA21" s="3059">
        <f>SUM(T21:Y21)</f>
        <v>2630</v>
      </c>
    </row>
    <row r="22" spans="1:27" s="3053" customFormat="1" ht="24.95" customHeight="1" x14ac:dyDescent="0.2">
      <c r="A22" s="3262" t="s">
        <v>1232</v>
      </c>
      <c r="B22" s="3194">
        <v>10621976</v>
      </c>
      <c r="C22" s="3179">
        <v>7202637</v>
      </c>
      <c r="D22" s="3195" t="s">
        <v>1374</v>
      </c>
      <c r="E22" s="3195" t="s">
        <v>1374</v>
      </c>
      <c r="F22" s="3184"/>
      <c r="G22" s="3196" t="s">
        <v>1398</v>
      </c>
      <c r="H22" s="3197"/>
      <c r="I22" s="3197"/>
      <c r="J22" s="3197"/>
      <c r="K22" s="3197"/>
      <c r="L22" s="3458"/>
      <c r="M22" s="3458"/>
      <c r="N22" s="3458"/>
      <c r="O22" s="3458"/>
      <c r="P22" s="3458"/>
      <c r="Q22" s="3458"/>
      <c r="R22" s="3333"/>
      <c r="S22" s="3197"/>
      <c r="T22" s="3060">
        <f>B22</f>
        <v>10621976</v>
      </c>
      <c r="U22" s="3156">
        <f>SUM(C22,C43)</f>
        <v>9214052</v>
      </c>
      <c r="V22" s="3060">
        <f>SUM(D22,D43, D68)</f>
        <v>8641559</v>
      </c>
      <c r="W22" s="3060">
        <f>SUM(E22,E43, E68,E89)</f>
        <v>22313354</v>
      </c>
      <c r="X22" s="3063">
        <f>SUM(F68+F89+F114)</f>
        <v>52587823</v>
      </c>
      <c r="Y22" s="3063">
        <f>G68+G89+G114+G135</f>
        <v>61959793</v>
      </c>
      <c r="AA22" s="3063">
        <f>SUM(T22:Y22)</f>
        <v>165338557</v>
      </c>
    </row>
    <row r="23" spans="1:27" s="3053" customFormat="1" ht="24.95" customHeight="1" x14ac:dyDescent="0.2">
      <c r="A23" s="3262" t="s">
        <v>1342</v>
      </c>
      <c r="B23" s="3179">
        <v>22546350</v>
      </c>
      <c r="C23" s="3179">
        <v>12445210</v>
      </c>
      <c r="D23" s="3195" t="s">
        <v>1374</v>
      </c>
      <c r="E23" s="3195" t="s">
        <v>1374</v>
      </c>
      <c r="F23" s="3184"/>
      <c r="G23" s="3198" t="s">
        <v>1394</v>
      </c>
      <c r="H23" s="3197"/>
      <c r="I23" s="3197"/>
      <c r="J23" s="3197"/>
      <c r="K23" s="3197"/>
      <c r="L23" s="3458"/>
      <c r="M23" s="3458"/>
      <c r="N23" s="3458"/>
      <c r="O23" s="3458"/>
      <c r="P23" s="3458"/>
      <c r="Q23" s="3458"/>
      <c r="R23" s="3333"/>
      <c r="S23" s="3197"/>
      <c r="T23" s="3060">
        <f>B23</f>
        <v>22546350</v>
      </c>
      <c r="U23" s="3156">
        <f>SUM(C23,C44)</f>
        <v>13388586</v>
      </c>
      <c r="V23" s="3060">
        <f>SUM(D23,D44, D69)</f>
        <v>15421347</v>
      </c>
      <c r="W23" s="3060">
        <f>SUM(E23,E44, E69,E90)</f>
        <v>47048909</v>
      </c>
      <c r="X23" s="3063">
        <f>SUM(F69+F90+F115)</f>
        <v>119683969</v>
      </c>
      <c r="Y23" s="3063">
        <f>G69+G90+G115+G136</f>
        <v>262370441</v>
      </c>
      <c r="AA23" s="3063">
        <f>SUM(T23:Y23)</f>
        <v>480459602</v>
      </c>
    </row>
    <row r="24" spans="1:27" s="3053" customFormat="1" ht="24.95" customHeight="1" thickBot="1" x14ac:dyDescent="0.25">
      <c r="A24" s="3334" t="s">
        <v>1373</v>
      </c>
      <c r="B24" s="3186">
        <v>208653</v>
      </c>
      <c r="C24" s="3186">
        <v>510621</v>
      </c>
      <c r="D24" s="3335" t="s">
        <v>1374</v>
      </c>
      <c r="E24" s="3335" t="s">
        <v>1374</v>
      </c>
      <c r="F24" s="3190"/>
      <c r="G24" s="3336" t="s">
        <v>1508</v>
      </c>
      <c r="H24" s="3337"/>
      <c r="I24" s="3337"/>
      <c r="J24" s="3337"/>
      <c r="K24" s="3337"/>
      <c r="L24" s="3459"/>
      <c r="M24" s="3459"/>
      <c r="N24" s="3459"/>
      <c r="O24" s="3459"/>
      <c r="P24" s="3459"/>
      <c r="Q24" s="3459"/>
      <c r="R24" s="3338"/>
      <c r="S24" s="3197"/>
      <c r="T24" s="3060">
        <f>B24</f>
        <v>208653</v>
      </c>
      <c r="U24" s="3156">
        <f>SUM(C24,C45)</f>
        <v>544110</v>
      </c>
      <c r="V24" s="3156">
        <f>SUM(D24,D45, D70)</f>
        <v>190239</v>
      </c>
      <c r="W24" s="3060">
        <f>SUM(E24,E45, E70,E91)</f>
        <v>776876</v>
      </c>
      <c r="X24" s="3063">
        <f>SUM(F70+F91+F116)</f>
        <v>1378075</v>
      </c>
      <c r="Y24" s="3063">
        <f>G70+G91+G116+G137</f>
        <v>2520774</v>
      </c>
      <c r="AA24" s="3063">
        <f>SUM(T24:Y24)</f>
        <v>5618727</v>
      </c>
    </row>
    <row r="25" spans="1:27" s="3053" customFormat="1" ht="24.95" customHeight="1" thickBot="1" x14ac:dyDescent="0.25">
      <c r="A25" s="3462"/>
      <c r="B25" s="3460"/>
      <c r="C25" s="3460"/>
      <c r="D25" s="3461"/>
      <c r="E25" s="3461"/>
      <c r="F25" s="3462"/>
      <c r="G25" s="3462"/>
      <c r="H25" s="3462"/>
      <c r="I25" s="3462"/>
      <c r="J25" s="3462"/>
      <c r="K25" s="3462"/>
      <c r="L25" s="3462"/>
      <c r="M25" s="3463"/>
      <c r="N25" s="3463"/>
      <c r="O25" s="3463"/>
      <c r="P25" s="3463"/>
      <c r="Q25" s="3463"/>
      <c r="R25" s="3463"/>
      <c r="S25" s="3309"/>
      <c r="T25" s="3060"/>
      <c r="U25" s="3061"/>
      <c r="V25" s="3061"/>
      <c r="W25" s="3061"/>
    </row>
    <row r="26" spans="1:27" s="3053" customFormat="1" ht="24.95" customHeight="1" thickBot="1" x14ac:dyDescent="0.25">
      <c r="A26" s="4190" t="s">
        <v>1334</v>
      </c>
      <c r="B26" s="4191"/>
      <c r="C26" s="4191"/>
      <c r="D26" s="4191"/>
      <c r="E26" s="4191"/>
      <c r="F26" s="4191"/>
      <c r="G26" s="4191"/>
      <c r="H26" s="4191"/>
      <c r="I26" s="4191"/>
      <c r="J26" s="4191"/>
      <c r="K26" s="4191"/>
      <c r="L26" s="4191"/>
      <c r="M26" s="3464"/>
      <c r="N26" s="3464"/>
      <c r="O26" s="3464"/>
      <c r="P26" s="3464"/>
      <c r="Q26" s="3425"/>
      <c r="R26" s="3465"/>
      <c r="S26" s="3310"/>
      <c r="T26" s="3050"/>
    </row>
    <row r="27" spans="1:27" s="3053" customFormat="1" ht="24.95" customHeight="1" thickBot="1" x14ac:dyDescent="0.25">
      <c r="A27" s="3243" t="s">
        <v>1332</v>
      </c>
      <c r="B27" s="3243"/>
      <c r="C27" s="3244">
        <v>1</v>
      </c>
      <c r="D27" s="3244">
        <v>2</v>
      </c>
      <c r="E27" s="3244">
        <v>3</v>
      </c>
      <c r="F27" s="3244">
        <v>4</v>
      </c>
      <c r="G27" s="3244">
        <v>5</v>
      </c>
      <c r="H27" s="3244">
        <v>6</v>
      </c>
      <c r="I27" s="3244">
        <v>7</v>
      </c>
      <c r="J27" s="3244">
        <v>8</v>
      </c>
      <c r="K27" s="3244">
        <v>9</v>
      </c>
      <c r="L27" s="3346">
        <v>10</v>
      </c>
      <c r="M27" s="3346"/>
      <c r="N27" s="3346"/>
      <c r="O27" s="3346"/>
      <c r="P27" s="3346"/>
      <c r="Q27" s="3346"/>
      <c r="R27" s="3244"/>
      <c r="S27" s="3311"/>
      <c r="T27" s="3050"/>
      <c r="U27" s="3050"/>
      <c r="V27" s="3050"/>
      <c r="W27" s="3050"/>
      <c r="X27" s="3050"/>
      <c r="Y27" s="3050"/>
    </row>
    <row r="28" spans="1:27" ht="24.95" customHeight="1" thickBot="1" x14ac:dyDescent="0.25">
      <c r="A28" s="4192" t="s">
        <v>1234</v>
      </c>
      <c r="B28" s="4193"/>
      <c r="C28" s="4193"/>
      <c r="D28" s="4193"/>
      <c r="E28" s="4193"/>
      <c r="F28" s="4193"/>
      <c r="G28" s="4193"/>
      <c r="H28" s="4193"/>
      <c r="I28" s="4193"/>
      <c r="J28" s="4193"/>
      <c r="K28" s="4193"/>
      <c r="L28" s="4193"/>
      <c r="M28" s="3467"/>
      <c r="N28" s="3467"/>
      <c r="O28" s="3467"/>
      <c r="P28" s="3467"/>
      <c r="Q28" s="3426"/>
      <c r="R28" s="3468"/>
      <c r="S28" s="3312"/>
    </row>
    <row r="29" spans="1:27" ht="24.95" customHeight="1" x14ac:dyDescent="0.2">
      <c r="A29" s="3342" t="s">
        <v>1235</v>
      </c>
      <c r="B29" s="3178"/>
      <c r="C29" s="3281">
        <v>7</v>
      </c>
      <c r="D29" s="3281">
        <v>4</v>
      </c>
      <c r="E29" s="3281">
        <v>3</v>
      </c>
      <c r="F29" s="3281">
        <v>2</v>
      </c>
      <c r="G29" s="3281">
        <v>2</v>
      </c>
      <c r="H29" s="3054">
        <v>0</v>
      </c>
      <c r="I29" s="3282"/>
      <c r="J29" s="3282"/>
      <c r="K29" s="3178"/>
      <c r="L29" s="3283"/>
      <c r="M29" s="3283"/>
      <c r="N29" s="3283"/>
      <c r="O29" s="3283"/>
      <c r="P29" s="3283"/>
      <c r="Q29" s="3283"/>
      <c r="R29" s="3484"/>
      <c r="S29" s="3109"/>
    </row>
    <row r="30" spans="1:27" ht="24.95" customHeight="1" x14ac:dyDescent="0.2">
      <c r="A30" s="3343" t="s">
        <v>1369</v>
      </c>
      <c r="B30" s="3171"/>
      <c r="C30" s="3278">
        <v>4</v>
      </c>
      <c r="D30" s="3278">
        <v>3</v>
      </c>
      <c r="E30" s="3278">
        <v>2</v>
      </c>
      <c r="F30" s="3278">
        <v>2</v>
      </c>
      <c r="G30" s="3278">
        <v>1</v>
      </c>
      <c r="H30" s="3066">
        <v>0</v>
      </c>
      <c r="I30" s="3067"/>
      <c r="J30" s="3067"/>
      <c r="K30" s="3171"/>
      <c r="L30" s="3202"/>
      <c r="M30" s="3202"/>
      <c r="N30" s="3202"/>
      <c r="O30" s="3202"/>
      <c r="P30" s="3202"/>
      <c r="Q30" s="3202"/>
      <c r="R30" s="3485"/>
      <c r="S30" s="3109"/>
    </row>
    <row r="31" spans="1:27" ht="24.95" customHeight="1" x14ac:dyDescent="0.2">
      <c r="A31" s="3344" t="s">
        <v>1370</v>
      </c>
      <c r="B31" s="3184"/>
      <c r="C31" s="3279">
        <v>0</v>
      </c>
      <c r="D31" s="3279">
        <v>0</v>
      </c>
      <c r="E31" s="3279">
        <v>0</v>
      </c>
      <c r="F31" s="3279">
        <v>0</v>
      </c>
      <c r="G31" s="3279">
        <v>1</v>
      </c>
      <c r="H31" s="3056">
        <v>0</v>
      </c>
      <c r="I31" s="3068"/>
      <c r="J31" s="3068"/>
      <c r="K31" s="3184"/>
      <c r="L31" s="3205"/>
      <c r="M31" s="3205"/>
      <c r="N31" s="3205"/>
      <c r="O31" s="3205"/>
      <c r="P31" s="3205"/>
      <c r="Q31" s="3205"/>
      <c r="R31" s="3486"/>
      <c r="S31" s="3109"/>
    </row>
    <row r="32" spans="1:27" ht="24.95" customHeight="1" x14ac:dyDescent="0.2">
      <c r="A32" s="3344" t="s">
        <v>1371</v>
      </c>
      <c r="B32" s="3184"/>
      <c r="C32" s="3279">
        <v>2</v>
      </c>
      <c r="D32" s="3279">
        <v>2</v>
      </c>
      <c r="E32" s="3279">
        <v>2</v>
      </c>
      <c r="F32" s="3279">
        <v>2</v>
      </c>
      <c r="G32" s="3279">
        <v>1</v>
      </c>
      <c r="H32" s="3056">
        <v>0</v>
      </c>
      <c r="I32" s="3068"/>
      <c r="J32" s="3068"/>
      <c r="K32" s="3184"/>
      <c r="L32" s="3205"/>
      <c r="M32" s="3205"/>
      <c r="N32" s="3205"/>
      <c r="O32" s="3205"/>
      <c r="P32" s="3205"/>
      <c r="Q32" s="3205"/>
      <c r="R32" s="3486"/>
      <c r="S32" s="3109"/>
    </row>
    <row r="33" spans="1:19" ht="24.95" customHeight="1" x14ac:dyDescent="0.2">
      <c r="A33" s="3345" t="s">
        <v>1372</v>
      </c>
      <c r="B33" s="3184"/>
      <c r="C33" s="3279">
        <v>2</v>
      </c>
      <c r="D33" s="3279">
        <v>1</v>
      </c>
      <c r="E33" s="3279">
        <v>0</v>
      </c>
      <c r="F33" s="3279">
        <v>0</v>
      </c>
      <c r="G33" s="3279">
        <v>0</v>
      </c>
      <c r="H33" s="3056">
        <v>0</v>
      </c>
      <c r="I33" s="3068"/>
      <c r="J33" s="3068"/>
      <c r="K33" s="3184"/>
      <c r="L33" s="3205"/>
      <c r="M33" s="3205"/>
      <c r="N33" s="3205"/>
      <c r="O33" s="3205"/>
      <c r="P33" s="3205"/>
      <c r="Q33" s="3205"/>
      <c r="R33" s="3486"/>
      <c r="S33" s="3109"/>
    </row>
    <row r="34" spans="1:19" ht="24.95" customHeight="1" x14ac:dyDescent="0.2">
      <c r="A34" s="3345" t="s">
        <v>1375</v>
      </c>
      <c r="B34" s="3184"/>
      <c r="C34" s="3279">
        <v>3</v>
      </c>
      <c r="D34" s="3279">
        <v>1</v>
      </c>
      <c r="E34" s="3279">
        <v>1</v>
      </c>
      <c r="F34" s="3279">
        <v>0</v>
      </c>
      <c r="G34" s="3279">
        <v>1</v>
      </c>
      <c r="H34" s="3056">
        <v>0</v>
      </c>
      <c r="I34" s="3068"/>
      <c r="J34" s="3068"/>
      <c r="K34" s="3184"/>
      <c r="L34" s="3205"/>
      <c r="M34" s="3205"/>
      <c r="N34" s="3205"/>
      <c r="O34" s="3205"/>
      <c r="P34" s="3205"/>
      <c r="Q34" s="3205"/>
      <c r="R34" s="3486"/>
      <c r="S34" s="3109"/>
    </row>
    <row r="35" spans="1:19" ht="24.95" customHeight="1" thickBot="1" x14ac:dyDescent="0.25">
      <c r="A35" s="3345" t="s">
        <v>1335</v>
      </c>
      <c r="B35" s="3190"/>
      <c r="C35" s="3151">
        <v>4</v>
      </c>
      <c r="D35" s="3151" t="s">
        <v>1376</v>
      </c>
      <c r="E35" s="3151" t="s">
        <v>1377</v>
      </c>
      <c r="F35" s="3151" t="s">
        <v>1377</v>
      </c>
      <c r="G35" s="3151" t="s">
        <v>1510</v>
      </c>
      <c r="H35" s="3151">
        <v>0</v>
      </c>
      <c r="I35" s="3151"/>
      <c r="J35" s="3151"/>
      <c r="K35" s="3151"/>
      <c r="L35" s="3152"/>
      <c r="M35" s="3152"/>
      <c r="N35" s="3152"/>
      <c r="O35" s="3152"/>
      <c r="P35" s="3152"/>
      <c r="Q35" s="3152"/>
      <c r="R35" s="3257"/>
      <c r="S35" s="3308"/>
    </row>
    <row r="36" spans="1:19" ht="24.95" customHeight="1" thickBot="1" x14ac:dyDescent="0.25">
      <c r="A36" s="4192" t="s">
        <v>1233</v>
      </c>
      <c r="B36" s="4193"/>
      <c r="C36" s="4193"/>
      <c r="D36" s="4193"/>
      <c r="E36" s="4193"/>
      <c r="F36" s="4193"/>
      <c r="G36" s="4193"/>
      <c r="H36" s="4193"/>
      <c r="I36" s="4193"/>
      <c r="J36" s="4193"/>
      <c r="K36" s="4193"/>
      <c r="L36" s="4193"/>
      <c r="M36" s="3467"/>
      <c r="N36" s="3467"/>
      <c r="O36" s="3467"/>
      <c r="P36" s="3467"/>
      <c r="Q36" s="3426"/>
      <c r="R36" s="3468"/>
      <c r="S36" s="3312"/>
    </row>
    <row r="37" spans="1:19" ht="24.95" customHeight="1" x14ac:dyDescent="0.2">
      <c r="A37" s="3264" t="s">
        <v>1231</v>
      </c>
      <c r="B37" s="3220"/>
      <c r="C37" s="3208">
        <v>24</v>
      </c>
      <c r="D37" s="3209">
        <v>0</v>
      </c>
      <c r="E37" s="3209">
        <v>0</v>
      </c>
      <c r="F37" s="3209">
        <v>0</v>
      </c>
      <c r="G37" s="3339"/>
      <c r="H37" s="3339"/>
      <c r="I37" s="3339"/>
      <c r="J37" s="3339"/>
      <c r="K37" s="3339"/>
      <c r="L37" s="3172"/>
      <c r="M37" s="3172"/>
      <c r="N37" s="3172"/>
      <c r="O37" s="3172"/>
      <c r="P37" s="3172"/>
      <c r="Q37" s="3172"/>
      <c r="R37" s="3487"/>
      <c r="S37" s="3197"/>
    </row>
    <row r="38" spans="1:19" ht="24.95" customHeight="1" x14ac:dyDescent="0.2">
      <c r="A38" s="3265" t="s">
        <v>1232</v>
      </c>
      <c r="B38" s="3211"/>
      <c r="C38" s="3212">
        <v>1065837</v>
      </c>
      <c r="D38" s="3180">
        <v>0</v>
      </c>
      <c r="E38" s="3180">
        <v>67750</v>
      </c>
      <c r="F38" s="3180">
        <v>67750</v>
      </c>
      <c r="G38" s="3340"/>
      <c r="H38" s="3340"/>
      <c r="I38" s="3340"/>
      <c r="J38" s="3340"/>
      <c r="K38" s="3340"/>
      <c r="L38" s="3185"/>
      <c r="M38" s="3185"/>
      <c r="N38" s="3185"/>
      <c r="O38" s="3185"/>
      <c r="P38" s="3185"/>
      <c r="Q38" s="3185"/>
      <c r="R38" s="3488"/>
      <c r="S38" s="3197"/>
    </row>
    <row r="39" spans="1:19" ht="24.95" customHeight="1" x14ac:dyDescent="0.2">
      <c r="A39" s="3265" t="s">
        <v>1342</v>
      </c>
      <c r="B39" s="3211"/>
      <c r="C39" s="3212">
        <v>0</v>
      </c>
      <c r="D39" s="3180">
        <v>200000</v>
      </c>
      <c r="E39" s="3180">
        <v>100000</v>
      </c>
      <c r="F39" s="3180">
        <v>100000</v>
      </c>
      <c r="G39" s="3340"/>
      <c r="H39" s="3340"/>
      <c r="I39" s="3340"/>
      <c r="J39" s="3340"/>
      <c r="K39" s="3340"/>
      <c r="L39" s="3185"/>
      <c r="M39" s="3185"/>
      <c r="N39" s="3185"/>
      <c r="O39" s="3185"/>
      <c r="P39" s="3185"/>
      <c r="Q39" s="3185"/>
      <c r="R39" s="3488"/>
      <c r="S39" s="3197"/>
    </row>
    <row r="40" spans="1:19" ht="24.95" customHeight="1" thickBot="1" x14ac:dyDescent="0.25">
      <c r="A40" s="3266" t="s">
        <v>1314</v>
      </c>
      <c r="B40" s="3224"/>
      <c r="C40" s="3213">
        <v>13782.480373045</v>
      </c>
      <c r="D40" s="3214">
        <v>41347.441119135001</v>
      </c>
      <c r="E40" s="3214">
        <v>41347.441119135001</v>
      </c>
      <c r="F40" s="3214">
        <v>41347.441119135001</v>
      </c>
      <c r="G40" s="3341"/>
      <c r="H40" s="3341"/>
      <c r="I40" s="3341"/>
      <c r="J40" s="3341"/>
      <c r="K40" s="3341"/>
      <c r="L40" s="3201"/>
      <c r="M40" s="3201"/>
      <c r="N40" s="3201"/>
      <c r="O40" s="3201"/>
      <c r="P40" s="3201"/>
      <c r="Q40" s="3201"/>
      <c r="R40" s="3489"/>
      <c r="S40" s="3197"/>
    </row>
    <row r="41" spans="1:19" ht="24.95" customHeight="1" thickBot="1" x14ac:dyDescent="0.25">
      <c r="A41" s="4192" t="s">
        <v>1236</v>
      </c>
      <c r="B41" s="4193"/>
      <c r="C41" s="4193"/>
      <c r="D41" s="4193"/>
      <c r="E41" s="4193"/>
      <c r="F41" s="4193"/>
      <c r="G41" s="4193"/>
      <c r="H41" s="4193"/>
      <c r="I41" s="4193"/>
      <c r="J41" s="4193"/>
      <c r="K41" s="4193"/>
      <c r="L41" s="4193"/>
      <c r="M41" s="3467"/>
      <c r="N41" s="3467"/>
      <c r="O41" s="3467"/>
      <c r="P41" s="3467"/>
      <c r="Q41" s="3426"/>
      <c r="R41" s="3468"/>
      <c r="S41" s="3312"/>
    </row>
    <row r="42" spans="1:19" ht="24.95" customHeight="1" x14ac:dyDescent="0.2">
      <c r="A42" s="3267" t="s">
        <v>1231</v>
      </c>
      <c r="B42" s="3171"/>
      <c r="C42" s="3215">
        <v>41</v>
      </c>
      <c r="D42" s="3216"/>
      <c r="E42" s="3216"/>
      <c r="F42" s="3171"/>
      <c r="G42" s="3171"/>
      <c r="H42" s="3210" t="s">
        <v>1397</v>
      </c>
      <c r="I42" s="3197"/>
      <c r="J42" s="3197"/>
      <c r="K42" s="3197"/>
      <c r="L42" s="3519"/>
      <c r="M42" s="3171"/>
      <c r="N42" s="3171"/>
      <c r="O42" s="3171"/>
      <c r="P42" s="3171"/>
      <c r="Q42" s="3171"/>
      <c r="R42" s="3487"/>
      <c r="S42" s="3109"/>
    </row>
    <row r="43" spans="1:19" ht="24.95" customHeight="1" x14ac:dyDescent="0.2">
      <c r="A43" s="3262" t="s">
        <v>1232</v>
      </c>
      <c r="B43" s="3184"/>
      <c r="C43" s="3194">
        <v>2011415</v>
      </c>
      <c r="D43" s="3217"/>
      <c r="E43" s="3217"/>
      <c r="F43" s="3196"/>
      <c r="G43" s="3184"/>
      <c r="H43" s="3210" t="s">
        <v>1399</v>
      </c>
      <c r="I43" s="3197"/>
      <c r="J43" s="3197"/>
      <c r="K43" s="3197"/>
      <c r="L43" s="3519"/>
      <c r="M43" s="3218"/>
      <c r="N43" s="3218"/>
      <c r="O43" s="3218"/>
      <c r="P43" s="3218"/>
      <c r="Q43" s="3218"/>
      <c r="R43" s="3490"/>
      <c r="S43" s="3109"/>
    </row>
    <row r="44" spans="1:19" ht="24.95" customHeight="1" x14ac:dyDescent="0.2">
      <c r="A44" s="3262" t="s">
        <v>1342</v>
      </c>
      <c r="B44" s="3184"/>
      <c r="C44" s="3179">
        <v>943376</v>
      </c>
      <c r="D44" s="3195"/>
      <c r="E44" s="3195"/>
      <c r="F44" s="3218"/>
      <c r="G44" s="3184"/>
      <c r="H44" s="3520" t="s">
        <v>1394</v>
      </c>
      <c r="I44" s="3197"/>
      <c r="J44" s="3197"/>
      <c r="K44" s="3197"/>
      <c r="L44" s="3519"/>
      <c r="M44" s="3218"/>
      <c r="N44" s="3218"/>
      <c r="O44" s="3218"/>
      <c r="P44" s="3218"/>
      <c r="Q44" s="3218"/>
      <c r="R44" s="3490"/>
      <c r="S44" s="3109"/>
    </row>
    <row r="45" spans="1:19" ht="24.95" customHeight="1" thickBot="1" x14ac:dyDescent="0.25">
      <c r="A45" s="3263" t="s">
        <v>1373</v>
      </c>
      <c r="B45" s="3200"/>
      <c r="C45" s="3199">
        <v>33489</v>
      </c>
      <c r="D45" s="3472"/>
      <c r="E45" s="3472"/>
      <c r="F45" s="3473"/>
      <c r="G45" s="3200"/>
      <c r="H45" s="3336" t="s">
        <v>1508</v>
      </c>
      <c r="I45" s="3337"/>
      <c r="J45" s="3337"/>
      <c r="K45" s="3337"/>
      <c r="L45" s="3521"/>
      <c r="M45" s="3476"/>
      <c r="N45" s="3473"/>
      <c r="O45" s="3473"/>
      <c r="P45" s="3473"/>
      <c r="Q45" s="3473"/>
      <c r="R45" s="3491"/>
      <c r="S45" s="3109"/>
    </row>
    <row r="46" spans="1:19" ht="24.95" customHeight="1" thickBot="1" x14ac:dyDescent="0.25">
      <c r="A46" s="3474"/>
      <c r="B46" s="3474"/>
      <c r="C46" s="3460"/>
      <c r="D46" s="3461"/>
      <c r="E46" s="3461"/>
      <c r="F46" s="3475"/>
      <c r="G46" s="3474"/>
      <c r="H46" s="3337"/>
      <c r="I46" s="3337"/>
      <c r="J46" s="3337"/>
      <c r="K46" s="3337"/>
      <c r="L46" s="3337"/>
      <c r="M46" s="3475"/>
      <c r="N46" s="3475"/>
      <c r="O46" s="3475"/>
      <c r="P46" s="3475"/>
      <c r="Q46" s="3475"/>
      <c r="R46" s="3475"/>
      <c r="S46" s="3109"/>
    </row>
    <row r="47" spans="1:19" ht="24.95" customHeight="1" x14ac:dyDescent="0.2">
      <c r="A47" s="4194" t="s">
        <v>1506</v>
      </c>
      <c r="B47" s="4195"/>
      <c r="C47" s="4195"/>
      <c r="D47" s="4195"/>
      <c r="E47" s="4195"/>
      <c r="F47" s="4195"/>
      <c r="G47" s="4195"/>
      <c r="H47" s="4195"/>
      <c r="I47" s="4195"/>
      <c r="J47" s="4195"/>
      <c r="K47" s="4195"/>
      <c r="L47" s="4195"/>
      <c r="M47" s="4195"/>
      <c r="N47" s="4195"/>
      <c r="O47" s="4195"/>
      <c r="P47" s="4195"/>
      <c r="Q47" s="4195"/>
      <c r="R47" s="3289"/>
      <c r="S47" s="3288"/>
    </row>
    <row r="48" spans="1:19" ht="24.95" customHeight="1" thickBot="1" x14ac:dyDescent="0.25">
      <c r="A48" s="4198" t="s">
        <v>1539</v>
      </c>
      <c r="B48" s="4199"/>
      <c r="C48" s="4199"/>
      <c r="D48" s="4199"/>
      <c r="E48" s="4199"/>
      <c r="F48" s="4199"/>
      <c r="G48" s="4199"/>
      <c r="H48" s="4199"/>
      <c r="I48" s="4199"/>
      <c r="J48" s="4199"/>
      <c r="K48" s="4199"/>
      <c r="L48" s="4199"/>
      <c r="M48" s="4199"/>
      <c r="N48" s="4199"/>
      <c r="O48" s="4199"/>
      <c r="P48" s="4199"/>
      <c r="Q48" s="4199"/>
      <c r="R48" s="3354"/>
      <c r="S48" s="3303"/>
    </row>
    <row r="49" spans="1:19" ht="24.95" customHeight="1" thickTop="1" thickBot="1" x14ac:dyDescent="0.25">
      <c r="A49" s="3237" t="s">
        <v>1332</v>
      </c>
      <c r="B49" s="3238">
        <v>2007</v>
      </c>
      <c r="C49" s="3238">
        <v>2008</v>
      </c>
      <c r="D49" s="3238">
        <v>2009</v>
      </c>
      <c r="E49" s="3238">
        <v>2010</v>
      </c>
      <c r="F49" s="3238">
        <v>2011</v>
      </c>
      <c r="G49" s="3238">
        <v>2012</v>
      </c>
      <c r="H49" s="3238">
        <v>2013</v>
      </c>
      <c r="I49" s="3238">
        <v>2014</v>
      </c>
      <c r="J49" s="3238">
        <v>2015</v>
      </c>
      <c r="K49" s="3238">
        <v>2016</v>
      </c>
      <c r="L49" s="3238">
        <v>2017</v>
      </c>
      <c r="M49" s="3238">
        <v>2018</v>
      </c>
      <c r="N49" s="3238">
        <v>2019</v>
      </c>
      <c r="O49" s="3239">
        <v>2020</v>
      </c>
      <c r="P49" s="3239">
        <v>2021</v>
      </c>
      <c r="Q49" s="3240">
        <v>2022</v>
      </c>
      <c r="R49" s="3240">
        <v>2023</v>
      </c>
      <c r="S49" s="3304"/>
    </row>
    <row r="50" spans="1:19" ht="24.95" customHeight="1" thickBot="1" x14ac:dyDescent="0.25">
      <c r="A50" s="3470"/>
      <c r="B50" s="3471"/>
      <c r="C50" s="3471"/>
      <c r="D50" s="3471"/>
      <c r="E50" s="3471"/>
      <c r="F50" s="3471"/>
      <c r="G50" s="3471"/>
      <c r="H50" s="3471"/>
      <c r="I50" s="3471"/>
      <c r="J50" s="3471"/>
      <c r="K50" s="3471"/>
      <c r="L50" s="3471"/>
      <c r="M50" s="3471"/>
      <c r="N50" s="3471"/>
      <c r="O50" s="3471"/>
      <c r="P50" s="3471"/>
      <c r="Q50" s="3471"/>
      <c r="R50" s="3471"/>
      <c r="S50" s="3304"/>
    </row>
    <row r="51" spans="1:19" ht="24.95" customHeight="1" thickBot="1" x14ac:dyDescent="0.25">
      <c r="A51" s="4182" t="s">
        <v>1359</v>
      </c>
      <c r="B51" s="4183"/>
      <c r="C51" s="4183"/>
      <c r="D51" s="4183"/>
      <c r="E51" s="4183"/>
      <c r="F51" s="4183"/>
      <c r="G51" s="4183"/>
      <c r="H51" s="4183"/>
      <c r="I51" s="4183"/>
      <c r="J51" s="4183"/>
      <c r="K51" s="4183"/>
      <c r="L51" s="4183"/>
      <c r="M51" s="4183"/>
      <c r="N51" s="3466"/>
      <c r="O51" s="3477"/>
      <c r="P51" s="3477"/>
      <c r="Q51" s="3478"/>
      <c r="R51" s="3479"/>
      <c r="S51" s="3313"/>
    </row>
    <row r="52" spans="1:19" ht="24.95" customHeight="1" thickBot="1" x14ac:dyDescent="0.25">
      <c r="A52" s="3245" t="s">
        <v>1332</v>
      </c>
      <c r="B52" s="3245"/>
      <c r="C52" s="3246"/>
      <c r="D52" s="3246">
        <v>1</v>
      </c>
      <c r="E52" s="3246">
        <v>2</v>
      </c>
      <c r="F52" s="3246">
        <v>3</v>
      </c>
      <c r="G52" s="3246">
        <v>4</v>
      </c>
      <c r="H52" s="3246">
        <v>5</v>
      </c>
      <c r="I52" s="3246">
        <v>6</v>
      </c>
      <c r="J52" s="3246">
        <v>7</v>
      </c>
      <c r="K52" s="3246">
        <v>8</v>
      </c>
      <c r="L52" s="3246">
        <v>9</v>
      </c>
      <c r="M52" s="3347">
        <v>10</v>
      </c>
      <c r="N52" s="3347"/>
      <c r="O52" s="3347"/>
      <c r="P52" s="3347"/>
      <c r="Q52" s="3347"/>
      <c r="R52" s="3246"/>
      <c r="S52" s="3314"/>
    </row>
    <row r="53" spans="1:19" ht="24.95" customHeight="1" thickBot="1" x14ac:dyDescent="0.25">
      <c r="A53" s="4184" t="s">
        <v>1234</v>
      </c>
      <c r="B53" s="4185"/>
      <c r="C53" s="4185"/>
      <c r="D53" s="4185"/>
      <c r="E53" s="4185"/>
      <c r="F53" s="4185"/>
      <c r="G53" s="4185"/>
      <c r="H53" s="4185"/>
      <c r="I53" s="4185"/>
      <c r="J53" s="4185"/>
      <c r="K53" s="4185"/>
      <c r="L53" s="4185"/>
      <c r="M53" s="4185"/>
      <c r="N53" s="3481"/>
      <c r="O53" s="3480"/>
      <c r="P53" s="3480"/>
      <c r="Q53" s="3315"/>
      <c r="R53" s="3482"/>
      <c r="S53" s="3315"/>
    </row>
    <row r="54" spans="1:19" ht="24.95" customHeight="1" x14ac:dyDescent="0.2">
      <c r="A54" s="3254" t="s">
        <v>1235</v>
      </c>
      <c r="B54" s="3171"/>
      <c r="C54" s="3066"/>
      <c r="D54" s="3278">
        <v>12</v>
      </c>
      <c r="E54" s="3278">
        <v>12</v>
      </c>
      <c r="F54" s="3278">
        <v>10</v>
      </c>
      <c r="G54" s="3278">
        <v>8</v>
      </c>
      <c r="H54" s="3066">
        <v>8</v>
      </c>
      <c r="I54" s="3066"/>
      <c r="J54" s="3066"/>
      <c r="K54" s="3066"/>
      <c r="L54" s="3066"/>
      <c r="M54" s="3348"/>
      <c r="N54" s="3283"/>
      <c r="O54" s="3283"/>
      <c r="P54" s="3283"/>
      <c r="Q54" s="3283"/>
      <c r="R54" s="3484"/>
      <c r="S54" s="3109"/>
    </row>
    <row r="55" spans="1:19" ht="24.95" customHeight="1" x14ac:dyDescent="0.2">
      <c r="A55" s="3255" t="s">
        <v>1369</v>
      </c>
      <c r="B55" s="3184"/>
      <c r="C55" s="3056"/>
      <c r="D55" s="3279">
        <v>12</v>
      </c>
      <c r="E55" s="3279">
        <v>9</v>
      </c>
      <c r="F55" s="3279">
        <v>8</v>
      </c>
      <c r="G55" s="3279">
        <v>8</v>
      </c>
      <c r="H55" s="3056">
        <v>8</v>
      </c>
      <c r="I55" s="3056"/>
      <c r="J55" s="3056"/>
      <c r="K55" s="3056"/>
      <c r="L55" s="3056"/>
      <c r="M55" s="3150"/>
      <c r="N55" s="3202"/>
      <c r="O55" s="3202"/>
      <c r="P55" s="3202"/>
      <c r="Q55" s="3202"/>
      <c r="R55" s="3485"/>
      <c r="S55" s="3109"/>
    </row>
    <row r="56" spans="1:19" ht="24.95" customHeight="1" x14ac:dyDescent="0.2">
      <c r="A56" s="3255" t="s">
        <v>1370</v>
      </c>
      <c r="B56" s="3184"/>
      <c r="C56" s="3056"/>
      <c r="D56" s="3279">
        <v>0</v>
      </c>
      <c r="E56" s="3279">
        <v>1</v>
      </c>
      <c r="F56" s="3279">
        <v>2</v>
      </c>
      <c r="G56" s="3279">
        <v>0</v>
      </c>
      <c r="H56" s="3056">
        <v>0</v>
      </c>
      <c r="I56" s="3056"/>
      <c r="J56" s="3056"/>
      <c r="K56" s="3056"/>
      <c r="L56" s="3056"/>
      <c r="M56" s="3150"/>
      <c r="N56" s="3205"/>
      <c r="O56" s="3205"/>
      <c r="P56" s="3205"/>
      <c r="Q56" s="3205"/>
      <c r="R56" s="3486"/>
      <c r="S56" s="3109"/>
    </row>
    <row r="57" spans="1:19" ht="24.95" customHeight="1" x14ac:dyDescent="0.2">
      <c r="A57" s="3255" t="s">
        <v>1371</v>
      </c>
      <c r="B57" s="3184"/>
      <c r="C57" s="3056"/>
      <c r="D57" s="3279">
        <v>9</v>
      </c>
      <c r="E57" s="3279">
        <v>6</v>
      </c>
      <c r="F57" s="3279">
        <v>5</v>
      </c>
      <c r="G57" s="3279">
        <v>3</v>
      </c>
      <c r="H57" s="3056">
        <v>3</v>
      </c>
      <c r="I57" s="3056"/>
      <c r="J57" s="3056"/>
      <c r="K57" s="3056"/>
      <c r="L57" s="3056"/>
      <c r="M57" s="3150"/>
      <c r="N57" s="3205"/>
      <c r="O57" s="3205"/>
      <c r="P57" s="3205"/>
      <c r="Q57" s="3205"/>
      <c r="R57" s="3486"/>
      <c r="S57" s="3109"/>
    </row>
    <row r="58" spans="1:19" ht="24.95" customHeight="1" x14ac:dyDescent="0.2">
      <c r="A58" s="3256" t="s">
        <v>1372</v>
      </c>
      <c r="B58" s="3184"/>
      <c r="C58" s="3056"/>
      <c r="D58" s="3279">
        <v>3</v>
      </c>
      <c r="E58" s="3279">
        <v>3</v>
      </c>
      <c r="F58" s="3279">
        <v>3</v>
      </c>
      <c r="G58" s="3279">
        <v>3</v>
      </c>
      <c r="H58" s="3056">
        <v>0</v>
      </c>
      <c r="I58" s="3056"/>
      <c r="J58" s="3056"/>
      <c r="K58" s="3056"/>
      <c r="L58" s="3056"/>
      <c r="M58" s="3150"/>
      <c r="N58" s="3205"/>
      <c r="O58" s="3205"/>
      <c r="P58" s="3205"/>
      <c r="Q58" s="3205"/>
      <c r="R58" s="3486"/>
      <c r="S58" s="3109"/>
    </row>
    <row r="59" spans="1:19" ht="24.95" customHeight="1" x14ac:dyDescent="0.2">
      <c r="A59" s="3256" t="s">
        <v>1375</v>
      </c>
      <c r="B59" s="3184"/>
      <c r="C59" s="3056"/>
      <c r="D59" s="3279">
        <v>0</v>
      </c>
      <c r="E59" s="3279">
        <v>2</v>
      </c>
      <c r="F59" s="3279">
        <v>2</v>
      </c>
      <c r="G59" s="3279">
        <v>0</v>
      </c>
      <c r="H59" s="3056">
        <v>0</v>
      </c>
      <c r="I59" s="3056"/>
      <c r="J59" s="3056"/>
      <c r="K59" s="3056"/>
      <c r="L59" s="3056"/>
      <c r="M59" s="3150"/>
      <c r="N59" s="3205"/>
      <c r="O59" s="3205"/>
      <c r="P59" s="3205"/>
      <c r="Q59" s="3205"/>
      <c r="R59" s="3486"/>
      <c r="S59" s="3109"/>
    </row>
    <row r="60" spans="1:19" ht="24.95" customHeight="1" thickBot="1" x14ac:dyDescent="0.25">
      <c r="A60" s="3256" t="s">
        <v>1335</v>
      </c>
      <c r="B60" s="3190"/>
      <c r="C60" s="3057"/>
      <c r="D60" s="3057">
        <v>12</v>
      </c>
      <c r="E60" s="3056">
        <v>9</v>
      </c>
      <c r="F60" s="3056">
        <v>8</v>
      </c>
      <c r="G60" s="3056">
        <v>8</v>
      </c>
      <c r="H60" s="3056">
        <v>8</v>
      </c>
      <c r="I60" s="3056"/>
      <c r="J60" s="3056"/>
      <c r="K60" s="3056"/>
      <c r="L60" s="3056"/>
      <c r="M60" s="3150"/>
      <c r="N60" s="3152"/>
      <c r="O60" s="3152"/>
      <c r="P60" s="3152"/>
      <c r="Q60" s="3152"/>
      <c r="R60" s="3257"/>
      <c r="S60" s="3109"/>
    </row>
    <row r="61" spans="1:19" ht="24.95" customHeight="1" thickBot="1" x14ac:dyDescent="0.25">
      <c r="A61" s="4184" t="s">
        <v>1233</v>
      </c>
      <c r="B61" s="4185"/>
      <c r="C61" s="4185"/>
      <c r="D61" s="4185"/>
      <c r="E61" s="4185"/>
      <c r="F61" s="4185"/>
      <c r="G61" s="4185"/>
      <c r="H61" s="4185"/>
      <c r="I61" s="4185"/>
      <c r="J61" s="4185"/>
      <c r="K61" s="4185"/>
      <c r="L61" s="4185"/>
      <c r="M61" s="4185"/>
      <c r="N61" s="3481"/>
      <c r="O61" s="3481"/>
      <c r="P61" s="3481"/>
      <c r="Q61" s="3421"/>
      <c r="R61" s="3483"/>
      <c r="S61" s="3315"/>
    </row>
    <row r="62" spans="1:19" ht="24.95" customHeight="1" x14ac:dyDescent="0.2">
      <c r="A62" s="3268" t="s">
        <v>1231</v>
      </c>
      <c r="B62" s="3220"/>
      <c r="C62" s="3221"/>
      <c r="D62" s="3221">
        <v>54</v>
      </c>
      <c r="E62" s="3221">
        <v>72</v>
      </c>
      <c r="F62" s="3221">
        <v>43</v>
      </c>
      <c r="G62" s="3221">
        <v>41</v>
      </c>
      <c r="H62" s="3221">
        <v>30</v>
      </c>
      <c r="I62" s="3177"/>
      <c r="J62" s="3177"/>
      <c r="K62" s="3177"/>
      <c r="L62" s="3222"/>
      <c r="M62" s="3283"/>
      <c r="N62" s="3172"/>
      <c r="O62" s="3172"/>
      <c r="P62" s="3172"/>
      <c r="Q62" s="3172"/>
      <c r="R62" s="3487"/>
      <c r="S62" s="3109"/>
    </row>
    <row r="63" spans="1:19" ht="24.95" customHeight="1" x14ac:dyDescent="0.2">
      <c r="A63" s="3265" t="s">
        <v>1232</v>
      </c>
      <c r="B63" s="3211"/>
      <c r="C63" s="3212"/>
      <c r="D63" s="3212">
        <v>3909800</v>
      </c>
      <c r="E63" s="3212">
        <v>4764000</v>
      </c>
      <c r="F63" s="3212">
        <v>2978200</v>
      </c>
      <c r="G63" s="3212">
        <v>2748000</v>
      </c>
      <c r="H63" s="3212">
        <v>1965500</v>
      </c>
      <c r="I63" s="3183"/>
      <c r="J63" s="3183"/>
      <c r="K63" s="3183"/>
      <c r="L63" s="3223"/>
      <c r="M63" s="3205"/>
      <c r="N63" s="3185"/>
      <c r="O63" s="3185"/>
      <c r="P63" s="3185"/>
      <c r="Q63" s="3185"/>
      <c r="R63" s="3488"/>
      <c r="S63" s="3109"/>
    </row>
    <row r="64" spans="1:19" ht="24.95" customHeight="1" x14ac:dyDescent="0.2">
      <c r="A64" s="3265" t="s">
        <v>1342</v>
      </c>
      <c r="B64" s="3211"/>
      <c r="C64" s="3212"/>
      <c r="D64" s="3212">
        <v>9304000</v>
      </c>
      <c r="E64" s="3212">
        <v>13441000</v>
      </c>
      <c r="F64" s="3212">
        <v>1725000</v>
      </c>
      <c r="G64" s="3212">
        <v>1450000</v>
      </c>
      <c r="H64" s="3212">
        <v>2380000</v>
      </c>
      <c r="I64" s="3183"/>
      <c r="J64" s="3183"/>
      <c r="K64" s="3183"/>
      <c r="L64" s="3223"/>
      <c r="M64" s="3205"/>
      <c r="N64" s="3185"/>
      <c r="O64" s="3185"/>
      <c r="P64" s="3185"/>
      <c r="Q64" s="3185"/>
      <c r="R64" s="3488"/>
      <c r="S64" s="3109"/>
    </row>
    <row r="65" spans="1:21" ht="24.95" customHeight="1" thickBot="1" x14ac:dyDescent="0.25">
      <c r="A65" s="3269" t="s">
        <v>1314</v>
      </c>
      <c r="B65" s="3224"/>
      <c r="C65" s="3224"/>
      <c r="D65" s="3225">
        <v>34184.400000000001</v>
      </c>
      <c r="E65" s="3225">
        <v>244605.95770921747</v>
      </c>
      <c r="F65" s="3225">
        <v>397446.32964137621</v>
      </c>
      <c r="G65" s="3225">
        <v>477262.80515591119</v>
      </c>
      <c r="H65" s="3225">
        <v>563656.22929265408</v>
      </c>
      <c r="I65" s="3189"/>
      <c r="J65" s="3189"/>
      <c r="K65" s="3189">
        <v>172254</v>
      </c>
      <c r="L65" s="3189">
        <v>224132</v>
      </c>
      <c r="M65" s="3329"/>
      <c r="N65" s="3201"/>
      <c r="O65" s="3201"/>
      <c r="P65" s="3201"/>
      <c r="Q65" s="3201"/>
      <c r="R65" s="3489"/>
      <c r="S65" s="3109"/>
    </row>
    <row r="66" spans="1:21" ht="24.95" customHeight="1" thickBot="1" x14ac:dyDescent="0.25">
      <c r="A66" s="4184" t="s">
        <v>1236</v>
      </c>
      <c r="B66" s="4185"/>
      <c r="C66" s="4185"/>
      <c r="D66" s="4185"/>
      <c r="E66" s="4185"/>
      <c r="F66" s="4185"/>
      <c r="G66" s="4185"/>
      <c r="H66" s="4185"/>
      <c r="I66" s="4185"/>
      <c r="J66" s="4185"/>
      <c r="K66" s="4185"/>
      <c r="L66" s="4185"/>
      <c r="M66" s="4185"/>
      <c r="N66" s="3481"/>
      <c r="O66" s="3481"/>
      <c r="P66" s="3481"/>
      <c r="Q66" s="3421"/>
      <c r="R66" s="3483"/>
      <c r="S66" s="3314"/>
    </row>
    <row r="67" spans="1:21" ht="24.95" customHeight="1" x14ac:dyDescent="0.2">
      <c r="A67" s="3261" t="s">
        <v>1231</v>
      </c>
      <c r="B67" s="3178"/>
      <c r="C67" s="3173"/>
      <c r="D67" s="3173">
        <v>128</v>
      </c>
      <c r="E67" s="3173">
        <v>140</v>
      </c>
      <c r="F67" s="3173">
        <v>169</v>
      </c>
      <c r="G67" s="3173">
        <v>231</v>
      </c>
      <c r="H67" s="3173">
        <v>85</v>
      </c>
      <c r="I67" s="3173"/>
      <c r="J67" s="3173"/>
      <c r="K67" s="3173"/>
      <c r="L67" s="3173"/>
      <c r="M67" s="3349"/>
      <c r="N67" s="3171"/>
      <c r="O67" s="3171"/>
      <c r="P67" s="3171"/>
      <c r="Q67" s="3171"/>
      <c r="R67" s="3487"/>
      <c r="S67" s="3109"/>
      <c r="U67" s="3055"/>
    </row>
    <row r="68" spans="1:21" ht="24.95" customHeight="1" x14ac:dyDescent="0.2">
      <c r="A68" s="3262" t="s">
        <v>1232</v>
      </c>
      <c r="B68" s="3184"/>
      <c r="C68" s="3194"/>
      <c r="D68" s="3179">
        <v>8641559</v>
      </c>
      <c r="E68" s="3179">
        <v>9345823</v>
      </c>
      <c r="F68" s="3179">
        <v>16590866</v>
      </c>
      <c r="G68" s="3179">
        <v>29991679</v>
      </c>
      <c r="H68" s="3179">
        <v>6156450</v>
      </c>
      <c r="I68" s="3179"/>
      <c r="J68" s="3179"/>
      <c r="K68" s="3179"/>
      <c r="L68" s="3179"/>
      <c r="M68" s="3350"/>
      <c r="N68" s="3218"/>
      <c r="O68" s="3218"/>
      <c r="P68" s="3218"/>
      <c r="Q68" s="3218"/>
      <c r="R68" s="3490"/>
      <c r="S68" s="3109"/>
      <c r="U68" s="3062"/>
    </row>
    <row r="69" spans="1:21" ht="24.95" customHeight="1" x14ac:dyDescent="0.2">
      <c r="A69" s="3262" t="s">
        <v>1342</v>
      </c>
      <c r="B69" s="3184"/>
      <c r="C69" s="3179"/>
      <c r="D69" s="3179">
        <v>15421347</v>
      </c>
      <c r="E69" s="3179">
        <v>25857656</v>
      </c>
      <c r="F69" s="3179">
        <v>31203738</v>
      </c>
      <c r="G69" s="3179">
        <v>34507503</v>
      </c>
      <c r="H69" s="3179">
        <v>12990667</v>
      </c>
      <c r="I69" s="3179"/>
      <c r="J69" s="3179"/>
      <c r="K69" s="3179"/>
      <c r="L69" s="3179"/>
      <c r="M69" s="3350"/>
      <c r="N69" s="3218"/>
      <c r="O69" s="3218"/>
      <c r="P69" s="3218"/>
      <c r="Q69" s="3218"/>
      <c r="R69" s="3490"/>
      <c r="S69" s="3109"/>
      <c r="U69" s="3062"/>
    </row>
    <row r="70" spans="1:21" ht="24.95" customHeight="1" thickBot="1" x14ac:dyDescent="0.25">
      <c r="A70" s="3263" t="s">
        <v>1373</v>
      </c>
      <c r="B70" s="3200"/>
      <c r="C70" s="3226"/>
      <c r="D70" s="3199">
        <v>190239</v>
      </c>
      <c r="E70" s="3199">
        <v>483083</v>
      </c>
      <c r="F70" s="3199">
        <v>560896</v>
      </c>
      <c r="G70" s="3199">
        <v>414792</v>
      </c>
      <c r="H70" s="3199">
        <v>142203</v>
      </c>
      <c r="I70" s="3199"/>
      <c r="J70" s="3199"/>
      <c r="K70" s="3199"/>
      <c r="L70" s="3199"/>
      <c r="M70" s="3351"/>
      <c r="N70" s="3473"/>
      <c r="O70" s="3473"/>
      <c r="P70" s="3473"/>
      <c r="Q70" s="3473"/>
      <c r="R70" s="3491"/>
      <c r="S70" s="3109"/>
      <c r="U70" s="3055"/>
    </row>
    <row r="71" spans="1:21" ht="24.95" customHeight="1" thickBot="1" x14ac:dyDescent="0.25">
      <c r="A71" s="3437"/>
      <c r="B71" s="3437"/>
      <c r="C71" s="3437"/>
      <c r="D71" s="3437"/>
      <c r="E71" s="3437"/>
      <c r="F71" s="3437"/>
      <c r="G71" s="3437"/>
      <c r="H71" s="3437"/>
      <c r="I71" s="3437"/>
      <c r="J71" s="3437"/>
      <c r="K71" s="3437"/>
      <c r="L71" s="3437"/>
      <c r="M71" s="3437"/>
      <c r="N71" s="3492"/>
      <c r="O71" s="3475"/>
      <c r="P71" s="3475"/>
      <c r="Q71" s="3475"/>
      <c r="R71" s="3475"/>
      <c r="S71" s="3316"/>
    </row>
    <row r="72" spans="1:21" ht="24.95" customHeight="1" thickBot="1" x14ac:dyDescent="0.25">
      <c r="A72" s="4200" t="s">
        <v>1368</v>
      </c>
      <c r="B72" s="4201"/>
      <c r="C72" s="4201"/>
      <c r="D72" s="4201"/>
      <c r="E72" s="4201"/>
      <c r="F72" s="4201"/>
      <c r="G72" s="4201"/>
      <c r="H72" s="4201"/>
      <c r="I72" s="4201"/>
      <c r="J72" s="4201"/>
      <c r="K72" s="4201"/>
      <c r="L72" s="4201"/>
      <c r="M72" s="4201"/>
      <c r="N72" s="4201"/>
      <c r="O72" s="3493"/>
      <c r="P72" s="3493"/>
      <c r="Q72" s="3494"/>
      <c r="R72" s="3495"/>
      <c r="S72" s="3317"/>
    </row>
    <row r="73" spans="1:21" ht="24.95" customHeight="1" thickBot="1" x14ac:dyDescent="0.25">
      <c r="A73" s="3247" t="s">
        <v>1332</v>
      </c>
      <c r="B73" s="3247"/>
      <c r="C73" s="3248"/>
      <c r="D73" s="3249"/>
      <c r="E73" s="3249">
        <v>1</v>
      </c>
      <c r="F73" s="3249">
        <v>2</v>
      </c>
      <c r="G73" s="3249">
        <v>3</v>
      </c>
      <c r="H73" s="3249">
        <v>4</v>
      </c>
      <c r="I73" s="3249">
        <v>5</v>
      </c>
      <c r="J73" s="3249">
        <v>6</v>
      </c>
      <c r="K73" s="3249">
        <v>7</v>
      </c>
      <c r="L73" s="3249">
        <v>8</v>
      </c>
      <c r="M73" s="3249">
        <v>9</v>
      </c>
      <c r="N73" s="3352">
        <v>10</v>
      </c>
      <c r="O73" s="3249"/>
      <c r="P73" s="3352"/>
      <c r="Q73" s="3352"/>
      <c r="R73" s="3249"/>
      <c r="S73" s="3318"/>
    </row>
    <row r="74" spans="1:21" ht="24.95" customHeight="1" thickBot="1" x14ac:dyDescent="0.25">
      <c r="A74" s="4202" t="s">
        <v>1234</v>
      </c>
      <c r="B74" s="4203"/>
      <c r="C74" s="4203"/>
      <c r="D74" s="4203"/>
      <c r="E74" s="4203"/>
      <c r="F74" s="4203"/>
      <c r="G74" s="4203"/>
      <c r="H74" s="4203"/>
      <c r="I74" s="4203"/>
      <c r="J74" s="4203"/>
      <c r="K74" s="4203"/>
      <c r="L74" s="4203"/>
      <c r="M74" s="4203"/>
      <c r="N74" s="4203"/>
      <c r="O74" s="3496"/>
      <c r="P74" s="3496"/>
      <c r="Q74" s="3422"/>
      <c r="R74" s="3497"/>
      <c r="S74" s="3319"/>
    </row>
    <row r="75" spans="1:21" ht="24.95" customHeight="1" x14ac:dyDescent="0.2">
      <c r="A75" s="3254" t="s">
        <v>1235</v>
      </c>
      <c r="B75" s="3171"/>
      <c r="C75" s="3066"/>
      <c r="D75" s="3066"/>
      <c r="E75" s="3278">
        <v>11</v>
      </c>
      <c r="F75" s="3278">
        <v>10</v>
      </c>
      <c r="G75" s="3284">
        <v>8</v>
      </c>
      <c r="H75" s="3366">
        <v>6</v>
      </c>
      <c r="I75" s="3067"/>
      <c r="J75" s="3067"/>
      <c r="K75" s="3171"/>
      <c r="L75" s="3202"/>
      <c r="M75" s="3203"/>
      <c r="N75" s="3202"/>
      <c r="O75" s="3283"/>
      <c r="P75" s="3283"/>
      <c r="Q75" s="3283"/>
      <c r="R75" s="3484"/>
      <c r="S75" s="3109"/>
      <c r="U75" s="3055"/>
    </row>
    <row r="76" spans="1:21" ht="24.95" customHeight="1" x14ac:dyDescent="0.2">
      <c r="A76" s="3255" t="s">
        <v>1369</v>
      </c>
      <c r="B76" s="3184"/>
      <c r="C76" s="3056"/>
      <c r="D76" s="3056"/>
      <c r="E76" s="3279">
        <v>10</v>
      </c>
      <c r="F76" s="3279">
        <v>8</v>
      </c>
      <c r="G76" s="3285">
        <v>7</v>
      </c>
      <c r="H76" s="3367">
        <v>6</v>
      </c>
      <c r="I76" s="3068"/>
      <c r="J76" s="3068"/>
      <c r="K76" s="3184"/>
      <c r="L76" s="3205"/>
      <c r="M76" s="3206"/>
      <c r="N76" s="3205"/>
      <c r="O76" s="3202"/>
      <c r="P76" s="3202"/>
      <c r="Q76" s="3202"/>
      <c r="R76" s="3485"/>
      <c r="S76" s="3109"/>
      <c r="U76" s="3055"/>
    </row>
    <row r="77" spans="1:21" ht="24.95" customHeight="1" x14ac:dyDescent="0.2">
      <c r="A77" s="3255" t="s">
        <v>1370</v>
      </c>
      <c r="B77" s="3184"/>
      <c r="C77" s="3056"/>
      <c r="D77" s="3056"/>
      <c r="E77" s="3279">
        <v>1</v>
      </c>
      <c r="F77" s="3279">
        <v>2</v>
      </c>
      <c r="G77" s="3285">
        <v>1</v>
      </c>
      <c r="H77" s="3367">
        <v>0</v>
      </c>
      <c r="I77" s="3068"/>
      <c r="J77" s="3068"/>
      <c r="K77" s="3184"/>
      <c r="L77" s="3205"/>
      <c r="M77" s="3206"/>
      <c r="N77" s="3205"/>
      <c r="O77" s="3205"/>
      <c r="P77" s="3205"/>
      <c r="Q77" s="3205"/>
      <c r="R77" s="3486"/>
      <c r="S77" s="3109"/>
      <c r="U77" s="3055"/>
    </row>
    <row r="78" spans="1:21" ht="24.95" customHeight="1" x14ac:dyDescent="0.2">
      <c r="A78" s="3255" t="s">
        <v>1371</v>
      </c>
      <c r="B78" s="3184"/>
      <c r="C78" s="3056"/>
      <c r="D78" s="3056"/>
      <c r="E78" s="3279">
        <v>7</v>
      </c>
      <c r="F78" s="3279">
        <v>4</v>
      </c>
      <c r="G78" s="3285">
        <v>4</v>
      </c>
      <c r="H78" s="3367">
        <v>3</v>
      </c>
      <c r="I78" s="3068"/>
      <c r="J78" s="3068"/>
      <c r="K78" s="3184"/>
      <c r="L78" s="3205"/>
      <c r="M78" s="3206"/>
      <c r="N78" s="3205"/>
      <c r="O78" s="3205"/>
      <c r="P78" s="3205"/>
      <c r="Q78" s="3205"/>
      <c r="R78" s="3486"/>
      <c r="S78" s="3109"/>
      <c r="U78" s="3055"/>
    </row>
    <row r="79" spans="1:21" ht="24.95" customHeight="1" x14ac:dyDescent="0.2">
      <c r="A79" s="3256" t="s">
        <v>1372</v>
      </c>
      <c r="B79" s="3184"/>
      <c r="C79" s="3056"/>
      <c r="D79" s="3056"/>
      <c r="E79" s="3279">
        <v>3</v>
      </c>
      <c r="F79" s="3279">
        <v>4</v>
      </c>
      <c r="G79" s="3285">
        <v>3</v>
      </c>
      <c r="H79" s="3367">
        <v>1</v>
      </c>
      <c r="I79" s="3068"/>
      <c r="J79" s="3068"/>
      <c r="K79" s="3184"/>
      <c r="L79" s="3205"/>
      <c r="M79" s="3206"/>
      <c r="N79" s="3205"/>
      <c r="O79" s="3205"/>
      <c r="P79" s="3205"/>
      <c r="Q79" s="3205"/>
      <c r="R79" s="3486"/>
      <c r="S79" s="3109"/>
      <c r="U79" s="3055"/>
    </row>
    <row r="80" spans="1:21" ht="24.95" customHeight="1" x14ac:dyDescent="0.2">
      <c r="A80" s="3256" t="s">
        <v>1375</v>
      </c>
      <c r="B80" s="3184"/>
      <c r="C80" s="3056"/>
      <c r="D80" s="3056"/>
      <c r="E80" s="3279">
        <v>1</v>
      </c>
      <c r="F80" s="3279">
        <v>2</v>
      </c>
      <c r="G80" s="3285">
        <v>2</v>
      </c>
      <c r="H80" s="3367">
        <v>0</v>
      </c>
      <c r="I80" s="3068"/>
      <c r="J80" s="3068"/>
      <c r="K80" s="3184"/>
      <c r="L80" s="3205"/>
      <c r="M80" s="3206"/>
      <c r="N80" s="3205"/>
      <c r="O80" s="3205"/>
      <c r="P80" s="3205"/>
      <c r="Q80" s="3205"/>
      <c r="R80" s="3486"/>
      <c r="S80" s="3109"/>
      <c r="U80" s="3055"/>
    </row>
    <row r="81" spans="1:21" ht="24.95" customHeight="1" thickBot="1" x14ac:dyDescent="0.25">
      <c r="A81" s="3256" t="s">
        <v>1335</v>
      </c>
      <c r="B81" s="3200"/>
      <c r="C81" s="3151"/>
      <c r="D81" s="3151"/>
      <c r="E81" s="3151">
        <v>10</v>
      </c>
      <c r="F81" s="3151">
        <v>8</v>
      </c>
      <c r="G81" s="3250">
        <v>7</v>
      </c>
      <c r="H81" s="3250">
        <v>6</v>
      </c>
      <c r="I81" s="3251"/>
      <c r="J81" s="3251"/>
      <c r="K81" s="3200"/>
      <c r="L81" s="3235"/>
      <c r="M81" s="3236"/>
      <c r="N81" s="3235"/>
      <c r="O81" s="3152"/>
      <c r="P81" s="3152"/>
      <c r="Q81" s="3152"/>
      <c r="R81" s="3257"/>
      <c r="S81" s="3109"/>
      <c r="U81" s="3055"/>
    </row>
    <row r="82" spans="1:21" ht="24.95" customHeight="1" thickBot="1" x14ac:dyDescent="0.25">
      <c r="A82" s="4202" t="s">
        <v>1233</v>
      </c>
      <c r="B82" s="4203"/>
      <c r="C82" s="4203"/>
      <c r="D82" s="4203"/>
      <c r="E82" s="4203"/>
      <c r="F82" s="4203"/>
      <c r="G82" s="4203"/>
      <c r="H82" s="4203"/>
      <c r="I82" s="4203"/>
      <c r="J82" s="4203"/>
      <c r="K82" s="4203"/>
      <c r="L82" s="4203"/>
      <c r="M82" s="4203"/>
      <c r="N82" s="4203"/>
      <c r="O82" s="3496"/>
      <c r="P82" s="3496"/>
      <c r="Q82" s="3422"/>
      <c r="R82" s="3497"/>
      <c r="S82" s="3319"/>
    </row>
    <row r="83" spans="1:21" ht="24.95" customHeight="1" x14ac:dyDescent="0.2">
      <c r="A83" s="3268" t="s">
        <v>1231</v>
      </c>
      <c r="B83" s="3220"/>
      <c r="C83" s="3221"/>
      <c r="D83" s="3221"/>
      <c r="E83" s="3221">
        <v>147</v>
      </c>
      <c r="F83" s="3221">
        <v>168</v>
      </c>
      <c r="G83" s="3221">
        <v>165</v>
      </c>
      <c r="H83" s="3221">
        <v>53</v>
      </c>
      <c r="I83" s="3221"/>
      <c r="J83" s="3220"/>
      <c r="K83" s="3178"/>
      <c r="L83" s="3368"/>
      <c r="M83" s="3369"/>
      <c r="N83" s="3368"/>
      <c r="O83" s="3172"/>
      <c r="P83" s="3172"/>
      <c r="Q83" s="3172"/>
      <c r="R83" s="3487"/>
      <c r="S83" s="3109"/>
      <c r="U83" s="3055"/>
    </row>
    <row r="84" spans="1:21" ht="24.95" customHeight="1" x14ac:dyDescent="0.2">
      <c r="A84" s="3265" t="s">
        <v>1232</v>
      </c>
      <c r="B84" s="3211"/>
      <c r="C84" s="3212"/>
      <c r="D84" s="3212"/>
      <c r="E84" s="3212">
        <v>9055180</v>
      </c>
      <c r="F84" s="3212">
        <v>9253336</v>
      </c>
      <c r="G84" s="3212">
        <v>9393186</v>
      </c>
      <c r="H84" s="3212">
        <v>2944600</v>
      </c>
      <c r="I84" s="3212"/>
      <c r="J84" s="3211"/>
      <c r="K84" s="3184"/>
      <c r="L84" s="3370"/>
      <c r="M84" s="3371"/>
      <c r="N84" s="3370"/>
      <c r="O84" s="3185"/>
      <c r="P84" s="3185"/>
      <c r="Q84" s="3185"/>
      <c r="R84" s="3488"/>
      <c r="S84" s="3109"/>
      <c r="U84" s="3062"/>
    </row>
    <row r="85" spans="1:21" ht="24.95" customHeight="1" x14ac:dyDescent="0.2">
      <c r="A85" s="3265" t="s">
        <v>1342</v>
      </c>
      <c r="B85" s="3211"/>
      <c r="C85" s="3212"/>
      <c r="D85" s="3212"/>
      <c r="E85" s="3212">
        <v>7230656</v>
      </c>
      <c r="F85" s="3212">
        <v>11744499</v>
      </c>
      <c r="G85" s="3212">
        <v>16310000</v>
      </c>
      <c r="H85" s="3212">
        <v>3260000</v>
      </c>
      <c r="I85" s="3212"/>
      <c r="J85" s="3211"/>
      <c r="K85" s="3184"/>
      <c r="L85" s="3370"/>
      <c r="M85" s="3371"/>
      <c r="N85" s="3370"/>
      <c r="O85" s="3185"/>
      <c r="P85" s="3185"/>
      <c r="Q85" s="3185"/>
      <c r="R85" s="3488"/>
      <c r="S85" s="3109"/>
      <c r="U85" s="3062"/>
    </row>
    <row r="86" spans="1:21" ht="24.95" customHeight="1" thickBot="1" x14ac:dyDescent="0.25">
      <c r="A86" s="3269" t="s">
        <v>1314</v>
      </c>
      <c r="B86" s="3224"/>
      <c r="C86" s="3224"/>
      <c r="D86" s="3225"/>
      <c r="E86" s="3225">
        <v>274155</v>
      </c>
      <c r="F86" s="3225">
        <v>780873.14441585634</v>
      </c>
      <c r="G86" s="3225">
        <v>1309244.1011984064</v>
      </c>
      <c r="H86" s="3225">
        <v>1664138.5291896956</v>
      </c>
      <c r="I86" s="3225"/>
      <c r="J86" s="3225"/>
      <c r="K86" s="3372"/>
      <c r="L86" s="3372"/>
      <c r="M86" s="3372"/>
      <c r="N86" s="3373"/>
      <c r="O86" s="3201"/>
      <c r="P86" s="3201"/>
      <c r="Q86" s="3201"/>
      <c r="R86" s="3489"/>
      <c r="S86" s="3109"/>
      <c r="U86" s="3062"/>
    </row>
    <row r="87" spans="1:21" ht="24.95" customHeight="1" thickBot="1" x14ac:dyDescent="0.25">
      <c r="A87" s="4202" t="s">
        <v>1236</v>
      </c>
      <c r="B87" s="4203"/>
      <c r="C87" s="4203"/>
      <c r="D87" s="4203"/>
      <c r="E87" s="4203"/>
      <c r="F87" s="4203"/>
      <c r="G87" s="4203"/>
      <c r="H87" s="4203"/>
      <c r="I87" s="4203"/>
      <c r="J87" s="4203"/>
      <c r="K87" s="4203"/>
      <c r="L87" s="4203"/>
      <c r="M87" s="4203"/>
      <c r="N87" s="4203"/>
      <c r="O87" s="3496"/>
      <c r="P87" s="3496"/>
      <c r="Q87" s="3422"/>
      <c r="R87" s="3497"/>
      <c r="S87" s="3319"/>
      <c r="U87" s="3062"/>
    </row>
    <row r="88" spans="1:21" ht="24.95" customHeight="1" x14ac:dyDescent="0.2">
      <c r="A88" s="3261" t="s">
        <v>1231</v>
      </c>
      <c r="B88" s="3178"/>
      <c r="C88" s="3173"/>
      <c r="D88" s="3173"/>
      <c r="E88" s="3228">
        <v>231</v>
      </c>
      <c r="F88" s="3228">
        <v>308</v>
      </c>
      <c r="G88" s="3228">
        <v>242</v>
      </c>
      <c r="H88" s="3228">
        <v>117</v>
      </c>
      <c r="I88" s="3228"/>
      <c r="J88" s="3228"/>
      <c r="K88" s="3228"/>
      <c r="L88" s="3228"/>
      <c r="M88" s="3228"/>
      <c r="N88" s="3229"/>
      <c r="O88" s="3171"/>
      <c r="P88" s="3171"/>
      <c r="Q88" s="3171"/>
      <c r="R88" s="3487"/>
      <c r="S88" s="3109"/>
      <c r="U88" s="3055"/>
    </row>
    <row r="89" spans="1:21" ht="24.95" customHeight="1" x14ac:dyDescent="0.2">
      <c r="A89" s="3262" t="s">
        <v>1232</v>
      </c>
      <c r="B89" s="3184"/>
      <c r="C89" s="3194"/>
      <c r="D89" s="3179"/>
      <c r="E89" s="3230">
        <v>12967531</v>
      </c>
      <c r="F89" s="3230">
        <v>17226766</v>
      </c>
      <c r="G89" s="3230">
        <v>14140888</v>
      </c>
      <c r="H89" s="3230">
        <v>12921100</v>
      </c>
      <c r="I89" s="3230"/>
      <c r="J89" s="3230"/>
      <c r="K89" s="3230"/>
      <c r="L89" s="3230"/>
      <c r="M89" s="3230"/>
      <c r="N89" s="3231"/>
      <c r="O89" s="3218"/>
      <c r="P89" s="3218"/>
      <c r="Q89" s="3218"/>
      <c r="R89" s="3490"/>
      <c r="S89" s="3109"/>
      <c r="U89" s="3062"/>
    </row>
    <row r="90" spans="1:21" ht="24.95" customHeight="1" x14ac:dyDescent="0.2">
      <c r="A90" s="3262" t="s">
        <v>1342</v>
      </c>
      <c r="B90" s="3184"/>
      <c r="C90" s="3179"/>
      <c r="D90" s="3179"/>
      <c r="E90" s="3230">
        <v>21191253</v>
      </c>
      <c r="F90" s="3230">
        <v>17389398</v>
      </c>
      <c r="G90" s="3230">
        <v>6848481</v>
      </c>
      <c r="H90" s="3230">
        <v>3675638</v>
      </c>
      <c r="I90" s="3230"/>
      <c r="J90" s="3230"/>
      <c r="K90" s="3230"/>
      <c r="L90" s="3230"/>
      <c r="M90" s="3230"/>
      <c r="N90" s="3231"/>
      <c r="O90" s="3218"/>
      <c r="P90" s="3218"/>
      <c r="Q90" s="3218"/>
      <c r="R90" s="3490"/>
      <c r="S90" s="3109"/>
      <c r="U90" s="3062"/>
    </row>
    <row r="91" spans="1:21" ht="24.95" customHeight="1" thickBot="1" x14ac:dyDescent="0.25">
      <c r="A91" s="3263" t="s">
        <v>1373</v>
      </c>
      <c r="B91" s="3200"/>
      <c r="C91" s="3226"/>
      <c r="D91" s="3199"/>
      <c r="E91" s="3498">
        <v>293793</v>
      </c>
      <c r="F91" s="3498">
        <v>756857</v>
      </c>
      <c r="G91" s="3498">
        <v>1108430</v>
      </c>
      <c r="H91" s="3498">
        <v>1077215</v>
      </c>
      <c r="I91" s="3498"/>
      <c r="J91" s="3498"/>
      <c r="K91" s="3498"/>
      <c r="L91" s="3498"/>
      <c r="M91" s="3498"/>
      <c r="N91" s="3499"/>
      <c r="O91" s="3473"/>
      <c r="P91" s="3473"/>
      <c r="Q91" s="3473"/>
      <c r="R91" s="3500"/>
      <c r="S91" s="3109"/>
      <c r="U91" s="3062"/>
    </row>
    <row r="92" spans="1:21" s="3095" customFormat="1" ht="24.95" customHeight="1" thickTop="1" thickBot="1" x14ac:dyDescent="0.25">
      <c r="A92" s="3501"/>
      <c r="B92" s="3501"/>
      <c r="C92" s="3501"/>
      <c r="D92" s="3502"/>
      <c r="E92" s="3502"/>
      <c r="F92" s="3502"/>
      <c r="G92" s="3502"/>
      <c r="H92" s="3502"/>
      <c r="I92" s="3502"/>
      <c r="J92" s="3502"/>
      <c r="K92" s="3502"/>
      <c r="L92" s="3502"/>
      <c r="M92" s="3502"/>
      <c r="N92" s="3502"/>
      <c r="O92" s="3503"/>
      <c r="P92" s="3503"/>
      <c r="Q92" s="3503"/>
      <c r="R92" s="3503"/>
      <c r="S92" s="3438"/>
      <c r="U92" s="3439"/>
    </row>
    <row r="93" spans="1:21" ht="24.95" customHeight="1" thickTop="1" x14ac:dyDescent="0.2">
      <c r="A93" s="4196" t="s">
        <v>1506</v>
      </c>
      <c r="B93" s="4197"/>
      <c r="C93" s="4197"/>
      <c r="D93" s="4197"/>
      <c r="E93" s="4197"/>
      <c r="F93" s="4197"/>
      <c r="G93" s="4197"/>
      <c r="H93" s="4197"/>
      <c r="I93" s="4197"/>
      <c r="J93" s="4197"/>
      <c r="K93" s="4197"/>
      <c r="L93" s="4197"/>
      <c r="M93" s="4197"/>
      <c r="N93" s="4197"/>
      <c r="O93" s="4197"/>
      <c r="P93" s="4197"/>
      <c r="Q93" s="4197"/>
      <c r="R93" s="3355"/>
      <c r="S93" s="3288"/>
    </row>
    <row r="94" spans="1:21" ht="24.95" customHeight="1" thickBot="1" x14ac:dyDescent="0.25">
      <c r="A94" s="4126" t="s">
        <v>1539</v>
      </c>
      <c r="B94" s="4127"/>
      <c r="C94" s="4127"/>
      <c r="D94" s="4127"/>
      <c r="E94" s="4127"/>
      <c r="F94" s="4127"/>
      <c r="G94" s="4127"/>
      <c r="H94" s="4127"/>
      <c r="I94" s="4127"/>
      <c r="J94" s="4127"/>
      <c r="K94" s="4127"/>
      <c r="L94" s="4127"/>
      <c r="M94" s="4127"/>
      <c r="N94" s="4127"/>
      <c r="O94" s="4127"/>
      <c r="P94" s="4127"/>
      <c r="Q94" s="4127"/>
      <c r="R94" s="3416"/>
      <c r="S94" s="3303"/>
    </row>
    <row r="95" spans="1:21" ht="24.95" customHeight="1" thickTop="1" thickBot="1" x14ac:dyDescent="0.25">
      <c r="A95" s="3270" t="s">
        <v>1332</v>
      </c>
      <c r="B95" s="3252">
        <v>2007</v>
      </c>
      <c r="C95" s="3252">
        <v>2008</v>
      </c>
      <c r="D95" s="3252">
        <v>2009</v>
      </c>
      <c r="E95" s="3252">
        <v>2010</v>
      </c>
      <c r="F95" s="3252">
        <v>2011</v>
      </c>
      <c r="G95" s="3252">
        <v>2012</v>
      </c>
      <c r="H95" s="3252">
        <v>2013</v>
      </c>
      <c r="I95" s="3252">
        <v>2014</v>
      </c>
      <c r="J95" s="3252">
        <v>2015</v>
      </c>
      <c r="K95" s="3252">
        <v>2016</v>
      </c>
      <c r="L95" s="3252">
        <v>2017</v>
      </c>
      <c r="M95" s="3252">
        <v>2018</v>
      </c>
      <c r="N95" s="3252">
        <v>2019</v>
      </c>
      <c r="O95" s="3253">
        <v>2020</v>
      </c>
      <c r="P95" s="3252">
        <v>2021</v>
      </c>
      <c r="Q95" s="3252">
        <v>2022</v>
      </c>
      <c r="R95" s="3518">
        <v>2023</v>
      </c>
      <c r="S95" s="3304"/>
    </row>
    <row r="96" spans="1:21" s="3095" customFormat="1" ht="24.95" customHeight="1" thickBot="1" x14ac:dyDescent="0.25">
      <c r="A96" s="3434"/>
      <c r="B96" s="3434"/>
      <c r="C96" s="3434"/>
      <c r="D96" s="3434"/>
      <c r="E96" s="3434"/>
      <c r="F96" s="3434"/>
      <c r="G96" s="3434"/>
      <c r="H96" s="3434"/>
      <c r="I96" s="3434"/>
      <c r="J96" s="3434"/>
      <c r="K96" s="3434"/>
      <c r="L96" s="3434"/>
      <c r="M96" s="3434"/>
      <c r="N96" s="3434"/>
      <c r="O96" s="3434"/>
      <c r="P96" s="3434"/>
      <c r="Q96" s="3434"/>
      <c r="R96" s="3434"/>
      <c r="S96" s="3433"/>
    </row>
    <row r="97" spans="1:19" ht="24.95" customHeight="1" thickBot="1" x14ac:dyDescent="0.25">
      <c r="A97" s="4204" t="s">
        <v>1396</v>
      </c>
      <c r="B97" s="4205"/>
      <c r="C97" s="4205"/>
      <c r="D97" s="4205"/>
      <c r="E97" s="4205"/>
      <c r="F97" s="4205"/>
      <c r="G97" s="4205"/>
      <c r="H97" s="4205"/>
      <c r="I97" s="4205"/>
      <c r="J97" s="4205"/>
      <c r="K97" s="4205"/>
      <c r="L97" s="4205"/>
      <c r="M97" s="4205"/>
      <c r="N97" s="4205"/>
      <c r="O97" s="4205"/>
      <c r="P97" s="3504"/>
      <c r="Q97" s="3417"/>
      <c r="R97" s="3505"/>
      <c r="S97" s="3320"/>
    </row>
    <row r="98" spans="1:19" ht="24.95" customHeight="1" thickBot="1" x14ac:dyDescent="0.25">
      <c r="A98" s="3360" t="s">
        <v>1332</v>
      </c>
      <c r="B98" s="3360"/>
      <c r="C98" s="3361"/>
      <c r="D98" s="3361"/>
      <c r="E98" s="3361"/>
      <c r="F98" s="3361">
        <v>1</v>
      </c>
      <c r="G98" s="3361">
        <v>2</v>
      </c>
      <c r="H98" s="3361">
        <v>3</v>
      </c>
      <c r="I98" s="3361">
        <v>4</v>
      </c>
      <c r="J98" s="3361">
        <v>5</v>
      </c>
      <c r="K98" s="3361">
        <v>6</v>
      </c>
      <c r="L98" s="3361">
        <v>7</v>
      </c>
      <c r="M98" s="3361">
        <v>8</v>
      </c>
      <c r="N98" s="3361">
        <v>9</v>
      </c>
      <c r="O98" s="3362">
        <v>10</v>
      </c>
      <c r="P98" s="3362"/>
      <c r="Q98" s="3362"/>
      <c r="R98" s="3362"/>
      <c r="S98" s="3321"/>
    </row>
    <row r="99" spans="1:19" ht="24.95" customHeight="1" thickBot="1" x14ac:dyDescent="0.25">
      <c r="A99" s="4206" t="s">
        <v>1234</v>
      </c>
      <c r="B99" s="4207"/>
      <c r="C99" s="4207"/>
      <c r="D99" s="4207"/>
      <c r="E99" s="4207"/>
      <c r="F99" s="4207"/>
      <c r="G99" s="4207"/>
      <c r="H99" s="4207"/>
      <c r="I99" s="4207"/>
      <c r="J99" s="4207"/>
      <c r="K99" s="4207"/>
      <c r="L99" s="4207"/>
      <c r="M99" s="4207"/>
      <c r="N99" s="4207"/>
      <c r="O99" s="4207"/>
      <c r="P99" s="3506"/>
      <c r="Q99" s="3418"/>
      <c r="R99" s="3507"/>
      <c r="S99" s="3322"/>
    </row>
    <row r="100" spans="1:19" ht="24.95" customHeight="1" x14ac:dyDescent="0.2">
      <c r="A100" s="3254" t="s">
        <v>1235</v>
      </c>
      <c r="B100" s="3171"/>
      <c r="C100" s="3066"/>
      <c r="D100" s="3066"/>
      <c r="E100" s="3066"/>
      <c r="F100" s="3278">
        <v>10</v>
      </c>
      <c r="G100" s="3278">
        <v>8</v>
      </c>
      <c r="H100" s="3066">
        <v>8</v>
      </c>
      <c r="I100" s="3066"/>
      <c r="J100" s="3066"/>
      <c r="K100" s="3066"/>
      <c r="L100" s="3066"/>
      <c r="M100" s="3066"/>
      <c r="N100" s="3203"/>
      <c r="O100" s="3204"/>
      <c r="P100" s="3283"/>
      <c r="Q100" s="3283"/>
      <c r="R100" s="3484"/>
      <c r="S100" s="3109"/>
    </row>
    <row r="101" spans="1:19" ht="24.95" customHeight="1" x14ac:dyDescent="0.2">
      <c r="A101" s="3255" t="s">
        <v>1369</v>
      </c>
      <c r="B101" s="3184"/>
      <c r="C101" s="3056"/>
      <c r="D101" s="3056"/>
      <c r="E101" s="3056"/>
      <c r="F101" s="3279">
        <v>8</v>
      </c>
      <c r="G101" s="3279">
        <v>8</v>
      </c>
      <c r="H101" s="3056">
        <v>7</v>
      </c>
      <c r="I101" s="3056"/>
      <c r="J101" s="3056"/>
      <c r="K101" s="3056"/>
      <c r="L101" s="3056"/>
      <c r="M101" s="3056"/>
      <c r="N101" s="3056"/>
      <c r="O101" s="3207"/>
      <c r="P101" s="3202"/>
      <c r="Q101" s="3202"/>
      <c r="R101" s="3485"/>
      <c r="S101" s="3109"/>
    </row>
    <row r="102" spans="1:19" ht="24.95" customHeight="1" x14ac:dyDescent="0.2">
      <c r="A102" s="3255" t="s">
        <v>1370</v>
      </c>
      <c r="B102" s="3184"/>
      <c r="C102" s="3056"/>
      <c r="D102" s="3056"/>
      <c r="E102" s="3056"/>
      <c r="F102" s="3279">
        <v>2</v>
      </c>
      <c r="G102" s="3279">
        <v>0</v>
      </c>
      <c r="H102" s="3056">
        <v>1</v>
      </c>
      <c r="I102" s="3056"/>
      <c r="J102" s="3056"/>
      <c r="K102" s="3056"/>
      <c r="L102" s="3056"/>
      <c r="M102" s="3056"/>
      <c r="N102" s="3056"/>
      <c r="O102" s="3207"/>
      <c r="P102" s="3205"/>
      <c r="Q102" s="3205"/>
      <c r="R102" s="3486"/>
      <c r="S102" s="3109"/>
    </row>
    <row r="103" spans="1:19" ht="24.95" customHeight="1" x14ac:dyDescent="0.2">
      <c r="A103" s="3255" t="s">
        <v>1371</v>
      </c>
      <c r="B103" s="3184"/>
      <c r="C103" s="3056"/>
      <c r="D103" s="3056"/>
      <c r="E103" s="3056"/>
      <c r="F103" s="3279">
        <v>7</v>
      </c>
      <c r="G103" s="3279">
        <v>6</v>
      </c>
      <c r="H103" s="3056">
        <v>3</v>
      </c>
      <c r="I103" s="3056"/>
      <c r="J103" s="3056"/>
      <c r="K103" s="3056"/>
      <c r="L103" s="3056"/>
      <c r="M103" s="3056"/>
      <c r="N103" s="3056"/>
      <c r="O103" s="3207"/>
      <c r="P103" s="3205"/>
      <c r="Q103" s="3205"/>
      <c r="R103" s="3486"/>
      <c r="S103" s="3109"/>
    </row>
    <row r="104" spans="1:19" ht="24.95" customHeight="1" x14ac:dyDescent="0.2">
      <c r="A104" s="3256" t="s">
        <v>1372</v>
      </c>
      <c r="B104" s="3184"/>
      <c r="C104" s="3056"/>
      <c r="D104" s="3056"/>
      <c r="E104" s="3056"/>
      <c r="F104" s="3279">
        <v>1</v>
      </c>
      <c r="G104" s="3279">
        <v>2</v>
      </c>
      <c r="H104" s="3056">
        <v>4</v>
      </c>
      <c r="I104" s="3056"/>
      <c r="J104" s="3056"/>
      <c r="K104" s="3056"/>
      <c r="L104" s="3056"/>
      <c r="M104" s="3056"/>
      <c r="N104" s="3056"/>
      <c r="O104" s="3207"/>
      <c r="P104" s="3205"/>
      <c r="Q104" s="3205"/>
      <c r="R104" s="3486"/>
      <c r="S104" s="3109"/>
    </row>
    <row r="105" spans="1:19" ht="24.95" customHeight="1" x14ac:dyDescent="0.2">
      <c r="A105" s="3256" t="s">
        <v>1375</v>
      </c>
      <c r="B105" s="3184"/>
      <c r="C105" s="3056"/>
      <c r="D105" s="3056"/>
      <c r="E105" s="3056"/>
      <c r="F105" s="3279">
        <v>2</v>
      </c>
      <c r="G105" s="3279">
        <v>0</v>
      </c>
      <c r="H105" s="3056">
        <v>1</v>
      </c>
      <c r="I105" s="3056"/>
      <c r="J105" s="3056"/>
      <c r="K105" s="3056"/>
      <c r="L105" s="3056"/>
      <c r="M105" s="3056"/>
      <c r="N105" s="3056"/>
      <c r="O105" s="3207"/>
      <c r="P105" s="3205"/>
      <c r="Q105" s="3205"/>
      <c r="R105" s="3486"/>
      <c r="S105" s="3109"/>
    </row>
    <row r="106" spans="1:19" ht="24.95" customHeight="1" thickBot="1" x14ac:dyDescent="0.25">
      <c r="A106" s="3256" t="s">
        <v>1335</v>
      </c>
      <c r="B106" s="3200"/>
      <c r="C106" s="3151"/>
      <c r="D106" s="3151"/>
      <c r="E106" s="3151"/>
      <c r="F106" s="3151">
        <v>8</v>
      </c>
      <c r="G106" s="3151">
        <v>8</v>
      </c>
      <c r="H106" s="3151">
        <v>7</v>
      </c>
      <c r="I106" s="3151"/>
      <c r="J106" s="3151"/>
      <c r="K106" s="3151"/>
      <c r="L106" s="3151"/>
      <c r="M106" s="3151"/>
      <c r="N106" s="3151"/>
      <c r="O106" s="3227"/>
      <c r="P106" s="3152"/>
      <c r="Q106" s="3152"/>
      <c r="R106" s="3257"/>
      <c r="S106" s="3109"/>
    </row>
    <row r="107" spans="1:19" ht="24.95" customHeight="1" thickBot="1" x14ac:dyDescent="0.25">
      <c r="A107" s="4206" t="s">
        <v>1233</v>
      </c>
      <c r="B107" s="4207"/>
      <c r="C107" s="4207"/>
      <c r="D107" s="4207"/>
      <c r="E107" s="4207"/>
      <c r="F107" s="4207"/>
      <c r="G107" s="4207"/>
      <c r="H107" s="4207"/>
      <c r="I107" s="4207"/>
      <c r="J107" s="4207"/>
      <c r="K107" s="4207"/>
      <c r="L107" s="4207"/>
      <c r="M107" s="4207"/>
      <c r="N107" s="4207"/>
      <c r="O107" s="4207"/>
      <c r="P107" s="3506"/>
      <c r="Q107" s="3418"/>
      <c r="R107" s="3507"/>
      <c r="S107" s="3322"/>
    </row>
    <row r="108" spans="1:19" ht="24.95" customHeight="1" x14ac:dyDescent="0.2">
      <c r="A108" s="3268" t="s">
        <v>1231</v>
      </c>
      <c r="B108" s="3220"/>
      <c r="C108" s="3221"/>
      <c r="D108" s="3221"/>
      <c r="E108" s="3221"/>
      <c r="F108" s="3221">
        <v>160</v>
      </c>
      <c r="G108" s="3221">
        <v>374</v>
      </c>
      <c r="H108" s="3221">
        <v>187</v>
      </c>
      <c r="I108" s="3178"/>
      <c r="J108" s="3178"/>
      <c r="K108" s="3178"/>
      <c r="L108" s="3368"/>
      <c r="M108" s="3369"/>
      <c r="N108" s="3369"/>
      <c r="O108" s="3374"/>
      <c r="P108" s="3172"/>
      <c r="Q108" s="3172"/>
      <c r="R108" s="3487"/>
      <c r="S108" s="3109"/>
    </row>
    <row r="109" spans="1:19" ht="24.95" customHeight="1" x14ac:dyDescent="0.2">
      <c r="A109" s="3265" t="s">
        <v>1232</v>
      </c>
      <c r="B109" s="3211"/>
      <c r="C109" s="3212"/>
      <c r="D109" s="3212"/>
      <c r="E109" s="3212"/>
      <c r="F109" s="3212">
        <v>5403500</v>
      </c>
      <c r="G109" s="3212">
        <v>15017730</v>
      </c>
      <c r="H109" s="3212">
        <v>7105300</v>
      </c>
      <c r="I109" s="3184"/>
      <c r="J109" s="3184"/>
      <c r="K109" s="3184"/>
      <c r="L109" s="3370"/>
      <c r="M109" s="3371"/>
      <c r="N109" s="3371"/>
      <c r="O109" s="3375"/>
      <c r="P109" s="3185"/>
      <c r="Q109" s="3185"/>
      <c r="R109" s="3488"/>
      <c r="S109" s="3109"/>
    </row>
    <row r="110" spans="1:19" ht="24.95" customHeight="1" x14ac:dyDescent="0.2">
      <c r="A110" s="3265" t="s">
        <v>1342</v>
      </c>
      <c r="B110" s="3211"/>
      <c r="C110" s="3212"/>
      <c r="D110" s="3212"/>
      <c r="E110" s="3212"/>
      <c r="F110" s="3212">
        <v>57250000</v>
      </c>
      <c r="G110" s="3212">
        <v>111646400</v>
      </c>
      <c r="H110" s="3212">
        <v>62256400</v>
      </c>
      <c r="I110" s="3184"/>
      <c r="J110" s="3184"/>
      <c r="K110" s="3184"/>
      <c r="L110" s="3370"/>
      <c r="M110" s="3371"/>
      <c r="N110" s="3371"/>
      <c r="O110" s="3375"/>
      <c r="P110" s="3185"/>
      <c r="Q110" s="3185"/>
      <c r="R110" s="3488"/>
      <c r="S110" s="3109"/>
    </row>
    <row r="111" spans="1:19" ht="24.95" customHeight="1" thickBot="1" x14ac:dyDescent="0.25">
      <c r="A111" s="3269" t="s">
        <v>1314</v>
      </c>
      <c r="B111" s="3224"/>
      <c r="C111" s="3224"/>
      <c r="D111" s="3225"/>
      <c r="E111" s="3225"/>
      <c r="F111" s="3225">
        <v>14114</v>
      </c>
      <c r="G111" s="3225">
        <v>673291</v>
      </c>
      <c r="H111" s="3225">
        <v>1139949</v>
      </c>
      <c r="I111" s="3372"/>
      <c r="J111" s="3372"/>
      <c r="K111" s="3372"/>
      <c r="L111" s="3372"/>
      <c r="M111" s="3376"/>
      <c r="N111" s="3376"/>
      <c r="O111" s="3377"/>
      <c r="P111" s="3201"/>
      <c r="Q111" s="3201"/>
      <c r="R111" s="3489"/>
      <c r="S111" s="3109"/>
    </row>
    <row r="112" spans="1:19" ht="24.95" customHeight="1" thickBot="1" x14ac:dyDescent="0.25">
      <c r="A112" s="4206" t="s">
        <v>1236</v>
      </c>
      <c r="B112" s="4207"/>
      <c r="C112" s="4207"/>
      <c r="D112" s="4207"/>
      <c r="E112" s="4207"/>
      <c r="F112" s="4207"/>
      <c r="G112" s="4207"/>
      <c r="H112" s="4207"/>
      <c r="I112" s="4207"/>
      <c r="J112" s="4207"/>
      <c r="K112" s="4207"/>
      <c r="L112" s="4207"/>
      <c r="M112" s="4207"/>
      <c r="N112" s="4207"/>
      <c r="O112" s="4207"/>
      <c r="P112" s="3506"/>
      <c r="Q112" s="3418"/>
      <c r="R112" s="3507"/>
      <c r="S112" s="3322"/>
    </row>
    <row r="113" spans="1:26" ht="24.95" customHeight="1" x14ac:dyDescent="0.2">
      <c r="A113" s="3261" t="s">
        <v>1231</v>
      </c>
      <c r="B113" s="3178"/>
      <c r="C113" s="3173"/>
      <c r="D113" s="3173"/>
      <c r="E113" s="3173"/>
      <c r="F113" s="3173">
        <v>337</v>
      </c>
      <c r="G113" s="3173">
        <v>255</v>
      </c>
      <c r="H113" s="3173">
        <v>302</v>
      </c>
      <c r="I113" s="3173"/>
      <c r="J113" s="3173"/>
      <c r="K113" s="3173"/>
      <c r="L113" s="3173"/>
      <c r="M113" s="3173"/>
      <c r="N113" s="3173"/>
      <c r="O113" s="3219"/>
      <c r="P113" s="3171"/>
      <c r="Q113" s="3171"/>
      <c r="R113" s="3487"/>
      <c r="S113" s="3109"/>
      <c r="U113" s="3055"/>
    </row>
    <row r="114" spans="1:26" ht="24.95" customHeight="1" x14ac:dyDescent="0.2">
      <c r="A114" s="3262" t="s">
        <v>1232</v>
      </c>
      <c r="B114" s="3184"/>
      <c r="C114" s="3194"/>
      <c r="D114" s="3179"/>
      <c r="E114" s="3179"/>
      <c r="F114" s="3179">
        <v>18770191</v>
      </c>
      <c r="G114" s="3179">
        <v>12731675</v>
      </c>
      <c r="H114" s="3179">
        <v>17350243</v>
      </c>
      <c r="I114" s="3179"/>
      <c r="J114" s="3179"/>
      <c r="K114" s="3179"/>
      <c r="L114" s="3179"/>
      <c r="M114" s="3179"/>
      <c r="N114" s="3179"/>
      <c r="O114" s="3207"/>
      <c r="P114" s="3218"/>
      <c r="Q114" s="3218"/>
      <c r="R114" s="3490"/>
      <c r="S114" s="3109"/>
      <c r="U114" s="3055"/>
    </row>
    <row r="115" spans="1:26" ht="24.95" customHeight="1" x14ac:dyDescent="0.2">
      <c r="A115" s="3262" t="s">
        <v>1342</v>
      </c>
      <c r="B115" s="3184"/>
      <c r="C115" s="3179"/>
      <c r="D115" s="3179"/>
      <c r="E115" s="3179"/>
      <c r="F115" s="3179">
        <v>71090833</v>
      </c>
      <c r="G115" s="3179">
        <v>187784733</v>
      </c>
      <c r="H115" s="3179">
        <v>49521393</v>
      </c>
      <c r="I115" s="3179"/>
      <c r="J115" s="3179"/>
      <c r="K115" s="3179"/>
      <c r="L115" s="3179"/>
      <c r="M115" s="3179"/>
      <c r="N115" s="3179"/>
      <c r="O115" s="3207"/>
      <c r="P115" s="3218"/>
      <c r="Q115" s="3218"/>
      <c r="R115" s="3490"/>
      <c r="S115" s="3109"/>
      <c r="U115" s="3055"/>
    </row>
    <row r="116" spans="1:26" ht="24.95" customHeight="1" thickBot="1" x14ac:dyDescent="0.25">
      <c r="A116" s="3263" t="s">
        <v>1373</v>
      </c>
      <c r="B116" s="3200"/>
      <c r="C116" s="3226"/>
      <c r="D116" s="3199"/>
      <c r="E116" s="3199"/>
      <c r="F116" s="3199">
        <v>60322</v>
      </c>
      <c r="G116" s="3199">
        <v>677661</v>
      </c>
      <c r="H116" s="3199">
        <v>1079499</v>
      </c>
      <c r="I116" s="3199"/>
      <c r="J116" s="3199"/>
      <c r="K116" s="3199"/>
      <c r="L116" s="3199"/>
      <c r="M116" s="3199"/>
      <c r="N116" s="3199"/>
      <c r="O116" s="3227"/>
      <c r="P116" s="3473"/>
      <c r="Q116" s="3473"/>
      <c r="R116" s="3500"/>
      <c r="S116" s="3109"/>
      <c r="U116" s="3055"/>
    </row>
    <row r="117" spans="1:26" s="3095" customFormat="1" ht="24.95" customHeight="1" thickBot="1" x14ac:dyDescent="0.25">
      <c r="A117" s="3437"/>
      <c r="B117" s="3437"/>
      <c r="C117" s="3437"/>
      <c r="D117" s="3437"/>
      <c r="E117" s="3437"/>
      <c r="F117" s="3437"/>
      <c r="G117" s="3437"/>
      <c r="H117" s="3437"/>
      <c r="I117" s="3437"/>
      <c r="J117" s="3437"/>
      <c r="K117" s="3437"/>
      <c r="L117" s="3437"/>
      <c r="M117" s="3437"/>
      <c r="N117" s="3437"/>
      <c r="O117" s="3437"/>
      <c r="P117" s="3437"/>
      <c r="Q117" s="3437"/>
      <c r="R117" s="3508"/>
      <c r="S117" s="3438"/>
    </row>
    <row r="118" spans="1:26" ht="24.95" customHeight="1" thickBot="1" x14ac:dyDescent="0.25">
      <c r="A118" s="4210" t="s">
        <v>1509</v>
      </c>
      <c r="B118" s="4211"/>
      <c r="C118" s="4211"/>
      <c r="D118" s="4211"/>
      <c r="E118" s="4211"/>
      <c r="F118" s="4211"/>
      <c r="G118" s="4211"/>
      <c r="H118" s="4211"/>
      <c r="I118" s="4211"/>
      <c r="J118" s="4211"/>
      <c r="K118" s="4211"/>
      <c r="L118" s="4211"/>
      <c r="M118" s="4211"/>
      <c r="N118" s="4211"/>
      <c r="O118" s="4211"/>
      <c r="P118" s="4211"/>
      <c r="Q118" s="3420"/>
      <c r="R118" s="3509"/>
      <c r="S118" s="3323"/>
    </row>
    <row r="119" spans="1:26" ht="24.95" customHeight="1" thickBot="1" x14ac:dyDescent="0.25">
      <c r="A119" s="3363" t="s">
        <v>1332</v>
      </c>
      <c r="B119" s="3363"/>
      <c r="C119" s="3364"/>
      <c r="D119" s="3364"/>
      <c r="E119" s="3364"/>
      <c r="F119" s="3364"/>
      <c r="G119" s="3364">
        <v>1</v>
      </c>
      <c r="H119" s="3364">
        <v>2</v>
      </c>
      <c r="I119" s="3364">
        <v>3</v>
      </c>
      <c r="J119" s="3364">
        <v>4</v>
      </c>
      <c r="K119" s="3364">
        <v>5</v>
      </c>
      <c r="L119" s="3364">
        <v>6</v>
      </c>
      <c r="M119" s="3364">
        <v>7</v>
      </c>
      <c r="N119" s="3364">
        <v>8</v>
      </c>
      <c r="O119" s="3364">
        <v>9</v>
      </c>
      <c r="P119" s="3365">
        <v>10</v>
      </c>
      <c r="Q119" s="3365"/>
      <c r="R119" s="3364"/>
      <c r="S119" s="3324"/>
      <c r="Z119" s="3085"/>
    </row>
    <row r="120" spans="1:26" ht="24.95" customHeight="1" thickBot="1" x14ac:dyDescent="0.25">
      <c r="A120" s="4208" t="s">
        <v>1234</v>
      </c>
      <c r="B120" s="4209"/>
      <c r="C120" s="4209"/>
      <c r="D120" s="4209"/>
      <c r="E120" s="4209"/>
      <c r="F120" s="4209"/>
      <c r="G120" s="4209"/>
      <c r="H120" s="4209"/>
      <c r="I120" s="4209"/>
      <c r="J120" s="4209"/>
      <c r="K120" s="4209"/>
      <c r="L120" s="4209"/>
      <c r="M120" s="4209"/>
      <c r="N120" s="4209"/>
      <c r="O120" s="4209"/>
      <c r="P120" s="4209"/>
      <c r="Q120" s="3419"/>
      <c r="R120" s="3510"/>
      <c r="S120" s="3325"/>
    </row>
    <row r="121" spans="1:26" ht="24.95" customHeight="1" x14ac:dyDescent="0.2">
      <c r="A121" s="3254" t="s">
        <v>1235</v>
      </c>
      <c r="B121" s="3171"/>
      <c r="C121" s="3066"/>
      <c r="D121" s="3066"/>
      <c r="E121" s="3066"/>
      <c r="F121" s="3066"/>
      <c r="G121" s="3278">
        <v>5</v>
      </c>
      <c r="H121" s="3066">
        <v>5</v>
      </c>
      <c r="I121" s="3066"/>
      <c r="J121" s="3066"/>
      <c r="K121" s="3066"/>
      <c r="L121" s="3066"/>
      <c r="M121" s="3066"/>
      <c r="N121" s="3203"/>
      <c r="O121" s="3204"/>
      <c r="P121" s="3202"/>
      <c r="Q121" s="3283"/>
      <c r="R121" s="3484"/>
      <c r="S121" s="3109"/>
    </row>
    <row r="122" spans="1:26" ht="24.95" customHeight="1" x14ac:dyDescent="0.2">
      <c r="A122" s="3255" t="s">
        <v>1369</v>
      </c>
      <c r="B122" s="3184"/>
      <c r="C122" s="3056"/>
      <c r="D122" s="3056"/>
      <c r="E122" s="3056"/>
      <c r="F122" s="3056"/>
      <c r="G122" s="3279">
        <v>5</v>
      </c>
      <c r="H122" s="3056">
        <v>5</v>
      </c>
      <c r="I122" s="3056"/>
      <c r="J122" s="3056"/>
      <c r="K122" s="3056"/>
      <c r="L122" s="3056"/>
      <c r="M122" s="3056"/>
      <c r="N122" s="3056"/>
      <c r="O122" s="3207"/>
      <c r="P122" s="3205"/>
      <c r="Q122" s="3202"/>
      <c r="R122" s="3485"/>
      <c r="S122" s="3109"/>
    </row>
    <row r="123" spans="1:26" ht="24.95" customHeight="1" x14ac:dyDescent="0.2">
      <c r="A123" s="3255" t="s">
        <v>1370</v>
      </c>
      <c r="B123" s="3184"/>
      <c r="C123" s="3056"/>
      <c r="D123" s="3056"/>
      <c r="E123" s="3056"/>
      <c r="F123" s="3056"/>
      <c r="G123" s="3279">
        <v>0</v>
      </c>
      <c r="H123" s="3056">
        <v>0</v>
      </c>
      <c r="I123" s="3056"/>
      <c r="J123" s="3056"/>
      <c r="K123" s="3056"/>
      <c r="L123" s="3056"/>
      <c r="M123" s="3056"/>
      <c r="N123" s="3056"/>
      <c r="O123" s="3207"/>
      <c r="P123" s="3205"/>
      <c r="Q123" s="3205"/>
      <c r="R123" s="3486"/>
      <c r="S123" s="3109"/>
    </row>
    <row r="124" spans="1:26" ht="24.95" customHeight="1" x14ac:dyDescent="0.2">
      <c r="A124" s="3255" t="s">
        <v>1371</v>
      </c>
      <c r="B124" s="3184"/>
      <c r="C124" s="3056"/>
      <c r="D124" s="3056"/>
      <c r="E124" s="3056"/>
      <c r="F124" s="3056"/>
      <c r="G124" s="3279">
        <v>5</v>
      </c>
      <c r="H124" s="3056">
        <v>4</v>
      </c>
      <c r="I124" s="3056"/>
      <c r="J124" s="3056"/>
      <c r="K124" s="3056"/>
      <c r="L124" s="3056"/>
      <c r="M124" s="3056"/>
      <c r="N124" s="3056"/>
      <c r="O124" s="3207"/>
      <c r="P124" s="3205"/>
      <c r="Q124" s="3205"/>
      <c r="R124" s="3486"/>
      <c r="S124" s="3109"/>
    </row>
    <row r="125" spans="1:26" ht="24.95" customHeight="1" x14ac:dyDescent="0.2">
      <c r="A125" s="3256" t="s">
        <v>1372</v>
      </c>
      <c r="B125" s="3184"/>
      <c r="C125" s="3056"/>
      <c r="D125" s="3056"/>
      <c r="E125" s="3056"/>
      <c r="F125" s="3056"/>
      <c r="G125" s="3279">
        <v>0</v>
      </c>
      <c r="H125" s="3056">
        <v>1</v>
      </c>
      <c r="I125" s="3056"/>
      <c r="J125" s="3056"/>
      <c r="K125" s="3056"/>
      <c r="L125" s="3056"/>
      <c r="M125" s="3056"/>
      <c r="N125" s="3056"/>
      <c r="O125" s="3207"/>
      <c r="P125" s="3205"/>
      <c r="Q125" s="3205"/>
      <c r="R125" s="3486"/>
      <c r="S125" s="3109"/>
    </row>
    <row r="126" spans="1:26" ht="24.95" customHeight="1" x14ac:dyDescent="0.2">
      <c r="A126" s="3256" t="s">
        <v>1375</v>
      </c>
      <c r="B126" s="3184"/>
      <c r="C126" s="3056"/>
      <c r="D126" s="3056"/>
      <c r="E126" s="3056"/>
      <c r="F126" s="3056"/>
      <c r="G126" s="3279">
        <v>0</v>
      </c>
      <c r="H126" s="3056">
        <v>0</v>
      </c>
      <c r="I126" s="3056"/>
      <c r="J126" s="3056"/>
      <c r="K126" s="3056"/>
      <c r="L126" s="3056"/>
      <c r="M126" s="3056"/>
      <c r="N126" s="3056"/>
      <c r="O126" s="3207"/>
      <c r="P126" s="3205"/>
      <c r="Q126" s="3205"/>
      <c r="R126" s="3486"/>
      <c r="S126" s="3109"/>
    </row>
    <row r="127" spans="1:26" ht="24.95" customHeight="1" thickBot="1" x14ac:dyDescent="0.25">
      <c r="A127" s="3256" t="s">
        <v>1335</v>
      </c>
      <c r="B127" s="3200"/>
      <c r="C127" s="3151"/>
      <c r="D127" s="3151"/>
      <c r="E127" s="3151"/>
      <c r="F127" s="3151"/>
      <c r="G127" s="3151">
        <v>5</v>
      </c>
      <c r="H127" s="3151">
        <v>5</v>
      </c>
      <c r="I127" s="3151"/>
      <c r="J127" s="3151"/>
      <c r="K127" s="3151"/>
      <c r="L127" s="3151"/>
      <c r="M127" s="3151"/>
      <c r="N127" s="3151"/>
      <c r="O127" s="3227"/>
      <c r="P127" s="3235"/>
      <c r="Q127" s="3152"/>
      <c r="R127" s="3257"/>
      <c r="S127" s="3109"/>
    </row>
    <row r="128" spans="1:26" ht="24.95" customHeight="1" thickBot="1" x14ac:dyDescent="0.25">
      <c r="A128" s="4208" t="s">
        <v>1233</v>
      </c>
      <c r="B128" s="4209"/>
      <c r="C128" s="4209"/>
      <c r="D128" s="4209"/>
      <c r="E128" s="4209"/>
      <c r="F128" s="4209"/>
      <c r="G128" s="4209"/>
      <c r="H128" s="4209"/>
      <c r="I128" s="4209"/>
      <c r="J128" s="4209"/>
      <c r="K128" s="4209"/>
      <c r="L128" s="4209"/>
      <c r="M128" s="4209"/>
      <c r="N128" s="4209"/>
      <c r="O128" s="4209"/>
      <c r="P128" s="4209"/>
      <c r="Q128" s="3419"/>
      <c r="R128" s="3510"/>
      <c r="S128" s="3325"/>
    </row>
    <row r="129" spans="1:27" ht="24.95" customHeight="1" x14ac:dyDescent="0.2">
      <c r="A129" s="3268" t="s">
        <v>1231</v>
      </c>
      <c r="B129" s="3220"/>
      <c r="C129" s="3221"/>
      <c r="D129" s="3221"/>
      <c r="E129" s="3221"/>
      <c r="F129" s="3221"/>
      <c r="G129" s="3221">
        <v>66</v>
      </c>
      <c r="H129" s="3221">
        <v>143</v>
      </c>
      <c r="I129" s="3178"/>
      <c r="J129" s="3178"/>
      <c r="K129" s="3178"/>
      <c r="L129" s="3368"/>
      <c r="M129" s="3369"/>
      <c r="N129" s="3369"/>
      <c r="O129" s="3374"/>
      <c r="P129" s="3368"/>
      <c r="Q129" s="3172"/>
      <c r="R129" s="3487"/>
      <c r="S129" s="3109"/>
    </row>
    <row r="130" spans="1:27" ht="24.95" customHeight="1" x14ac:dyDescent="0.2">
      <c r="A130" s="3265" t="s">
        <v>1232</v>
      </c>
      <c r="B130" s="3211"/>
      <c r="C130" s="3212"/>
      <c r="D130" s="3212"/>
      <c r="E130" s="3212"/>
      <c r="F130" s="3212"/>
      <c r="G130" s="3212">
        <v>3602308</v>
      </c>
      <c r="H130" s="3212">
        <v>5916690</v>
      </c>
      <c r="I130" s="3184"/>
      <c r="J130" s="3184"/>
      <c r="K130" s="3184"/>
      <c r="L130" s="3370"/>
      <c r="M130" s="3371"/>
      <c r="N130" s="3371"/>
      <c r="O130" s="3375"/>
      <c r="P130" s="3370"/>
      <c r="Q130" s="3185"/>
      <c r="R130" s="3488"/>
      <c r="S130" s="3109"/>
    </row>
    <row r="131" spans="1:27" ht="24.95" customHeight="1" x14ac:dyDescent="0.2">
      <c r="A131" s="3265" t="s">
        <v>1342</v>
      </c>
      <c r="B131" s="3211"/>
      <c r="C131" s="3212"/>
      <c r="D131" s="3212"/>
      <c r="E131" s="3212"/>
      <c r="F131" s="3212"/>
      <c r="G131" s="3212">
        <v>42347440</v>
      </c>
      <c r="H131" s="3212">
        <v>61693961</v>
      </c>
      <c r="I131" s="3184"/>
      <c r="J131" s="3184"/>
      <c r="K131" s="3184"/>
      <c r="L131" s="3370"/>
      <c r="M131" s="3371"/>
      <c r="N131" s="3371"/>
      <c r="O131" s="3375"/>
      <c r="P131" s="3370"/>
      <c r="Q131" s="3185"/>
      <c r="R131" s="3488"/>
      <c r="S131" s="3109"/>
    </row>
    <row r="132" spans="1:27" ht="24.95" customHeight="1" thickBot="1" x14ac:dyDescent="0.25">
      <c r="A132" s="3269" t="s">
        <v>1314</v>
      </c>
      <c r="B132" s="3224"/>
      <c r="C132" s="3224"/>
      <c r="D132" s="3225"/>
      <c r="E132" s="3225"/>
      <c r="F132" s="3225"/>
      <c r="G132" s="3225">
        <v>141690</v>
      </c>
      <c r="H132" s="3225">
        <v>999770</v>
      </c>
      <c r="I132" s="3372"/>
      <c r="J132" s="3372"/>
      <c r="K132" s="3372"/>
      <c r="L132" s="3372"/>
      <c r="M132" s="3376"/>
      <c r="N132" s="3376"/>
      <c r="O132" s="3377"/>
      <c r="P132" s="3373"/>
      <c r="Q132" s="3201"/>
      <c r="R132" s="3489"/>
      <c r="S132" s="3109"/>
    </row>
    <row r="133" spans="1:27" ht="24.95" customHeight="1" thickBot="1" x14ac:dyDescent="0.25">
      <c r="A133" s="4208" t="s">
        <v>1236</v>
      </c>
      <c r="B133" s="4209"/>
      <c r="C133" s="4209"/>
      <c r="D133" s="4209"/>
      <c r="E133" s="4209"/>
      <c r="F133" s="4209"/>
      <c r="G133" s="4209"/>
      <c r="H133" s="4209"/>
      <c r="I133" s="4209"/>
      <c r="J133" s="4209"/>
      <c r="K133" s="4209"/>
      <c r="L133" s="4209"/>
      <c r="M133" s="4209"/>
      <c r="N133" s="4209"/>
      <c r="O133" s="4209"/>
      <c r="P133" s="4209"/>
      <c r="Q133" s="3419"/>
      <c r="R133" s="3510"/>
      <c r="S133" s="3325"/>
    </row>
    <row r="134" spans="1:27" ht="24.95" customHeight="1" x14ac:dyDescent="0.2">
      <c r="A134" s="3261" t="s">
        <v>1231</v>
      </c>
      <c r="B134" s="3178"/>
      <c r="C134" s="3173"/>
      <c r="D134" s="3173"/>
      <c r="E134" s="3173"/>
      <c r="F134" s="3173"/>
      <c r="G134" s="3173">
        <v>72</v>
      </c>
      <c r="H134" s="3173">
        <v>248</v>
      </c>
      <c r="I134" s="3173"/>
      <c r="J134" s="3173"/>
      <c r="K134" s="3173"/>
      <c r="L134" s="3173"/>
      <c r="M134" s="3173"/>
      <c r="N134" s="3173"/>
      <c r="O134" s="3219"/>
      <c r="P134" s="3283"/>
      <c r="Q134" s="3171"/>
      <c r="R134" s="3487"/>
      <c r="S134" s="3109"/>
      <c r="U134" s="3055"/>
    </row>
    <row r="135" spans="1:27" ht="24.95" customHeight="1" x14ac:dyDescent="0.2">
      <c r="A135" s="3262" t="s">
        <v>1232</v>
      </c>
      <c r="B135" s="3184"/>
      <c r="C135" s="3194"/>
      <c r="D135" s="3179"/>
      <c r="E135" s="3179"/>
      <c r="F135" s="3179"/>
      <c r="G135" s="3179">
        <v>5095551</v>
      </c>
      <c r="H135" s="3179">
        <v>12625560</v>
      </c>
      <c r="I135" s="3179"/>
      <c r="J135" s="3179"/>
      <c r="K135" s="3179"/>
      <c r="L135" s="3179"/>
      <c r="M135" s="3179"/>
      <c r="N135" s="3179"/>
      <c r="O135" s="3207"/>
      <c r="P135" s="3205"/>
      <c r="Q135" s="3218"/>
      <c r="R135" s="3490"/>
      <c r="S135" s="3109"/>
      <c r="U135" s="3055"/>
    </row>
    <row r="136" spans="1:27" ht="24.95" customHeight="1" x14ac:dyDescent="0.2">
      <c r="A136" s="3262" t="s">
        <v>1342</v>
      </c>
      <c r="B136" s="3184"/>
      <c r="C136" s="3179"/>
      <c r="D136" s="3179"/>
      <c r="E136" s="3179"/>
      <c r="F136" s="3179"/>
      <c r="G136" s="3179">
        <v>33229724</v>
      </c>
      <c r="H136" s="3179">
        <v>56701307</v>
      </c>
      <c r="I136" s="3179"/>
      <c r="J136" s="3179"/>
      <c r="K136" s="3179"/>
      <c r="L136" s="3179"/>
      <c r="M136" s="3179"/>
      <c r="N136" s="3179"/>
      <c r="O136" s="3207"/>
      <c r="P136" s="3205"/>
      <c r="Q136" s="3218"/>
      <c r="R136" s="3490"/>
      <c r="S136" s="3109"/>
      <c r="U136" s="3055"/>
    </row>
    <row r="137" spans="1:27" ht="20.100000000000001" customHeight="1" thickBot="1" x14ac:dyDescent="0.25">
      <c r="A137" s="3271" t="s">
        <v>1373</v>
      </c>
      <c r="B137" s="3065"/>
      <c r="C137" s="3071"/>
      <c r="D137" s="3064"/>
      <c r="E137" s="3064"/>
      <c r="F137" s="3064"/>
      <c r="G137" s="3064">
        <v>319891</v>
      </c>
      <c r="H137" s="3064">
        <v>766211</v>
      </c>
      <c r="I137" s="3064"/>
      <c r="J137" s="3064"/>
      <c r="K137" s="3064"/>
      <c r="L137" s="3064"/>
      <c r="M137" s="3064"/>
      <c r="N137" s="3064"/>
      <c r="O137" s="3153"/>
      <c r="P137" s="3330"/>
      <c r="Q137" s="3476"/>
      <c r="R137" s="3491"/>
      <c r="S137" s="3070"/>
      <c r="U137" s="3055"/>
    </row>
    <row r="138" spans="1:27" s="3095" customFormat="1" ht="20.100000000000001" customHeight="1" thickBot="1" x14ac:dyDescent="0.25">
      <c r="A138" s="3522"/>
      <c r="B138" s="3522"/>
      <c r="C138" s="3522"/>
      <c r="D138" s="3523"/>
      <c r="E138" s="3523"/>
      <c r="F138" s="3523"/>
      <c r="G138" s="3523"/>
      <c r="H138" s="3523"/>
      <c r="I138" s="3523"/>
      <c r="J138" s="3523"/>
      <c r="K138" s="3523"/>
      <c r="L138" s="3523"/>
      <c r="M138" s="3523"/>
      <c r="N138" s="3523"/>
      <c r="O138" s="3524"/>
      <c r="P138" s="3524"/>
      <c r="Q138" s="3524"/>
      <c r="R138" s="3524"/>
      <c r="U138" s="3436"/>
    </row>
    <row r="139" spans="1:27" ht="24.95" customHeight="1" x14ac:dyDescent="0.2">
      <c r="A139" s="4113" t="s">
        <v>1506</v>
      </c>
      <c r="B139" s="4114"/>
      <c r="C139" s="4114"/>
      <c r="D139" s="4114"/>
      <c r="E139" s="4114"/>
      <c r="F139" s="4114"/>
      <c r="G139" s="4114"/>
      <c r="H139" s="4114"/>
      <c r="I139" s="4114"/>
      <c r="J139" s="4114"/>
      <c r="K139" s="4114"/>
      <c r="L139" s="4114"/>
      <c r="M139" s="4114"/>
      <c r="N139" s="4114"/>
      <c r="O139" s="4114"/>
      <c r="P139" s="4114"/>
      <c r="Q139" s="4114"/>
      <c r="R139" s="4115"/>
      <c r="S139" s="3288"/>
    </row>
    <row r="140" spans="1:27" ht="24.95" customHeight="1" x14ac:dyDescent="0.2">
      <c r="A140" s="4212" t="s">
        <v>1539</v>
      </c>
      <c r="B140" s="4213"/>
      <c r="C140" s="4213"/>
      <c r="D140" s="4213"/>
      <c r="E140" s="4213"/>
      <c r="F140" s="4213"/>
      <c r="G140" s="4213"/>
      <c r="H140" s="4213"/>
      <c r="I140" s="4213"/>
      <c r="J140" s="4213"/>
      <c r="K140" s="4213"/>
      <c r="L140" s="4213"/>
      <c r="M140" s="4213"/>
      <c r="N140" s="4213"/>
      <c r="O140" s="4213"/>
      <c r="P140" s="4213"/>
      <c r="Q140" s="4213"/>
      <c r="R140" s="4214"/>
      <c r="S140" s="3303"/>
    </row>
    <row r="141" spans="1:27" s="3052" customFormat="1" ht="24.95" customHeight="1" thickBot="1" x14ac:dyDescent="0.25">
      <c r="A141" s="3511" t="s">
        <v>1332</v>
      </c>
      <c r="B141" s="3512">
        <v>2007</v>
      </c>
      <c r="C141" s="3512">
        <v>2008</v>
      </c>
      <c r="D141" s="3512">
        <v>2009</v>
      </c>
      <c r="E141" s="3512">
        <v>2010</v>
      </c>
      <c r="F141" s="3512">
        <v>2011</v>
      </c>
      <c r="G141" s="3512">
        <v>2012</v>
      </c>
      <c r="H141" s="3512">
        <v>2013</v>
      </c>
      <c r="I141" s="3512">
        <v>2014</v>
      </c>
      <c r="J141" s="3512">
        <v>2015</v>
      </c>
      <c r="K141" s="3512">
        <v>2016</v>
      </c>
      <c r="L141" s="3512">
        <v>2017</v>
      </c>
      <c r="M141" s="3512">
        <v>2018</v>
      </c>
      <c r="N141" s="3512">
        <v>2019</v>
      </c>
      <c r="O141" s="3513">
        <v>2020</v>
      </c>
      <c r="P141" s="3513">
        <v>2021</v>
      </c>
      <c r="Q141" s="3513">
        <v>2022</v>
      </c>
      <c r="R141" s="3515">
        <v>2023</v>
      </c>
      <c r="S141" s="3304"/>
      <c r="T141" s="3051"/>
      <c r="U141" s="3051"/>
      <c r="V141" s="3051"/>
      <c r="W141" s="3051"/>
      <c r="X141" s="3051"/>
      <c r="Y141" s="3051"/>
      <c r="Z141" s="3051"/>
      <c r="AA141" s="3051"/>
    </row>
    <row r="142" spans="1:27" s="3052" customFormat="1" ht="24.95" customHeight="1" thickBot="1" x14ac:dyDescent="0.25">
      <c r="A142" s="3470"/>
      <c r="B142" s="3471"/>
      <c r="C142" s="3471"/>
      <c r="D142" s="3471"/>
      <c r="E142" s="3471"/>
      <c r="F142" s="3471"/>
      <c r="G142" s="3471"/>
      <c r="H142" s="3471"/>
      <c r="I142" s="3471"/>
      <c r="J142" s="3471"/>
      <c r="K142" s="3471"/>
      <c r="L142" s="3471"/>
      <c r="M142" s="3471"/>
      <c r="N142" s="3471"/>
      <c r="O142" s="3471"/>
      <c r="P142" s="3471"/>
      <c r="Q142" s="3471"/>
      <c r="R142" s="3471"/>
      <c r="S142" s="3469"/>
      <c r="T142" s="3051"/>
      <c r="U142" s="3051"/>
      <c r="V142" s="3051"/>
      <c r="W142" s="3051"/>
      <c r="X142" s="3051"/>
      <c r="Y142" s="3051"/>
      <c r="Z142" s="3051"/>
      <c r="AA142" s="3051"/>
    </row>
    <row r="143" spans="1:27" ht="24.95" customHeight="1" thickBot="1" x14ac:dyDescent="0.25">
      <c r="A143" s="4215" t="s">
        <v>1558</v>
      </c>
      <c r="B143" s="4216"/>
      <c r="C143" s="4216"/>
      <c r="D143" s="4216"/>
      <c r="E143" s="4216"/>
      <c r="F143" s="4216"/>
      <c r="G143" s="4216"/>
      <c r="H143" s="4216"/>
      <c r="I143" s="4216"/>
      <c r="J143" s="4216"/>
      <c r="K143" s="4216"/>
      <c r="L143" s="4216"/>
      <c r="M143" s="4216"/>
      <c r="N143" s="4216"/>
      <c r="O143" s="4216"/>
      <c r="P143" s="4216"/>
      <c r="Q143" s="3514"/>
      <c r="R143" s="3516"/>
      <c r="S143" s="3326"/>
    </row>
    <row r="144" spans="1:27" ht="24.95" customHeight="1" thickBot="1" x14ac:dyDescent="0.25">
      <c r="A144" s="3301" t="s">
        <v>1332</v>
      </c>
      <c r="B144" s="3301"/>
      <c r="C144" s="3302"/>
      <c r="D144" s="3302"/>
      <c r="E144" s="3302"/>
      <c r="F144" s="3302"/>
      <c r="G144" s="3302"/>
      <c r="H144" s="3302">
        <v>1</v>
      </c>
      <c r="I144" s="3302">
        <v>2</v>
      </c>
      <c r="J144" s="3302">
        <v>3</v>
      </c>
      <c r="K144" s="3302">
        <v>4</v>
      </c>
      <c r="L144" s="3302">
        <v>5</v>
      </c>
      <c r="M144" s="3302">
        <v>6</v>
      </c>
      <c r="N144" s="3302">
        <v>7</v>
      </c>
      <c r="O144" s="3302">
        <v>8</v>
      </c>
      <c r="P144" s="3331">
        <v>9</v>
      </c>
      <c r="Q144" s="3356">
        <v>10</v>
      </c>
      <c r="R144" s="3302"/>
      <c r="S144" s="3327"/>
      <c r="Z144" s="3085"/>
    </row>
    <row r="145" spans="1:21" ht="24.95" customHeight="1" thickBot="1" x14ac:dyDescent="0.25">
      <c r="A145" s="4217" t="s">
        <v>1234</v>
      </c>
      <c r="B145" s="4218"/>
      <c r="C145" s="4218"/>
      <c r="D145" s="4218"/>
      <c r="E145" s="4218"/>
      <c r="F145" s="4218"/>
      <c r="G145" s="4218"/>
      <c r="H145" s="4218"/>
      <c r="I145" s="4218"/>
      <c r="J145" s="4218"/>
      <c r="K145" s="4218"/>
      <c r="L145" s="4218"/>
      <c r="M145" s="4218"/>
      <c r="N145" s="4218"/>
      <c r="O145" s="4218"/>
      <c r="P145" s="4218"/>
      <c r="Q145" s="3357"/>
      <c r="R145" s="3517"/>
      <c r="S145" s="3328"/>
    </row>
    <row r="146" spans="1:21" ht="24.95" customHeight="1" x14ac:dyDescent="0.2">
      <c r="A146" s="3254" t="s">
        <v>1235</v>
      </c>
      <c r="B146" s="3171"/>
      <c r="C146" s="3066"/>
      <c r="D146" s="3066"/>
      <c r="E146" s="3066"/>
      <c r="F146" s="3066"/>
      <c r="G146" s="3278"/>
      <c r="H146" s="3066">
        <v>6</v>
      </c>
      <c r="I146" s="3066"/>
      <c r="J146" s="3066"/>
      <c r="K146" s="3066"/>
      <c r="L146" s="3066"/>
      <c r="M146" s="3066"/>
      <c r="N146" s="3378"/>
      <c r="O146" s="3379"/>
      <c r="P146" s="3380"/>
      <c r="Q146" s="3380"/>
      <c r="R146" s="3484"/>
      <c r="S146" s="3109"/>
    </row>
    <row r="147" spans="1:21" ht="24.95" customHeight="1" x14ac:dyDescent="0.2">
      <c r="A147" s="3255" t="s">
        <v>1369</v>
      </c>
      <c r="B147" s="3184"/>
      <c r="C147" s="3056"/>
      <c r="D147" s="3056"/>
      <c r="E147" s="3056"/>
      <c r="F147" s="3056"/>
      <c r="G147" s="3279"/>
      <c r="H147" s="3056">
        <v>6</v>
      </c>
      <c r="I147" s="3056"/>
      <c r="J147" s="3056"/>
      <c r="K147" s="3056"/>
      <c r="L147" s="3056"/>
      <c r="M147" s="3056"/>
      <c r="N147" s="3056"/>
      <c r="O147" s="3375"/>
      <c r="P147" s="3370"/>
      <c r="Q147" s="3370"/>
      <c r="R147" s="3485"/>
      <c r="S147" s="3109"/>
    </row>
    <row r="148" spans="1:21" ht="24.95" customHeight="1" x14ac:dyDescent="0.2">
      <c r="A148" s="3255" t="s">
        <v>1370</v>
      </c>
      <c r="B148" s="3184"/>
      <c r="C148" s="3056"/>
      <c r="D148" s="3056"/>
      <c r="E148" s="3056"/>
      <c r="F148" s="3056"/>
      <c r="G148" s="3279"/>
      <c r="H148" s="3056">
        <v>0</v>
      </c>
      <c r="I148" s="3056"/>
      <c r="J148" s="3056"/>
      <c r="K148" s="3056"/>
      <c r="L148" s="3056"/>
      <c r="M148" s="3056"/>
      <c r="N148" s="3056"/>
      <c r="O148" s="3375"/>
      <c r="P148" s="3370"/>
      <c r="Q148" s="3370"/>
      <c r="R148" s="3486"/>
      <c r="S148" s="3109"/>
    </row>
    <row r="149" spans="1:21" ht="24.95" customHeight="1" x14ac:dyDescent="0.2">
      <c r="A149" s="3255" t="s">
        <v>1371</v>
      </c>
      <c r="B149" s="3184"/>
      <c r="C149" s="3056"/>
      <c r="D149" s="3056"/>
      <c r="E149" s="3056"/>
      <c r="F149" s="3056"/>
      <c r="G149" s="3279"/>
      <c r="H149" s="3056">
        <v>4</v>
      </c>
      <c r="I149" s="3056"/>
      <c r="J149" s="3056"/>
      <c r="K149" s="3056"/>
      <c r="L149" s="3056"/>
      <c r="M149" s="3056"/>
      <c r="N149" s="3056"/>
      <c r="O149" s="3375"/>
      <c r="P149" s="3370"/>
      <c r="Q149" s="3370"/>
      <c r="R149" s="3486"/>
      <c r="S149" s="3109"/>
    </row>
    <row r="150" spans="1:21" ht="24.95" customHeight="1" x14ac:dyDescent="0.2">
      <c r="A150" s="3256" t="s">
        <v>1372</v>
      </c>
      <c r="B150" s="3184"/>
      <c r="C150" s="3056"/>
      <c r="D150" s="3056"/>
      <c r="E150" s="3056"/>
      <c r="F150" s="3056"/>
      <c r="G150" s="3279"/>
      <c r="H150" s="3056">
        <v>2</v>
      </c>
      <c r="I150" s="3056"/>
      <c r="J150" s="3056"/>
      <c r="K150" s="3056"/>
      <c r="L150" s="3056"/>
      <c r="M150" s="3056"/>
      <c r="N150" s="3056"/>
      <c r="O150" s="3375"/>
      <c r="P150" s="3370"/>
      <c r="Q150" s="3370"/>
      <c r="R150" s="3486"/>
      <c r="S150" s="3109"/>
    </row>
    <row r="151" spans="1:21" ht="24.95" customHeight="1" x14ac:dyDescent="0.2">
      <c r="A151" s="3256" t="s">
        <v>1375</v>
      </c>
      <c r="B151" s="3184"/>
      <c r="C151" s="3056"/>
      <c r="D151" s="3056"/>
      <c r="E151" s="3056"/>
      <c r="F151" s="3056"/>
      <c r="G151" s="3279"/>
      <c r="H151" s="3056">
        <v>0</v>
      </c>
      <c r="I151" s="3056"/>
      <c r="J151" s="3056"/>
      <c r="K151" s="3056"/>
      <c r="L151" s="3056"/>
      <c r="M151" s="3056"/>
      <c r="N151" s="3056"/>
      <c r="O151" s="3375"/>
      <c r="P151" s="3370"/>
      <c r="Q151" s="3370"/>
      <c r="R151" s="3486"/>
      <c r="S151" s="3109"/>
    </row>
    <row r="152" spans="1:21" ht="24.95" customHeight="1" thickBot="1" x14ac:dyDescent="0.25">
      <c r="A152" s="3256" t="s">
        <v>1335</v>
      </c>
      <c r="B152" s="3200"/>
      <c r="C152" s="3151"/>
      <c r="D152" s="3151"/>
      <c r="E152" s="3151"/>
      <c r="F152" s="3151"/>
      <c r="G152" s="3151"/>
      <c r="H152" s="3151">
        <v>6</v>
      </c>
      <c r="I152" s="3151"/>
      <c r="J152" s="3151"/>
      <c r="K152" s="3151"/>
      <c r="L152" s="3151"/>
      <c r="M152" s="3151"/>
      <c r="N152" s="3151"/>
      <c r="O152" s="3381"/>
      <c r="P152" s="3382"/>
      <c r="Q152" s="3382"/>
      <c r="R152" s="3257"/>
      <c r="S152" s="3109"/>
    </row>
    <row r="153" spans="1:21" ht="24.95" customHeight="1" thickBot="1" x14ac:dyDescent="0.25">
      <c r="A153" s="4217" t="s">
        <v>1233</v>
      </c>
      <c r="B153" s="4218"/>
      <c r="C153" s="4218"/>
      <c r="D153" s="4218"/>
      <c r="E153" s="4218"/>
      <c r="F153" s="4218"/>
      <c r="G153" s="4218"/>
      <c r="H153" s="4218"/>
      <c r="I153" s="4218"/>
      <c r="J153" s="4218"/>
      <c r="K153" s="4218"/>
      <c r="L153" s="4218"/>
      <c r="M153" s="4218"/>
      <c r="N153" s="4218"/>
      <c r="O153" s="4218"/>
      <c r="P153" s="4218"/>
      <c r="Q153" s="3358"/>
      <c r="R153" s="3517"/>
      <c r="S153" s="3328"/>
    </row>
    <row r="154" spans="1:21" ht="24.95" customHeight="1" x14ac:dyDescent="0.2">
      <c r="A154" s="3268" t="s">
        <v>1231</v>
      </c>
      <c r="B154" s="3220"/>
      <c r="C154" s="3221"/>
      <c r="D154" s="3221"/>
      <c r="E154" s="3221"/>
      <c r="F154" s="3221"/>
      <c r="G154" s="3221"/>
      <c r="H154" s="3221">
        <v>59</v>
      </c>
      <c r="I154" s="3178"/>
      <c r="J154" s="3178"/>
      <c r="K154" s="3178"/>
      <c r="L154" s="3368"/>
      <c r="M154" s="3369"/>
      <c r="N154" s="3369"/>
      <c r="O154" s="3374"/>
      <c r="P154" s="3368"/>
      <c r="Q154" s="3368"/>
      <c r="R154" s="3487"/>
      <c r="S154" s="3109"/>
    </row>
    <row r="155" spans="1:21" ht="24.95" customHeight="1" x14ac:dyDescent="0.2">
      <c r="A155" s="3265" t="s">
        <v>1232</v>
      </c>
      <c r="B155" s="3211"/>
      <c r="C155" s="3212"/>
      <c r="D155" s="3212"/>
      <c r="E155" s="3212"/>
      <c r="F155" s="3212"/>
      <c r="G155" s="3212"/>
      <c r="H155" s="3212">
        <v>3801583</v>
      </c>
      <c r="I155" s="3184"/>
      <c r="J155" s="3184"/>
      <c r="K155" s="3184"/>
      <c r="L155" s="3370"/>
      <c r="M155" s="3371"/>
      <c r="N155" s="3371"/>
      <c r="O155" s="3375"/>
      <c r="P155" s="3370"/>
      <c r="Q155" s="3370"/>
      <c r="R155" s="3488"/>
      <c r="S155" s="3109"/>
    </row>
    <row r="156" spans="1:21" ht="24.95" customHeight="1" x14ac:dyDescent="0.2">
      <c r="A156" s="3265" t="s">
        <v>1342</v>
      </c>
      <c r="B156" s="3211"/>
      <c r="C156" s="3212"/>
      <c r="D156" s="3212"/>
      <c r="E156" s="3212"/>
      <c r="F156" s="3212"/>
      <c r="G156" s="3212"/>
      <c r="H156" s="3212">
        <v>7322129</v>
      </c>
      <c r="I156" s="3184"/>
      <c r="J156" s="3184"/>
      <c r="K156" s="3184"/>
      <c r="L156" s="3370"/>
      <c r="M156" s="3371"/>
      <c r="N156" s="3371"/>
      <c r="O156" s="3375"/>
      <c r="P156" s="3370"/>
      <c r="Q156" s="3370"/>
      <c r="R156" s="3488"/>
      <c r="S156" s="3109"/>
    </row>
    <row r="157" spans="1:21" ht="24.95" customHeight="1" thickBot="1" x14ac:dyDescent="0.25">
      <c r="A157" s="3269" t="s">
        <v>1314</v>
      </c>
      <c r="B157" s="3224"/>
      <c r="C157" s="3224"/>
      <c r="D157" s="3225"/>
      <c r="E157" s="3225"/>
      <c r="F157" s="3225"/>
      <c r="G157" s="3225"/>
      <c r="H157" s="3225">
        <v>29427</v>
      </c>
      <c r="I157" s="3372"/>
      <c r="J157" s="3372"/>
      <c r="K157" s="3372"/>
      <c r="L157" s="3372"/>
      <c r="M157" s="3376"/>
      <c r="N157" s="3376"/>
      <c r="O157" s="3377"/>
      <c r="P157" s="3373"/>
      <c r="Q157" s="3373"/>
      <c r="R157" s="3489"/>
      <c r="S157" s="3109"/>
    </row>
    <row r="158" spans="1:21" ht="24.95" customHeight="1" thickBot="1" x14ac:dyDescent="0.25">
      <c r="A158" s="4217" t="s">
        <v>1236</v>
      </c>
      <c r="B158" s="4218"/>
      <c r="C158" s="4218"/>
      <c r="D158" s="4218"/>
      <c r="E158" s="4218"/>
      <c r="F158" s="4218"/>
      <c r="G158" s="4218"/>
      <c r="H158" s="4218"/>
      <c r="I158" s="4218"/>
      <c r="J158" s="4218"/>
      <c r="K158" s="4218"/>
      <c r="L158" s="4218"/>
      <c r="M158" s="4218"/>
      <c r="N158" s="4218"/>
      <c r="O158" s="4218"/>
      <c r="P158" s="4218"/>
      <c r="Q158" s="3359"/>
      <c r="R158" s="3517"/>
      <c r="S158" s="3328"/>
    </row>
    <row r="159" spans="1:21" ht="24.95" customHeight="1" x14ac:dyDescent="0.2">
      <c r="A159" s="3261" t="s">
        <v>1231</v>
      </c>
      <c r="B159" s="3178"/>
      <c r="C159" s="3173"/>
      <c r="D159" s="3173"/>
      <c r="E159" s="3173"/>
      <c r="F159" s="3173"/>
      <c r="G159" s="3173"/>
      <c r="H159" s="3173">
        <v>107</v>
      </c>
      <c r="I159" s="3173"/>
      <c r="J159" s="3173"/>
      <c r="K159" s="3173"/>
      <c r="L159" s="3173"/>
      <c r="M159" s="3173"/>
      <c r="N159" s="3173"/>
      <c r="O159" s="3374"/>
      <c r="P159" s="3368"/>
      <c r="Q159" s="3368"/>
      <c r="R159" s="3487"/>
      <c r="S159" s="3109"/>
      <c r="U159" s="3055"/>
    </row>
    <row r="160" spans="1:21" ht="24.95" customHeight="1" x14ac:dyDescent="0.2">
      <c r="A160" s="3262" t="s">
        <v>1232</v>
      </c>
      <c r="B160" s="3184"/>
      <c r="C160" s="3383"/>
      <c r="D160" s="3179"/>
      <c r="E160" s="3179"/>
      <c r="F160" s="3179"/>
      <c r="G160" s="3179"/>
      <c r="H160" s="3179">
        <v>6436879</v>
      </c>
      <c r="I160" s="3179"/>
      <c r="J160" s="3179"/>
      <c r="K160" s="3179"/>
      <c r="L160" s="3179"/>
      <c r="M160" s="3179"/>
      <c r="N160" s="3179"/>
      <c r="O160" s="3375"/>
      <c r="P160" s="3370"/>
      <c r="Q160" s="3370"/>
      <c r="R160" s="3490"/>
      <c r="S160" s="3109"/>
      <c r="U160" s="3055"/>
    </row>
    <row r="161" spans="1:21" ht="24.95" customHeight="1" x14ac:dyDescent="0.2">
      <c r="A161" s="3262" t="s">
        <v>1342</v>
      </c>
      <c r="B161" s="3184"/>
      <c r="C161" s="3179"/>
      <c r="D161" s="3179"/>
      <c r="E161" s="3179"/>
      <c r="F161" s="3179"/>
      <c r="G161" s="3179"/>
      <c r="H161" s="3179">
        <v>5141070</v>
      </c>
      <c r="I161" s="3179"/>
      <c r="J161" s="3179"/>
      <c r="K161" s="3179"/>
      <c r="L161" s="3179"/>
      <c r="M161" s="3179"/>
      <c r="N161" s="3179"/>
      <c r="O161" s="3375"/>
      <c r="P161" s="3370"/>
      <c r="Q161" s="3370"/>
      <c r="R161" s="3490"/>
      <c r="S161" s="3109"/>
      <c r="U161" s="3055"/>
    </row>
    <row r="162" spans="1:21" ht="20.100000000000001" customHeight="1" thickBot="1" x14ac:dyDescent="0.25">
      <c r="A162" s="3271" t="s">
        <v>1373</v>
      </c>
      <c r="B162" s="3065"/>
      <c r="C162" s="3071"/>
      <c r="D162" s="3064"/>
      <c r="E162" s="3064"/>
      <c r="F162" s="3064"/>
      <c r="G162" s="3064"/>
      <c r="H162" s="3064">
        <v>36897</v>
      </c>
      <c r="I162" s="3064"/>
      <c r="J162" s="3064"/>
      <c r="K162" s="3064"/>
      <c r="L162" s="3064"/>
      <c r="M162" s="3064"/>
      <c r="N162" s="3064"/>
      <c r="O162" s="3384"/>
      <c r="P162" s="3385"/>
      <c r="Q162" s="3385"/>
      <c r="R162" s="3491"/>
      <c r="S162" s="3070"/>
      <c r="U162" s="3055"/>
    </row>
  </sheetData>
  <mergeCells count="36">
    <mergeCell ref="A140:R140"/>
    <mergeCell ref="A143:P143"/>
    <mergeCell ref="A145:P145"/>
    <mergeCell ref="A153:P153"/>
    <mergeCell ref="A158:P158"/>
    <mergeCell ref="A97:O97"/>
    <mergeCell ref="A99:O99"/>
    <mergeCell ref="A107:O107"/>
    <mergeCell ref="A112:O112"/>
    <mergeCell ref="A139:R139"/>
    <mergeCell ref="A128:P128"/>
    <mergeCell ref="A133:P133"/>
    <mergeCell ref="A118:P118"/>
    <mergeCell ref="A120:P120"/>
    <mergeCell ref="A94:Q94"/>
    <mergeCell ref="A93:Q93"/>
    <mergeCell ref="A48:Q48"/>
    <mergeCell ref="A66:M66"/>
    <mergeCell ref="A72:N72"/>
    <mergeCell ref="A74:N74"/>
    <mergeCell ref="A82:N82"/>
    <mergeCell ref="A87:N87"/>
    <mergeCell ref="A2:Q2"/>
    <mergeCell ref="A1:Q1"/>
    <mergeCell ref="A51:M51"/>
    <mergeCell ref="A53:M53"/>
    <mergeCell ref="A61:M61"/>
    <mergeCell ref="A5:K5"/>
    <mergeCell ref="A7:K7"/>
    <mergeCell ref="A15:K15"/>
    <mergeCell ref="A20:K20"/>
    <mergeCell ref="A26:L26"/>
    <mergeCell ref="A28:L28"/>
    <mergeCell ref="A36:L36"/>
    <mergeCell ref="A41:L41"/>
    <mergeCell ref="A47:Q47"/>
  </mergeCells>
  <printOptions horizontalCentered="1"/>
  <pageMargins left="0.7" right="0.7" top="0.75" bottom="0.75" header="0.3" footer="0.3"/>
  <pageSetup scale="41" fitToHeight="0" orientation="landscape" r:id="rId1"/>
  <rowBreaks count="3" manualBreakCount="3">
    <brk id="46" max="17" man="1"/>
    <brk id="92" max="17" man="1"/>
    <brk id="138" max="17" man="1"/>
  </rowBreaks>
  <colBreaks count="1" manualBreakCount="1">
    <brk id="19" min="1" max="1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DFE98C7071274EA709CFED0A4CB478" ma:contentTypeVersion="5" ma:contentTypeDescription="Create a new document." ma:contentTypeScope="" ma:versionID="d8953f2d5bb962b9f4db39e7e33f8526">
  <xsd:schema xmlns:xsd="http://www.w3.org/2001/XMLSchema" xmlns:xs="http://www.w3.org/2001/XMLSchema" xmlns:p="http://schemas.microsoft.com/office/2006/metadata/properties" xmlns:ns2="b0572314-4400-4c30-b6be-af21dc0ec631" targetNamespace="http://schemas.microsoft.com/office/2006/metadata/properties" ma:root="true" ma:fieldsID="e29a946d0ecb6f3c61238108a54cb28b" ns2:_="">
    <xsd:import namespace="b0572314-4400-4c30-b6be-af21dc0ec631"/>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72314-4400-4c30-b6be-af21dc0ec63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0572314-4400-4c30-b6be-af21dc0ec631">YSSN3WUNHHSM-535129369-7007</_dlc_DocId>
    <_dlc_DocIdUrl xmlns="b0572314-4400-4c30-b6be-af21dc0ec631">
      <Url>https://outside.vermont.gov/agency/ACCD/_layouts/15/DocIdRedir.aspx?ID=YSSN3WUNHHSM-535129369-7007</Url>
      <Description>YSSN3WUNHHSM-535129369-7007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8715D7C-EBE5-417D-B1E6-CFCE741616A6}"/>
</file>

<file path=customXml/itemProps2.xml><?xml version="1.0" encoding="utf-8"?>
<ds:datastoreItem xmlns:ds="http://schemas.openxmlformats.org/officeDocument/2006/customXml" ds:itemID="{57DD63DE-2B27-49A3-95BF-EE947946E0AB}"/>
</file>

<file path=customXml/itemProps3.xml><?xml version="1.0" encoding="utf-8"?>
<ds:datastoreItem xmlns:ds="http://schemas.openxmlformats.org/officeDocument/2006/customXml" ds:itemID="{F35FCED9-9F77-4E99-853C-F7461609ABBE}"/>
</file>

<file path=customXml/itemProps4.xml><?xml version="1.0" encoding="utf-8"?>
<ds:datastoreItem xmlns:ds="http://schemas.openxmlformats.org/officeDocument/2006/customXml" ds:itemID="{3E3DAF8F-3BCF-4E47-BF93-8F72ADE4E0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26</vt:i4>
      </vt:variant>
    </vt:vector>
  </HeadingPairs>
  <TitlesOfParts>
    <vt:vector size="57" baseType="lpstr">
      <vt:lpstr>TABLE 1</vt:lpstr>
      <vt:lpstr>TABLE 2</vt:lpstr>
      <vt:lpstr>TABLE 3</vt:lpstr>
      <vt:lpstr>TABLE 4</vt:lpstr>
      <vt:lpstr>NA</vt:lpstr>
      <vt:lpstr>TABLE 5</vt:lpstr>
      <vt:lpstr>TABLE 6</vt:lpstr>
      <vt:lpstr>Charts 6-10</vt:lpstr>
      <vt:lpstr>DNU</vt:lpstr>
      <vt:lpstr>Charts 11-21</vt:lpstr>
      <vt:lpstr>5b. Job and Wage Analysis</vt:lpstr>
      <vt:lpstr>1. Summary</vt:lpstr>
      <vt:lpstr>1a. By Code</vt:lpstr>
      <vt:lpstr>2. Detailed Summary</vt:lpstr>
      <vt:lpstr>3. Distribution</vt:lpstr>
      <vt:lpstr>4. Jobs</vt:lpstr>
      <vt:lpstr>5. Payroll</vt:lpstr>
      <vt:lpstr>5a. Weighted Avg Wage</vt:lpstr>
      <vt:lpstr>6. Capex</vt:lpstr>
      <vt:lpstr>7. Cost-Benefit</vt:lpstr>
      <vt:lpstr>8. Incentives- Max</vt:lpstr>
      <vt:lpstr>9. Incentives- Est</vt:lpstr>
      <vt:lpstr>10. Misc</vt:lpstr>
      <vt:lpstr>11. Aggregate</vt:lpstr>
      <vt:lpstr>Incentives earned</vt:lpstr>
      <vt:lpstr>Footnotes</vt:lpstr>
      <vt:lpstr>Year 2007</vt:lpstr>
      <vt:lpstr>Year 2008</vt:lpstr>
      <vt:lpstr>Actuals Summary</vt:lpstr>
      <vt:lpstr>Perf Exp</vt:lpstr>
      <vt:lpstr>Actual Average Wage, etc</vt:lpstr>
      <vt:lpstr>'1. Summary'!Print_Area</vt:lpstr>
      <vt:lpstr>'10. Misc'!Print_Area</vt:lpstr>
      <vt:lpstr>'11. Aggregate'!Print_Area</vt:lpstr>
      <vt:lpstr>'1a. By Code'!Print_Area</vt:lpstr>
      <vt:lpstr>'2. Detailed Summary'!Print_Area</vt:lpstr>
      <vt:lpstr>'3. Distribution'!Print_Area</vt:lpstr>
      <vt:lpstr>'4. Jobs'!Print_Area</vt:lpstr>
      <vt:lpstr>'5. Payroll'!Print_Area</vt:lpstr>
      <vt:lpstr>'5a. Weighted Avg Wage'!Print_Area</vt:lpstr>
      <vt:lpstr>'5b. Job and Wage Analysis'!Print_Area</vt:lpstr>
      <vt:lpstr>'6. Capex'!Print_Area</vt:lpstr>
      <vt:lpstr>'7. Cost-Benefit'!Print_Area</vt:lpstr>
      <vt:lpstr>'8. Incentives- Max'!Print_Area</vt:lpstr>
      <vt:lpstr>'9. Incentives- Est'!Print_Area</vt:lpstr>
      <vt:lpstr>'Actual Average Wage, etc'!Print_Area</vt:lpstr>
      <vt:lpstr>'Charts 11-21'!Print_Area</vt:lpstr>
      <vt:lpstr>'Charts 6-10'!Print_Area</vt:lpstr>
      <vt:lpstr>DNU!Print_Area</vt:lpstr>
      <vt:lpstr>Footnotes!Print_Area</vt:lpstr>
      <vt:lpstr>NA!Print_Area</vt:lpstr>
      <vt:lpstr>'Perf Exp'!Print_Area</vt:lpstr>
      <vt:lpstr>'TABLE 1'!Print_Area</vt:lpstr>
      <vt:lpstr>'TABLE 3'!Print_Area</vt:lpstr>
      <vt:lpstr>'TABLE 4'!Print_Area</vt:lpstr>
      <vt:lpstr>'TABLE 5'!Print_Area</vt:lpstr>
      <vt:lpstr>'TABLE 6'!Print_Area</vt:lpstr>
    </vt:vector>
  </TitlesOfParts>
  <Company>ACCD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kenney</dc:creator>
  <cp:lastModifiedBy>Baker, Kimberly</cp:lastModifiedBy>
  <cp:lastPrinted>2017-08-28T13:53:18Z</cp:lastPrinted>
  <dcterms:created xsi:type="dcterms:W3CDTF">2007-01-25T19:13:32Z</dcterms:created>
  <dcterms:modified xsi:type="dcterms:W3CDTF">2017-09-01T18:08:31Z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0x010100CCDFE98C7071274EA709CFED0A4CB478</vt:lpwstr>
  </property>
  <property fmtid="{D5CDD505-2E9C-101B-9397-08002B2CF9AE}" pid="3" name="_dlc_DocIdItemGuid">
    <vt:lpwstr>8453362a-9521-4492-9b8a-a7d2358619dd</vt:lpwstr>
  </property>
</Properties>
</file>